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My Documents\SSCG\Varios\Air Regs Update\"/>
    </mc:Choice>
  </mc:AlternateContent>
  <bookViews>
    <workbookView xWindow="9336" yWindow="-12" windowWidth="9396" windowHeight="11028"/>
  </bookViews>
  <sheets>
    <sheet name="Procedures" sheetId="8" r:id="rId1"/>
    <sheet name="Content" sheetId="7" r:id="rId2"/>
    <sheet name="Tb01-Ems Calc" sheetId="2" r:id="rId3"/>
    <sheet name="TB02-Fuel Cells" sheetId="3" r:id="rId4"/>
    <sheet name="Tb03-Engines" sheetId="4" r:id="rId5"/>
    <sheet name="TB04-Turbines" sheetId="5" r:id="rId6"/>
  </sheets>
  <definedNames>
    <definedName name="_xlnm.Print_Area" localSheetId="1">Content!$C$2:$H$1048576</definedName>
    <definedName name="_xlnm.Print_Area" localSheetId="0">Procedures!$C$5:$L$221</definedName>
    <definedName name="_xlnm.Print_Area" localSheetId="2">'Tb01-Ems Calc'!$B$6:$AM$66</definedName>
    <definedName name="_xlnm.Print_Area" localSheetId="3">'TB02-Fuel Cells'!$B$5:$K$165</definedName>
    <definedName name="_xlnm.Print_Area" localSheetId="4">'Tb03-Engines'!$B$5:$K$491</definedName>
    <definedName name="_xlnm.Print_Area" localSheetId="5">'TB04-Turbines'!$B$5:$K$455</definedName>
    <definedName name="_xlnm.Print_Titles" localSheetId="0">Procedures!$5:$9</definedName>
    <definedName name="_xlnm.Print_Titles" localSheetId="3">'TB02-Fuel Cells'!$5:$11</definedName>
    <definedName name="_xlnm.Print_Titles" localSheetId="4">'Tb03-Engines'!$5:$12</definedName>
    <definedName name="_xlnm.Print_Titles" localSheetId="5">'TB04-Turbines'!$5:$11</definedName>
  </definedNames>
  <calcPr calcId="152511"/>
</workbook>
</file>

<file path=xl/calcChain.xml><?xml version="1.0" encoding="utf-8"?>
<calcChain xmlns="http://schemas.openxmlformats.org/spreadsheetml/2006/main">
  <c r="P130" i="8" l="1"/>
  <c r="P133" i="8" s="1"/>
  <c r="P125" i="8"/>
  <c r="H122" i="8"/>
  <c r="H121" i="8"/>
  <c r="C17" i="8"/>
  <c r="C26" i="8" s="1"/>
  <c r="C29" i="8" s="1"/>
  <c r="C32" i="8" s="1"/>
  <c r="C42" i="8" s="1"/>
  <c r="C44" i="8" s="1"/>
  <c r="C63" i="8" s="1"/>
  <c r="C68" i="8" s="1"/>
  <c r="C71" i="8" s="1"/>
  <c r="C75" i="8" s="1"/>
  <c r="C87" i="8" s="1"/>
  <c r="C92" i="8" s="1"/>
  <c r="C95" i="8" s="1"/>
  <c r="C98" i="8" s="1"/>
  <c r="C107" i="8" s="1"/>
  <c r="C109" i="8" s="1"/>
  <c r="C119" i="8" s="1"/>
  <c r="C125" i="8" s="1"/>
  <c r="C132" i="8" s="1"/>
  <c r="C153" i="8" s="1"/>
  <c r="C180" i="8" s="1"/>
  <c r="C184" i="8" s="1"/>
  <c r="C188" i="8" s="1"/>
  <c r="C192" i="8" s="1"/>
  <c r="C196" i="8" s="1"/>
  <c r="C201" i="8" s="1"/>
  <c r="C13" i="8"/>
  <c r="T42" i="2"/>
  <c r="T37" i="2"/>
  <c r="T36" i="2" s="1"/>
  <c r="T33" i="2"/>
  <c r="T28" i="2"/>
  <c r="B409" i="4"/>
  <c r="R25" i="2" s="1"/>
  <c r="B458" i="4"/>
  <c r="T25" i="2" s="1"/>
  <c r="B448" i="4"/>
  <c r="B399" i="4"/>
  <c r="C440" i="4"/>
  <c r="T20" i="2"/>
  <c r="T19" i="2" l="1"/>
  <c r="T48" i="2" s="1"/>
  <c r="T56" i="2" s="1"/>
  <c r="C483" i="4"/>
  <c r="C480" i="4"/>
  <c r="C476" i="4"/>
  <c r="B450" i="4" l="1"/>
  <c r="T18" i="2"/>
  <c r="T16" i="2" s="1"/>
  <c r="T39" i="2"/>
  <c r="T52" i="2" s="1"/>
  <c r="T62" i="2" s="1"/>
  <c r="B452" i="4"/>
  <c r="T15" i="2" s="1"/>
  <c r="C429" i="4"/>
  <c r="C359" i="4"/>
  <c r="C355" i="4"/>
  <c r="C352" i="4"/>
  <c r="B315" i="4"/>
  <c r="C348" i="4"/>
  <c r="C331" i="4"/>
  <c r="AB21" i="2"/>
  <c r="Z21" i="2"/>
  <c r="AB43" i="2"/>
  <c r="AB38" i="2"/>
  <c r="AB30" i="2"/>
  <c r="Z43" i="2"/>
  <c r="Z38" i="2"/>
  <c r="Z30" i="2"/>
  <c r="X43" i="2"/>
  <c r="X38" i="2"/>
  <c r="X33" i="2"/>
  <c r="X30" i="2"/>
  <c r="X21" i="2"/>
  <c r="V43" i="2"/>
  <c r="V38" i="2"/>
  <c r="V33" i="2"/>
  <c r="V30" i="2"/>
  <c r="V19" i="2"/>
  <c r="V12" i="2"/>
  <c r="H38" i="2"/>
  <c r="H36" i="2"/>
  <c r="H25" i="2"/>
  <c r="H21" i="2"/>
  <c r="H19" i="2"/>
  <c r="H15" i="2"/>
  <c r="F38" i="2"/>
  <c r="F36" i="2"/>
  <c r="F25" i="2"/>
  <c r="F21" i="2"/>
  <c r="F19" i="2"/>
  <c r="F15" i="2"/>
  <c r="C270" i="4"/>
  <c r="C267" i="4"/>
  <c r="B221" i="4"/>
  <c r="C263" i="4"/>
  <c r="C193" i="4"/>
  <c r="C188" i="4"/>
  <c r="T49" i="2" l="1"/>
  <c r="T34" i="2"/>
  <c r="T35" i="2" s="1"/>
  <c r="T44" i="2"/>
  <c r="T53" i="2" s="1"/>
  <c r="T22" i="2"/>
  <c r="T23" i="2" s="1"/>
  <c r="T24" i="2" s="1"/>
  <c r="T30" i="2"/>
  <c r="T31" i="2" s="1"/>
  <c r="T32" i="2" s="1"/>
  <c r="T26" i="2"/>
  <c r="T27" i="2" s="1"/>
  <c r="T51" i="2"/>
  <c r="T61" i="2" s="1"/>
  <c r="T45" i="2"/>
  <c r="T46" i="2" s="1"/>
  <c r="T40" i="2"/>
  <c r="T41" i="2" s="1"/>
  <c r="B133" i="4"/>
  <c r="C184" i="4"/>
  <c r="C181" i="4"/>
  <c r="B127" i="4"/>
  <c r="B129" i="4"/>
  <c r="C87" i="4"/>
  <c r="C84" i="4"/>
  <c r="B29" i="4"/>
  <c r="B31" i="4"/>
  <c r="T50" i="2" l="1"/>
  <c r="T59" i="2" s="1"/>
  <c r="C435" i="5"/>
  <c r="C434" i="5"/>
  <c r="C432" i="5"/>
  <c r="C427" i="5"/>
  <c r="C242" i="5" l="1"/>
  <c r="C244" i="5"/>
  <c r="C200" i="5"/>
  <c r="C198" i="5"/>
  <c r="C202" i="5"/>
  <c r="C203" i="5"/>
  <c r="B179" i="5"/>
  <c r="AB33" i="2" s="1"/>
  <c r="B171" i="5"/>
  <c r="AB25" i="2" s="1"/>
  <c r="B167" i="5"/>
  <c r="AB15" i="2" s="1"/>
  <c r="B165" i="5"/>
  <c r="AB18" i="2" s="1"/>
  <c r="C153" i="5"/>
  <c r="C152" i="5"/>
  <c r="B130" i="5"/>
  <c r="Z33" i="2" s="1"/>
  <c r="C150" i="5"/>
  <c r="C148" i="5"/>
  <c r="B122" i="5"/>
  <c r="Z25" i="2" s="1"/>
  <c r="C143" i="5"/>
  <c r="C42" i="5"/>
  <c r="B118" i="5"/>
  <c r="Z15" i="2" s="1"/>
  <c r="B116" i="5"/>
  <c r="Z18" i="2" s="1"/>
  <c r="C98" i="5"/>
  <c r="C97" i="5"/>
  <c r="C93" i="5"/>
  <c r="C95" i="5"/>
  <c r="C44" i="5"/>
  <c r="C92" i="5"/>
  <c r="B73" i="5"/>
  <c r="X25" i="2" s="1"/>
  <c r="C91" i="5"/>
  <c r="C84" i="5"/>
  <c r="B69" i="5"/>
  <c r="X15" i="2" s="1"/>
  <c r="B67" i="5"/>
  <c r="X18" i="2" s="1"/>
  <c r="C52" i="5"/>
  <c r="C51" i="5"/>
  <c r="C48" i="5"/>
  <c r="B22" i="5"/>
  <c r="V25" i="2" s="1"/>
  <c r="B18" i="5"/>
  <c r="V15" i="2" s="1"/>
  <c r="B16" i="5"/>
  <c r="V18" i="2" s="1"/>
  <c r="V22" i="2" s="1"/>
  <c r="C124" i="3"/>
  <c r="B83" i="3"/>
  <c r="H33" i="2" s="1"/>
  <c r="C119" i="3"/>
  <c r="C115" i="3"/>
  <c r="C96" i="3"/>
  <c r="B67" i="3" l="1"/>
  <c r="H18" i="2" s="1"/>
  <c r="C55" i="3"/>
  <c r="B29" i="3"/>
  <c r="F33" i="2" s="1"/>
  <c r="C50" i="3" l="1"/>
  <c r="C48" i="3" l="1"/>
  <c r="C37" i="3" l="1"/>
  <c r="B13" i="3"/>
  <c r="F18" i="2" s="1"/>
  <c r="F22" i="2" s="1"/>
  <c r="AL33" i="2" l="1"/>
  <c r="B410" i="5"/>
  <c r="AL18" i="2" s="1"/>
  <c r="AJ33" i="2"/>
  <c r="B360" i="5"/>
  <c r="AJ18" i="2" s="1"/>
  <c r="AJ16" i="2" s="1"/>
  <c r="AH33" i="2"/>
  <c r="B309" i="5"/>
  <c r="AH18" i="2" s="1"/>
  <c r="AH16" i="2" s="1"/>
  <c r="AF33" i="2"/>
  <c r="B267" i="5"/>
  <c r="AF18" i="2" s="1"/>
  <c r="AF16" i="2" s="1"/>
  <c r="AD33" i="2"/>
  <c r="B215" i="5"/>
  <c r="AD18" i="2" s="1"/>
  <c r="AD16" i="2" s="1"/>
  <c r="AB16" i="2"/>
  <c r="Z16" i="2"/>
  <c r="X16" i="2"/>
  <c r="V16" i="2"/>
  <c r="R33" i="2"/>
  <c r="P33" i="2"/>
  <c r="N33" i="2"/>
  <c r="L33" i="2"/>
  <c r="L18" i="2"/>
  <c r="L16" i="2" s="1"/>
  <c r="J33" i="2"/>
  <c r="J18" i="2"/>
  <c r="L19" i="2"/>
  <c r="L20" i="2" s="1"/>
  <c r="J19" i="2"/>
  <c r="R42" i="2"/>
  <c r="P42" i="2"/>
  <c r="N42" i="2"/>
  <c r="R37" i="2"/>
  <c r="R36" i="2" s="1"/>
  <c r="P37" i="2"/>
  <c r="P36" i="2" s="1"/>
  <c r="N37" i="2"/>
  <c r="N36" i="2" s="1"/>
  <c r="R20" i="2"/>
  <c r="R19" i="2" s="1"/>
  <c r="P20" i="2"/>
  <c r="P19" i="2" s="1"/>
  <c r="N20" i="2"/>
  <c r="N19" i="2" s="1"/>
  <c r="P25" i="2"/>
  <c r="N25" i="2"/>
  <c r="B23" i="4"/>
  <c r="L15" i="2"/>
  <c r="J15" i="2"/>
  <c r="AL44" i="2"/>
  <c r="AD44" i="2"/>
  <c r="AB44" i="2"/>
  <c r="Z44" i="2"/>
  <c r="X44" i="2"/>
  <c r="V44" i="2"/>
  <c r="AL43" i="2"/>
  <c r="AJ53" i="2"/>
  <c r="AH53" i="2"/>
  <c r="AF53" i="2"/>
  <c r="H53" i="2"/>
  <c r="F53" i="2"/>
  <c r="AF50" i="2"/>
  <c r="AJ39" i="2"/>
  <c r="AH39" i="2"/>
  <c r="AL39" i="2"/>
  <c r="AF39" i="2"/>
  <c r="AD39" i="2"/>
  <c r="AB39" i="2"/>
  <c r="Z39" i="2"/>
  <c r="X39" i="2"/>
  <c r="V39" i="2"/>
  <c r="AL30" i="2"/>
  <c r="B416" i="5"/>
  <c r="AL25" i="2" s="1"/>
  <c r="B273" i="5"/>
  <c r="AF25" i="2" s="1"/>
  <c r="AL22" i="2"/>
  <c r="AH22" i="2"/>
  <c r="AJ22" i="2"/>
  <c r="AF22" i="2"/>
  <c r="AD22" i="2"/>
  <c r="AB22" i="2"/>
  <c r="Z22" i="2"/>
  <c r="Z19" i="2" s="1"/>
  <c r="X22" i="2"/>
  <c r="AL17" i="2"/>
  <c r="AJ17" i="2"/>
  <c r="AF17" i="2"/>
  <c r="AD17" i="2"/>
  <c r="AB17" i="2"/>
  <c r="Z17" i="2"/>
  <c r="X17" i="2"/>
  <c r="AH17" i="2"/>
  <c r="C292" i="5"/>
  <c r="C291" i="5"/>
  <c r="C246" i="5"/>
  <c r="C241" i="5"/>
  <c r="AL38" i="2"/>
  <c r="AJ38" i="2"/>
  <c r="AJ30" i="2"/>
  <c r="AJ25" i="2"/>
  <c r="AJ21" i="2"/>
  <c r="AH30" i="2"/>
  <c r="AH25" i="2"/>
  <c r="AH38" i="2"/>
  <c r="AH21" i="2"/>
  <c r="AF38" i="2"/>
  <c r="AF21" i="2"/>
  <c r="AD43" i="2"/>
  <c r="AD38" i="2"/>
  <c r="AD30" i="2"/>
  <c r="AD21" i="2"/>
  <c r="V48" i="2"/>
  <c r="V56" i="2" s="1"/>
  <c r="L14" i="2"/>
  <c r="N14" i="2" s="1"/>
  <c r="P14" i="2" s="1"/>
  <c r="R14" i="2" s="1"/>
  <c r="T14" i="2" s="1"/>
  <c r="X14" i="2"/>
  <c r="Z14" i="2" s="1"/>
  <c r="AB14" i="2" s="1"/>
  <c r="AD14" i="2" s="1"/>
  <c r="AF14" i="2" s="1"/>
  <c r="AH14" i="2" s="1"/>
  <c r="AJ14" i="2" s="1"/>
  <c r="AL14" i="2" s="1"/>
  <c r="H48" i="2"/>
  <c r="H56" i="2" s="1"/>
  <c r="F48" i="2"/>
  <c r="F56" i="2" s="1"/>
  <c r="B305" i="4"/>
  <c r="P18" i="2" s="1"/>
  <c r="P16" i="2" s="1"/>
  <c r="C340" i="4"/>
  <c r="C336" i="4"/>
  <c r="B209" i="4"/>
  <c r="N18" i="2" s="1"/>
  <c r="N16" i="2" s="1"/>
  <c r="B412" i="5"/>
  <c r="AL15" i="2" s="1"/>
  <c r="B362" i="5"/>
  <c r="AJ15" i="2" s="1"/>
  <c r="B311" i="5"/>
  <c r="AH15" i="2" s="1"/>
  <c r="B269" i="5"/>
  <c r="AF15" i="2" s="1"/>
  <c r="B217" i="5"/>
  <c r="AD15" i="2" s="1"/>
  <c r="H16" i="2"/>
  <c r="F16" i="2"/>
  <c r="R18" i="2"/>
  <c r="R16" i="2" s="1"/>
  <c r="C433" i="4"/>
  <c r="C424" i="4"/>
  <c r="R28" i="2"/>
  <c r="C274" i="4"/>
  <c r="C177" i="4"/>
  <c r="C217" i="4"/>
  <c r="C261" i="4" s="1"/>
  <c r="C253" i="4"/>
  <c r="C243" i="4"/>
  <c r="C238" i="4"/>
  <c r="B139" i="4"/>
  <c r="L42" i="2" s="1"/>
  <c r="C41" i="4"/>
  <c r="C96" i="4" s="1"/>
  <c r="L37" i="2"/>
  <c r="L28" i="2"/>
  <c r="B121" i="4"/>
  <c r="C198" i="4"/>
  <c r="C172" i="4"/>
  <c r="C167" i="4"/>
  <c r="C159" i="4"/>
  <c r="B125" i="4"/>
  <c r="L25" i="2" s="1"/>
  <c r="B115" i="4"/>
  <c r="C61" i="4"/>
  <c r="C91" i="4"/>
  <c r="B41" i="4"/>
  <c r="J42" i="2" s="1"/>
  <c r="B35" i="4"/>
  <c r="J37" i="2" s="1"/>
  <c r="J28" i="2"/>
  <c r="J30" i="2" s="1"/>
  <c r="B27" i="4"/>
  <c r="J25" i="2" s="1"/>
  <c r="C80" i="4"/>
  <c r="C74" i="4"/>
  <c r="C69" i="4"/>
  <c r="C101" i="4"/>
  <c r="B17" i="4"/>
  <c r="C247" i="5"/>
  <c r="C240" i="5"/>
  <c r="C236" i="5"/>
  <c r="C290" i="5"/>
  <c r="C286" i="5"/>
  <c r="C341" i="5"/>
  <c r="C344" i="5" s="1"/>
  <c r="C347" i="5" s="1"/>
  <c r="C350" i="5" s="1"/>
  <c r="B221" i="5"/>
  <c r="AD25" i="2" s="1"/>
  <c r="B213" i="4"/>
  <c r="B211" i="4" l="1"/>
  <c r="AL16" i="2"/>
  <c r="AL19" i="2"/>
  <c r="J20" i="2"/>
  <c r="J22" i="2"/>
  <c r="J23" i="2" s="1"/>
  <c r="J24" i="2" s="1"/>
  <c r="L22" i="2"/>
  <c r="L23" i="2" s="1"/>
  <c r="L24" i="2" s="1"/>
  <c r="J44" i="2"/>
  <c r="J53" i="2" s="1"/>
  <c r="L34" i="2"/>
  <c r="L35" i="2" s="1"/>
  <c r="L30" i="2"/>
  <c r="L31" i="2" s="1"/>
  <c r="L32" i="2" s="1"/>
  <c r="L44" i="2"/>
  <c r="L53" i="2" s="1"/>
  <c r="B223" i="4"/>
  <c r="N28" i="2" s="1"/>
  <c r="N30" i="2" s="1"/>
  <c r="N31" i="2" s="1"/>
  <c r="N32" i="2" s="1"/>
  <c r="J48" i="2"/>
  <c r="J56" i="2" s="1"/>
  <c r="J34" i="2"/>
  <c r="J35" i="2" s="1"/>
  <c r="L48" i="2"/>
  <c r="L56" i="2" s="1"/>
  <c r="L51" i="2"/>
  <c r="L61" i="2" s="1"/>
  <c r="B403" i="4"/>
  <c r="R15" i="2" s="1"/>
  <c r="J51" i="2"/>
  <c r="J61" i="2" s="1"/>
  <c r="J16" i="2"/>
  <c r="Z49" i="2"/>
  <c r="Z45" i="2"/>
  <c r="Z46" i="2" s="1"/>
  <c r="Z48" i="2"/>
  <c r="Z56" i="2" s="1"/>
  <c r="Z50" i="2"/>
  <c r="Z23" i="2"/>
  <c r="Z24" i="2" s="1"/>
  <c r="Z36" i="2"/>
  <c r="Z52" i="2" s="1"/>
  <c r="Z62" i="2" s="1"/>
  <c r="Z40" i="2"/>
  <c r="Z41" i="2" s="1"/>
  <c r="Z31" i="2"/>
  <c r="Z32" i="2" s="1"/>
  <c r="Z53" i="2"/>
  <c r="Z26" i="2"/>
  <c r="Z27" i="2" s="1"/>
  <c r="Z34" i="2"/>
  <c r="Z35" i="2" s="1"/>
  <c r="AD50" i="2"/>
  <c r="AD53" i="2"/>
  <c r="AD40" i="2"/>
  <c r="AD41" i="2" s="1"/>
  <c r="AD23" i="2"/>
  <c r="AD24" i="2" s="1"/>
  <c r="AD34" i="2"/>
  <c r="AD35" i="2" s="1"/>
  <c r="AD31" i="2"/>
  <c r="AD32" i="2" s="1"/>
  <c r="AD45" i="2"/>
  <c r="AD46" i="2" s="1"/>
  <c r="AD36" i="2"/>
  <c r="AD52" i="2" s="1"/>
  <c r="AD62" i="2" s="1"/>
  <c r="AD19" i="2"/>
  <c r="AD48" i="2" s="1"/>
  <c r="AD56" i="2" s="1"/>
  <c r="AH34" i="2"/>
  <c r="AH35" i="2" s="1"/>
  <c r="AH36" i="2"/>
  <c r="AH52" i="2" s="1"/>
  <c r="AH62" i="2" s="1"/>
  <c r="AH19" i="2"/>
  <c r="AH48" i="2" s="1"/>
  <c r="AH56" i="2" s="1"/>
  <c r="AH23" i="2"/>
  <c r="AH24" i="2" s="1"/>
  <c r="AH40" i="2"/>
  <c r="AH41" i="2" s="1"/>
  <c r="AH26" i="2"/>
  <c r="AH27" i="2" s="1"/>
  <c r="AH31" i="2"/>
  <c r="AH32" i="2" s="1"/>
  <c r="AH50" i="2"/>
  <c r="AH49" i="2"/>
  <c r="V45" i="2"/>
  <c r="V46" i="2" s="1"/>
  <c r="V31" i="2"/>
  <c r="V32" i="2" s="1"/>
  <c r="V36" i="2"/>
  <c r="V52" i="2" s="1"/>
  <c r="V62" i="2" s="1"/>
  <c r="V26" i="2"/>
  <c r="V27" i="2" s="1"/>
  <c r="V40" i="2"/>
  <c r="V41" i="2" s="1"/>
  <c r="V23" i="2"/>
  <c r="V24" i="2" s="1"/>
  <c r="V34" i="2"/>
  <c r="V35" i="2" s="1"/>
  <c r="V53" i="2"/>
  <c r="V50" i="2"/>
  <c r="AL40" i="2"/>
  <c r="AL41" i="2" s="1"/>
  <c r="AL26" i="2"/>
  <c r="AL27" i="2" s="1"/>
  <c r="AL50" i="2"/>
  <c r="AL31" i="2"/>
  <c r="AL32" i="2" s="1"/>
  <c r="AL49" i="2"/>
  <c r="AL36" i="2"/>
  <c r="AL52" i="2" s="1"/>
  <c r="AL62" i="2" s="1"/>
  <c r="AL34" i="2"/>
  <c r="AL35" i="2" s="1"/>
  <c r="AL23" i="2"/>
  <c r="AL24" i="2" s="1"/>
  <c r="AL48" i="2"/>
  <c r="AL56" i="2" s="1"/>
  <c r="AL53" i="2"/>
  <c r="AL45" i="2"/>
  <c r="AL46" i="2" s="1"/>
  <c r="V49" i="2"/>
  <c r="X45" i="2"/>
  <c r="X46" i="2" s="1"/>
  <c r="X40" i="2"/>
  <c r="X41" i="2" s="1"/>
  <c r="X23" i="2"/>
  <c r="X24" i="2" s="1"/>
  <c r="X34" i="2"/>
  <c r="X35" i="2" s="1"/>
  <c r="X19" i="2"/>
  <c r="X48" i="2" s="1"/>
  <c r="X56" i="2" s="1"/>
  <c r="X50" i="2"/>
  <c r="X31" i="2"/>
  <c r="X32" i="2" s="1"/>
  <c r="X36" i="2"/>
  <c r="X52" i="2" s="1"/>
  <c r="X62" i="2" s="1"/>
  <c r="X53" i="2"/>
  <c r="AJ50" i="2"/>
  <c r="AJ26" i="2"/>
  <c r="AJ27" i="2" s="1"/>
  <c r="AJ19" i="2"/>
  <c r="AJ48" i="2" s="1"/>
  <c r="AJ56" i="2" s="1"/>
  <c r="AJ23" i="2"/>
  <c r="AJ24" i="2" s="1"/>
  <c r="AJ34" i="2"/>
  <c r="AJ35" i="2" s="1"/>
  <c r="AJ40" i="2"/>
  <c r="AJ41" i="2" s="1"/>
  <c r="AJ36" i="2"/>
  <c r="AJ52" i="2" s="1"/>
  <c r="AJ62" i="2" s="1"/>
  <c r="AJ31" i="2"/>
  <c r="AJ32" i="2" s="1"/>
  <c r="AJ49" i="2"/>
  <c r="AF49" i="2"/>
  <c r="AF40" i="2"/>
  <c r="AF41" i="2" s="1"/>
  <c r="AF36" i="2"/>
  <c r="AF52" i="2" s="1"/>
  <c r="AF62" i="2" s="1"/>
  <c r="AF34" i="2"/>
  <c r="AF35" i="2" s="1"/>
  <c r="AF26" i="2"/>
  <c r="AF27" i="2" s="1"/>
  <c r="AF23" i="2"/>
  <c r="AF24" i="2" s="1"/>
  <c r="AF19" i="2"/>
  <c r="AF48" i="2" s="1"/>
  <c r="AF56" i="2" s="1"/>
  <c r="V51" i="2"/>
  <c r="V61" i="2" s="1"/>
  <c r="Z51" i="2"/>
  <c r="Z61" i="2" s="1"/>
  <c r="AD51" i="2"/>
  <c r="AD61" i="2" s="1"/>
  <c r="AH51" i="2"/>
  <c r="AH61" i="2" s="1"/>
  <c r="AL51" i="2"/>
  <c r="AL61" i="2" s="1"/>
  <c r="X51" i="2"/>
  <c r="X61" i="2" s="1"/>
  <c r="AF51" i="2"/>
  <c r="AF61" i="2" s="1"/>
  <c r="AJ51" i="2"/>
  <c r="AJ61" i="2" s="1"/>
  <c r="B317" i="4"/>
  <c r="P28" i="2" s="1"/>
  <c r="P30" i="2" s="1"/>
  <c r="P31" i="2" s="1"/>
  <c r="P32" i="2" s="1"/>
  <c r="R30" i="2"/>
  <c r="R31" i="2" s="1"/>
  <c r="R32" i="2" s="1"/>
  <c r="B309" i="4"/>
  <c r="P15" i="2" s="1"/>
  <c r="J49" i="2"/>
  <c r="J26" i="2"/>
  <c r="J27" i="2" s="1"/>
  <c r="B307" i="4"/>
  <c r="J31" i="2"/>
  <c r="J32" i="2" s="1"/>
  <c r="J50" i="2"/>
  <c r="L26" i="2"/>
  <c r="L27" i="2" s="1"/>
  <c r="L49" i="2"/>
  <c r="L50" i="2"/>
  <c r="N50" i="2"/>
  <c r="F50" i="2"/>
  <c r="F23" i="2"/>
  <c r="F24" i="2" s="1"/>
  <c r="F49" i="2"/>
  <c r="F26" i="2"/>
  <c r="F27" i="2" s="1"/>
  <c r="F39" i="2"/>
  <c r="P51" i="2"/>
  <c r="P61" i="2" s="1"/>
  <c r="P44" i="2"/>
  <c r="P39" i="2"/>
  <c r="P34" i="2"/>
  <c r="P35" i="2" s="1"/>
  <c r="P26" i="2"/>
  <c r="P27" i="2" s="1"/>
  <c r="P49" i="2"/>
  <c r="P48" i="2"/>
  <c r="P56" i="2" s="1"/>
  <c r="P22" i="2"/>
  <c r="P23" i="2" s="1"/>
  <c r="P24" i="2" s="1"/>
  <c r="AB36" i="2"/>
  <c r="AB52" i="2" s="1"/>
  <c r="AB62" i="2" s="1"/>
  <c r="AB23" i="2"/>
  <c r="AB24" i="2" s="1"/>
  <c r="AB19" i="2"/>
  <c r="AB48" i="2" s="1"/>
  <c r="AB56" i="2" s="1"/>
  <c r="AB45" i="2"/>
  <c r="AB46" i="2" s="1"/>
  <c r="AB53" i="2"/>
  <c r="AB31" i="2"/>
  <c r="AB32" i="2" s="1"/>
  <c r="AB50" i="2"/>
  <c r="AB40" i="2"/>
  <c r="AB41" i="2" s="1"/>
  <c r="X49" i="2"/>
  <c r="X26" i="2"/>
  <c r="X27" i="2" s="1"/>
  <c r="AB49" i="2"/>
  <c r="AB26" i="2"/>
  <c r="AB27" i="2" s="1"/>
  <c r="F51" i="2"/>
  <c r="F61" i="2" s="1"/>
  <c r="F34" i="2"/>
  <c r="F35" i="2" s="1"/>
  <c r="H51" i="2"/>
  <c r="H61" i="2" s="1"/>
  <c r="H34" i="2"/>
  <c r="H35" i="2" s="1"/>
  <c r="AD49" i="2"/>
  <c r="AD26" i="2"/>
  <c r="AD27" i="2" s="1"/>
  <c r="J39" i="2"/>
  <c r="J36" i="2"/>
  <c r="L39" i="2"/>
  <c r="L36" i="2"/>
  <c r="R44" i="2"/>
  <c r="R39" i="2"/>
  <c r="R34" i="2"/>
  <c r="R35" i="2" s="1"/>
  <c r="R26" i="2"/>
  <c r="R27" i="2" s="1"/>
  <c r="R51" i="2"/>
  <c r="R61" i="2" s="1"/>
  <c r="R49" i="2"/>
  <c r="H49" i="2"/>
  <c r="H22" i="2"/>
  <c r="H23" i="2" s="1"/>
  <c r="H24" i="2" s="1"/>
  <c r="H26" i="2"/>
  <c r="H27" i="2" s="1"/>
  <c r="H50" i="2"/>
  <c r="H39" i="2"/>
  <c r="N44" i="2"/>
  <c r="N39" i="2"/>
  <c r="N34" i="2"/>
  <c r="N35" i="2" s="1"/>
  <c r="N26" i="2"/>
  <c r="N27" i="2" s="1"/>
  <c r="N51" i="2"/>
  <c r="N61" i="2" s="1"/>
  <c r="N49" i="2"/>
  <c r="N22" i="2"/>
  <c r="N23" i="2" s="1"/>
  <c r="N24" i="2" s="1"/>
  <c r="N48" i="2"/>
  <c r="N56" i="2" s="1"/>
  <c r="R22" i="2"/>
  <c r="R23" i="2" s="1"/>
  <c r="R24" i="2" s="1"/>
  <c r="R48" i="2"/>
  <c r="R56" i="2" s="1"/>
  <c r="AB51" i="2"/>
  <c r="AB61" i="2" s="1"/>
  <c r="AB34" i="2"/>
  <c r="AB35" i="2" s="1"/>
  <c r="N15" i="2"/>
  <c r="B401" i="4"/>
  <c r="J45" i="2" l="1"/>
  <c r="J46" i="2" s="1"/>
  <c r="R50" i="2"/>
  <c r="R59" i="2" s="1"/>
  <c r="L45" i="2"/>
  <c r="L46" i="2" s="1"/>
  <c r="P50" i="2"/>
  <c r="N40" i="2"/>
  <c r="N41" i="2" s="1"/>
  <c r="N52" i="2"/>
  <c r="N62" i="2" s="1"/>
  <c r="H40" i="2"/>
  <c r="H41" i="2" s="1"/>
  <c r="H52" i="2"/>
  <c r="H62" i="2" s="1"/>
  <c r="R45" i="2"/>
  <c r="R46" i="2" s="1"/>
  <c r="R53" i="2"/>
  <c r="L40" i="2"/>
  <c r="L41" i="2" s="1"/>
  <c r="L52" i="2"/>
  <c r="L62" i="2" s="1"/>
  <c r="J52" i="2"/>
  <c r="J62" i="2" s="1"/>
  <c r="J40" i="2"/>
  <c r="J41" i="2" s="1"/>
  <c r="P40" i="2"/>
  <c r="P41" i="2" s="1"/>
  <c r="P52" i="2"/>
  <c r="P62" i="2" s="1"/>
  <c r="N45" i="2"/>
  <c r="N46" i="2" s="1"/>
  <c r="N53" i="2"/>
  <c r="R40" i="2"/>
  <c r="R41" i="2" s="1"/>
  <c r="R52" i="2"/>
  <c r="R62" i="2" s="1"/>
  <c r="P45" i="2"/>
  <c r="P46" i="2" s="1"/>
  <c r="P53" i="2"/>
  <c r="F40" i="2"/>
  <c r="F41" i="2" s="1"/>
  <c r="F52" i="2"/>
  <c r="F62" i="2" s="1"/>
</calcChain>
</file>

<file path=xl/sharedStrings.xml><?xml version="1.0" encoding="utf-8"?>
<sst xmlns="http://schemas.openxmlformats.org/spreadsheetml/2006/main" count="1280" uniqueCount="677">
  <si>
    <t>CO₂ RAP rate based on natural gas carbon content factor listed in EIIP Report, Vol. VIII, Table 1.4-3, page 1.4-9, Oct. 1999 that is 100% oxidized per IPCC</t>
  </si>
  <si>
    <t>Centaur 50 units of higher NOx emissions (i.e. 25 ppm and 38 ppm of NOx) have the CO emission maximum limit of 50 ppm CO.</t>
  </si>
  <si>
    <t>Capstone C30 - 30 kW - Fuel: Natural Gas (High Pressure);</t>
  </si>
  <si>
    <t>Reported heat rate of 13,100 Btu/kWh is based on Natural Gas LHV</t>
  </si>
  <si>
    <t>Reported heat rate of 10,830 Btu/kWe-hr based on Natural Gas LHV.</t>
  </si>
  <si>
    <t>Reported heat rate of 10,365 Btu/kWe-hr based on Natural Gas LHV.</t>
  </si>
  <si>
    <t>Reported heat rate of 9,695 Btu/kWe-hr based on Natural Gas LHV.</t>
  </si>
  <si>
    <r>
      <t>Siemens SGT 400 - 12.9 MW(e)/14.40 MW(e), 50/60Hz</t>
    </r>
    <r>
      <rPr>
        <vertAlign val="superscript"/>
        <sz val="10"/>
        <color indexed="8"/>
        <rFont val="Arial"/>
        <family val="2"/>
      </rPr>
      <t xml:space="preserve"> [1]</t>
    </r>
  </si>
  <si>
    <r>
      <t>RAP listed emission rate of 2.5 ppm NOx is per NSR/RBLC data for Westbrook Power, LLC (RBLC Id: ME-0018) in Maine, for two GE combustion turbines, combined cycle with a total output of 528 MW on natural gas; The 2.5 ppm NOx is a LAER determination (not verified per EPA data base - see link below). Note that data for this unit also indicate the emission rates: 15 ppm CO, 0.06 lb/MMBtu PM (total), 0.006 lb/MMBtu SO</t>
    </r>
    <r>
      <rPr>
        <sz val="10"/>
        <color indexed="8"/>
        <rFont val="Calibri"/>
        <family val="2"/>
      </rPr>
      <t>₂</t>
    </r>
    <r>
      <rPr>
        <sz val="10"/>
        <color theme="1"/>
        <rFont val="Arial"/>
        <family val="2"/>
      </rPr>
      <t xml:space="preserve"> and 0.4 ppm VOC (15% O</t>
    </r>
    <r>
      <rPr>
        <sz val="10"/>
        <color indexed="8"/>
        <rFont val="Calibri"/>
        <family val="2"/>
      </rPr>
      <t>₂</t>
    </r>
    <r>
      <rPr>
        <sz val="10"/>
        <color theme="1"/>
        <rFont val="Arial"/>
        <family val="2"/>
      </rPr>
      <t>) - all data not verified.</t>
    </r>
  </si>
  <si>
    <t>ATS Gas Turbine</t>
  </si>
  <si>
    <t>Table 4.9</t>
  </si>
  <si>
    <t xml:space="preserve">Solar Turbines Inc., 2012 Data Sheets - Power Generation: DSM50PG/512/EO </t>
  </si>
  <si>
    <t>http://mysolar.cat.com/cda/files/126873/7/dsm50pg.pdf</t>
  </si>
  <si>
    <t>See publication TPS60GS/309: "Turbomachinery Package Specification Taurus 60 Generator Set", 2009 Solar Turbines Inc., link below, page 25-27, Table 6 "Fuel System Specifications" for available configurations, acceptable fuels and detailed specifications, at web link below:</t>
  </si>
  <si>
    <t>For units model Taurus 60, of higher NOx emissions (i.e. 25 ppm and 38 ppm of NOx) the CO emission maximum limit is 50 ppm CO</t>
  </si>
  <si>
    <t>Solar Turbines Inc., offers also, Taurus 60 units, with 25 ppm NOx and 38 ppm NOx, at lower costs, see publication PIL 233, Solar Turbines Inc. Caterpillar Confidential Green, 09 February 2011.</t>
  </si>
  <si>
    <r>
      <t>GE S-207FA (2 x MS70001FA) - 529.9 MW, 60Hz</t>
    </r>
    <r>
      <rPr>
        <vertAlign val="superscript"/>
        <sz val="10"/>
        <color indexed="8"/>
        <rFont val="Arial"/>
        <family val="2"/>
      </rPr>
      <t xml:space="preserve"> [1]</t>
    </r>
  </si>
  <si>
    <t>RAP
Compliance
Yes/No</t>
  </si>
  <si>
    <t>GAS IC AND DIESEL ENGINES</t>
  </si>
  <si>
    <t>Gas IC Engine</t>
  </si>
  <si>
    <t>Table 3.1</t>
  </si>
  <si>
    <t>g/hp-hr NOx lean burn engine</t>
  </si>
  <si>
    <t>Btu/hp-hr fuel consumption rate (100% load)</t>
  </si>
  <si>
    <t>EPA's "Catalog of CHP Technologies, December 2008", Section: Technology Characterization: Reciprocating Engines, page 10, Table 2, System 2 (GE Jenbacher JMS 312 GS-N.L – 625 kW)</t>
  </si>
  <si>
    <t>Table 3.2</t>
  </si>
  <si>
    <t>kW</t>
  </si>
  <si>
    <t>Table 1: Emission Rates for New DG Technologies</t>
  </si>
  <si>
    <t>Notes:</t>
  </si>
  <si>
    <t>Solid Oxide Fuel Cell</t>
  </si>
  <si>
    <t>Phosphoric Acid Fuel Cell</t>
  </si>
  <si>
    <r>
      <t>Efficiency (</t>
    </r>
    <r>
      <rPr>
        <sz val="10"/>
        <color indexed="8"/>
        <rFont val="Calibri"/>
        <family val="2"/>
      </rPr>
      <t>η</t>
    </r>
    <r>
      <rPr>
        <sz val="8"/>
        <color indexed="8"/>
        <rFont val="Arial"/>
        <family val="2"/>
      </rPr>
      <t>)</t>
    </r>
  </si>
  <si>
    <t>NOx</t>
  </si>
  <si>
    <t>g/hp-hr</t>
  </si>
  <si>
    <r>
      <t>ppm@15% O</t>
    </r>
    <r>
      <rPr>
        <sz val="10"/>
        <color indexed="8"/>
        <rFont val="Calibri"/>
        <family val="2"/>
      </rPr>
      <t>₂</t>
    </r>
  </si>
  <si>
    <t>Tons/Yr</t>
  </si>
  <si>
    <r>
      <t>SO</t>
    </r>
    <r>
      <rPr>
        <sz val="10"/>
        <color indexed="8"/>
        <rFont val="Calibri"/>
        <family val="2"/>
      </rPr>
      <t>₂</t>
    </r>
  </si>
  <si>
    <t>lb/MMBtu</t>
  </si>
  <si>
    <t>lb/day</t>
  </si>
  <si>
    <t>Tons/yr</t>
  </si>
  <si>
    <t>PM-10</t>
  </si>
  <si>
    <r>
      <t>CO</t>
    </r>
    <r>
      <rPr>
        <sz val="10"/>
        <color indexed="8"/>
        <rFont val="Calibri"/>
        <family val="2"/>
      </rPr>
      <t>₂</t>
    </r>
  </si>
  <si>
    <t>CO</t>
  </si>
  <si>
    <t>?</t>
  </si>
  <si>
    <t>UHC</t>
  </si>
  <si>
    <t>lb/MWh</t>
  </si>
  <si>
    <t>-</t>
  </si>
  <si>
    <t>Value</t>
  </si>
  <si>
    <t>Factor</t>
  </si>
  <si>
    <t>Source</t>
  </si>
  <si>
    <t>Comments</t>
  </si>
  <si>
    <t>FUEL CELLS</t>
  </si>
  <si>
    <t>Solid Oxide Fuel Cells</t>
  </si>
  <si>
    <r>
      <t xml:space="preserve">Siemens Westinghouse SFC 200 - 125 kW </t>
    </r>
    <r>
      <rPr>
        <b/>
        <vertAlign val="superscript"/>
        <sz val="10"/>
        <color indexed="8"/>
        <rFont val="Arial"/>
        <family val="2"/>
      </rPr>
      <t>[1]</t>
    </r>
  </si>
  <si>
    <t>Table 2.1</t>
  </si>
  <si>
    <t>Btu/kWh heat rate, HHV</t>
  </si>
  <si>
    <t>EPA's "Catalog of CHP Technologies, Dec. 2008", Section: Technology Characterization: Fuel Cells, Page14, Table 2, System 6 (SFC 200-125 kW)</t>
  </si>
  <si>
    <t>http://www.epa.gov/chp/documents/catalog_chptech_fuel_cells.pdf</t>
  </si>
  <si>
    <t>[4], [5]</t>
  </si>
  <si>
    <t>ppm NOx @ 15% O₂</t>
  </si>
  <si>
    <t>lb/MMBtu SO₂</t>
  </si>
  <si>
    <t>http://www.epa.gov/ttnchie1/ap42/ch01/final/c01s04.pdf</t>
  </si>
  <si>
    <t>ppm PM-10</t>
  </si>
  <si>
    <t>ppm CO</t>
  </si>
  <si>
    <t>lb/MMBtu CO₂</t>
  </si>
  <si>
    <t>http://www.epa.gov/chp/technologies.html</t>
  </si>
  <si>
    <t>http://www.epa.gov/chp/documents/catalog_chptech_full.pdf</t>
  </si>
  <si>
    <t>TURBINES</t>
  </si>
  <si>
    <t>Microturbine</t>
  </si>
  <si>
    <t>Capstone C30 - 30 kW</t>
  </si>
  <si>
    <t>Table 4.1</t>
  </si>
  <si>
    <t>2010 Capstone Turbine Corporation. 0911 C30 Natural Gas Data Sheet CAP135 | Capstone P/N 331031E</t>
  </si>
  <si>
    <t>http://www.capstoneturbine.com/_docs/datasheets/C30%20NatGas_331031E_lowres.pdf</t>
  </si>
  <si>
    <t>Capstone C30, 30 kW MicroTurbine - Natural Gas (High Pressure), Electrical Efficiency (LHV) reported is 26%</t>
  </si>
  <si>
    <t>&lt;9</t>
  </si>
  <si>
    <t>EPA AP-42, 5th Ed, Vol. I, Chapter 3: Stationary Internal Combustion Sources, Section 3.1: Stationary Gas Turbines (Suppl. F, Apr. 2000), Table 3.1-2a</t>
  </si>
  <si>
    <t>http://www.epa.gov/ttn/chief/ap42/ch03/final/c03s01.pdf</t>
  </si>
  <si>
    <t>EPA's "Catalog of CHP Technologies, December 2008", Section: Technology Characterization: Microturbines, page 21, Table 4, System 1 (Capstone C30)</t>
  </si>
  <si>
    <t>http://www.epa.gov/chp/documents/catalog_chptech_microturbines.pdf</t>
  </si>
  <si>
    <t>or full catalog at:</t>
  </si>
  <si>
    <t>EPA's CHP Overview page:</t>
  </si>
  <si>
    <t>Small Turbine</t>
  </si>
  <si>
    <t>Table 4.2</t>
  </si>
  <si>
    <t xml:space="preserve">Solar Turbines Inc., 2012 Data Sheets - Power Generation: DS50PG/512/EO </t>
  </si>
  <si>
    <t>http://mysolar.cat.com/cda/files/126911/7/ds50pg.pdf</t>
  </si>
  <si>
    <t>Product Information Letter - PIL 233, Solar Turbines Inc. Caterpillar Confidential Green, 09 February 2011</t>
  </si>
  <si>
    <t>As recommended by Product Information Letter - PIL 168, Rev 4, Solar Turbines Inc. Caterpillar Confidential Green, 14 May 2012</t>
  </si>
  <si>
    <t>Product Information Letter - PIL 171, Rev 3, Solar Turbines Inc. Caterpillar Confidential Green, 01 June 2012</t>
  </si>
  <si>
    <t>Solar Turbines PM 10/2.5 emission factors for Natural Gas; Other values: 
Landfill Gas: 0.03 lb/MMBtu input HHV; Liquid Fuel: 0.06 lb/MMBtu input HHV</t>
  </si>
  <si>
    <t>http://www.epa.gov/chp/documents/catalog_chptech_gas_turbines.pdf</t>
  </si>
  <si>
    <t>See publication TPS50GS/309: "Turbomachinery Package Specification Centaur 50 Generator Set", 2009 Solar Turbines Inc., web link below, page 25-27, Table 6 "Fuel System Specifications" for available configurations, acceptable fuels and detailed specifications:</t>
  </si>
  <si>
    <t>http://mysolar.cat.com/cda/files/2050523/7/TPS50GS.pdf</t>
  </si>
  <si>
    <t>Solar Turbines Inc., offers also, Centaur 50 units with 25 ppm NOx and 38 ppm NOx, at lower costs, see publication PIL 233, Solar Turbines Inc. Caterpillar Confidential Green, 09 Feb 2011.</t>
  </si>
  <si>
    <t>Solar Turbines Inc. recommends repetitive testing using EPA Methods 201/201A, 202 and 5 instead of the EPA's AP-42 factors, as being more representative and more accurate - see publication PIL 171 for details.</t>
  </si>
  <si>
    <t>Small Turbine (continued)</t>
  </si>
  <si>
    <t>Table 4.3</t>
  </si>
  <si>
    <t xml:space="preserve">Solar Turbines Inc., 2012 Data Sheets - Power Generation: DS60PG/512/EO </t>
  </si>
  <si>
    <t>[3], [4]</t>
  </si>
  <si>
    <t>http://mysolar.cat.com/cda/files/126904/7/ds60pg.pdf</t>
  </si>
  <si>
    <t>http://mysolar.cat.com/cda/files/2050495/7/TPS60GS.pdf</t>
  </si>
  <si>
    <t>Medium Turbine</t>
  </si>
  <si>
    <t>Table 4.4</t>
  </si>
  <si>
    <t xml:space="preserve">Solar Turbines Inc., 2012 Data Sheets - Power Generation: DS100PG/512/EO </t>
  </si>
  <si>
    <t>http://mysolar.cat.com/cda/files/126902/7/ds100pg.pdf</t>
  </si>
  <si>
    <t>Solar Mars 100 - 11.35MW - with SoLoNOx, on 50-100% Load Range, 
0 - 120ºF ambient temperature</t>
  </si>
  <si>
    <t>See publication TPS90-100GS/309: "Turbomachinery Package Specification Mars 90 and Mars 100 Generator Set", 2009 Solar Turbines Inc., link below, pages 24 - 27, Table 8 "Fuel System Specifications" for acceptable fuels and detailed specifications, see web link below:</t>
  </si>
  <si>
    <t>http://mysolar.cat.com/cda/files/2050499/7/TPS90-100GS.pdf</t>
  </si>
  <si>
    <t>Solar Turbines Inc., offers also, "Mars 100" units with 25 ppm NOx and 38 ppm NOx, at lower costs, see publication PIL 233, Solar Turbines Inc. Caterpillar Confidential Green, 09 February 2011.</t>
  </si>
  <si>
    <t>For all other Mars 100 units (of higher NOx emissions) the CO emission maximum limit is 50 ppm CO.</t>
  </si>
  <si>
    <t>Medium Turbine (continued)</t>
  </si>
  <si>
    <t>Table 4.5</t>
  </si>
  <si>
    <t xml:space="preserve">Solar Turbines Inc., 2012 Data Sheets - Power Generation: DS130PG/512/EO </t>
  </si>
  <si>
    <t>http://mysolar.cat.com/cda/files/126899/7/ds130pg.pdf</t>
  </si>
  <si>
    <t>See publication TPS130OS-GS/309: "Turbomachinery Package Specification TitanTM 130 Onshore Generator Set", 2009 Solar Turbines Inc., link below, page 24 and 25, Table 6 "Fuel System Specifications" for acceptable fuels and detailed specifications, see web link below:</t>
  </si>
  <si>
    <t>http://mysolar.cat.com/cda/files/2050543/7/TPS130OS-GS.pdf</t>
  </si>
  <si>
    <t>Solar Turbines Inc., offers also, Titan 130 units with 25 ppm NOx and 38 ppm NOx, at lower costs, see publication PIL 233, Solar Turbines Inc. Caterpillar Confidential Green, 09 February 2011.</t>
  </si>
  <si>
    <t>For all other Titan 130 units (of higher NOx emissions) the CO emission maximum limit is 50 ppm CO.</t>
  </si>
  <si>
    <t>Table 4.6</t>
  </si>
  <si>
    <t xml:space="preserve">Siemens website - SGT-400 Industrial Gas Turbine - Power Generation ISO, 50/60 Hz, 12.90 MW(e) / 14.40 MW(e); </t>
  </si>
  <si>
    <t>Siemens SGT 400 - 12.9 MW(e)/14.40 MW(e), 50/60Hz - Fuel: Natural Gas / Liquid /Dual and other fuels - Reported a heat rate for natural gas (LHV) is 9,700 Btu/kWh</t>
  </si>
  <si>
    <t>http://www.energy.siemens.com/hq/en/power-generation/gas-turbines/sgt-400.htm#content=Technical%20Data</t>
  </si>
  <si>
    <t>Siemens SGT 400 - 12.9 MW(e)/14.40 MW(e), 50/60Hz Efficiency (LHV) reported is 35.2% (LHV) at 60Hz</t>
  </si>
  <si>
    <t>≤ 15</t>
  </si>
  <si>
    <t>http://www.epa.gov/chp/documents/catalog_chptech_reciprocating_engines.pdf</t>
  </si>
  <si>
    <t>http://www.energy.siemens.com/hq/pool/hq/power-generation/gas-turbines/SGT-400/Brochure%20Gas%20Turbine%20SGT-400%20for%20Power%20Generation.pdf</t>
  </si>
  <si>
    <t>Unit with Dry Low Emissions (DLE) Technology; NOx rate corrected to 15% O₂ dry, per 2009 "SGT-400 Gas Turbine for Power Generation" brochure</t>
  </si>
  <si>
    <t>Not available from Siemens web site</t>
  </si>
  <si>
    <t>≤ 10</t>
  </si>
  <si>
    <t>Large Gas Combined Cycle</t>
  </si>
  <si>
    <t>Table 4.7</t>
  </si>
  <si>
    <t>GE Power Systems, GE Combined-Cycle Product Line and Performance, GER-3574G (10/00), page 9, Table 5 - 60Hz STAG Performance,</t>
  </si>
  <si>
    <t>http://site.ge-energy.com/prod_serv/products/tech_docs/en/downloads/ger3574g.pdf</t>
  </si>
  <si>
    <t>≤ 9</t>
  </si>
  <si>
    <t>http://site.ge-energy.com/prod_serv/products/gas_turbines_cc/en/downloads/GEA12985H.pdf</t>
  </si>
  <si>
    <t>EPA AP-42, 5th Ed, Vol. I, Chapter 3: Stationary Internal Combustion Sources, Section 3.1.5 "Updates Since Fifth Edition", Supplement A, February 1996.</t>
  </si>
  <si>
    <t>Not available from GE listed references in note 1. RAP lists 2 ppm HC but fails to reveal the source</t>
  </si>
  <si>
    <t>GE S-207FA (2 x MS70001FA) - 529.9 MW, 60Hz, is a s a high efficiency combined cycle, STAG (acronym for Steam_And_Gas) unit, comprised from two GT (gas turbine) heavy duty, frame 7FA, multi-shaft (MS) configuration. Unit performance data, both complementary and replicate (same emission rates, heat rate and efficiency) can be found in several web documents, published between 2000 and 2009 such as:</t>
  </si>
  <si>
    <t xml:space="preserve">Assessment referring to TWC efficiency for NOx and CO emissions reduction for rich burn engines mentioned in EPA's CHP Section on Reciprocating Engines, on page 24. </t>
  </si>
  <si>
    <t>Assessment referring to TWC efficiency for VOC's in the exhaust reductions for rich burn engines mentioned in EPA's CHP Section on Reciprocating Engines, on page 24.</t>
  </si>
  <si>
    <t xml:space="preserve">http://www.raponline.org/document/download/id/421 </t>
  </si>
  <si>
    <t>RAP-Emission Std. for Smaller Scale Generation, App. B, Table 2, Large Gas Combined Cycle</t>
  </si>
  <si>
    <t>RAP-Emissions Standards for Smaller Scale Generation, App. B, Table 2, ATS Gas Turbine</t>
  </si>
  <si>
    <t>RAP-Emissions Standards for Smaller Scale Generation, Appendix B, Table 2 Small Turbines</t>
  </si>
  <si>
    <t>RAP-Emissions Std. for Smaller Scale Generation, Appendix B, Table 2 Medium Turbines</t>
  </si>
  <si>
    <t>RAP-Emissions Std. for Smaller Scale Generation, App. B, Table 2, Large Gas Turbine</t>
  </si>
  <si>
    <t>Lean - burn</t>
  </si>
  <si>
    <t>Rich - burn</t>
  </si>
  <si>
    <t>EPA's "Catalog of CHP Technologies, December 2008", Section: Technology Characterization: Reciprocating Engines, page 10, Table 2, System 3 (GE Jenbacher JMS320 GS-N.L–1,050 kW)</t>
  </si>
  <si>
    <t>EPA's "Catalog of CHP Technologies, Dec. 2008", Section: Technology Characterization: Fuel Cells, Page14, Table 2, System 1 (UTC PC25-200kW)</t>
  </si>
  <si>
    <t>CAT G3516 DM5147
1200 RPM</t>
  </si>
  <si>
    <t>CAT G3612 DM5396
900 RPM</t>
  </si>
  <si>
    <t>CAT 3516B DM7931 
1800 RPM,</t>
  </si>
  <si>
    <t>RAP Rule - Phase III Compliance</t>
  </si>
  <si>
    <t>RAP-Emissions Std. for Smaller Scale Generation, App. B, Table 2, Solid Oxide Fuel Cells</t>
  </si>
  <si>
    <t>CO₂ RAP value, based on natural gas carbon content factor listed in EIIP Report, Vol. VIII, Table 1.4-3, page 1.4-9, Oct. 1999 that is 100% oxidized per IPCC.</t>
  </si>
  <si>
    <t>See publication GEA-13690A: "GE Energy Gas Engines, Jenbacher type 3", 2012 GE Jenbacher GmbH &amp; Co OG., web link below, for available configurations, acceptable fuels and technical specifications:</t>
  </si>
  <si>
    <t>http://www.ge-energy.com/content/multimedia/_files/downloads/ETS_E_T3_12_screen.pdf</t>
  </si>
  <si>
    <t>http://site.ge-energy.com/prod_serv/products/tech_docs/en/downloads/GER3430G.pdf</t>
  </si>
  <si>
    <t>EPA's "Catalog of CHP Technologies, Dec.2008", Section: Technology Characterization: Reciprocating Engines, page 25, Table 10, System 2(GE Jenbacher JMS320 GS-N.L – 625kW)</t>
  </si>
  <si>
    <t>http://www.epa.gov/ttn/chief/ap42/ch03/final/c03s02.pdf</t>
  </si>
  <si>
    <t>g/hp-hr total PM-10 filterable+condensable</t>
  </si>
  <si>
    <t>TWC CO reduction</t>
  </si>
  <si>
    <t>TWC HC reduction</t>
  </si>
  <si>
    <t>&gt; 90%</t>
  </si>
  <si>
    <t xml:space="preserve"> http://site.ge-energy.com/prod_serv/products/tech_docs/en/downloads/ger3574g.pdf</t>
  </si>
  <si>
    <t xml:space="preserve"> http://site.ge-energy.com/prod_serv/products/gas_turbines_cc/en/downloads/GEA12985H.pdf</t>
  </si>
  <si>
    <t xml:space="preserve"> http://site.ge-energy.com/prod_serv/products/gas_turbines_cc/en/f_class/ms7001fa.htm</t>
  </si>
  <si>
    <t xml:space="preserve"> http://www.ge-energy.com/products_and_services/products/gas_turbines_heavy_duty/7fa_heavy_duty_gas_turbine.jsp</t>
  </si>
  <si>
    <t>http://cfpub.epa.gov/rblc/index.cfm?action=PermitDetail.ProcessInfo&amp;facility_id=4275&amp;PROCESS_ID=1</t>
  </si>
  <si>
    <t>Large Gas Turbine</t>
  </si>
  <si>
    <t>GE 6FA (MS6001 FA) - 77.1 MW Simple Cycle, 50Hz or 60Hz [1]</t>
  </si>
  <si>
    <t>Table 4.8</t>
  </si>
  <si>
    <t>Not available from GE listed references in note 1. RAP lists 25 ppm UHC but does not reveal the source</t>
  </si>
  <si>
    <t>http://www.muellerenvironmental.com/documents/GER3567H.pdf</t>
  </si>
  <si>
    <t>http://site.ge-energy.com/prod_serv/products/tech_docs/en/downloads/ger3765b.pdf</t>
  </si>
  <si>
    <t>http://site.ge-energy.com/prod_serv/products/gas_turbines_cc/en/f_class/ms6001fa.htm</t>
  </si>
  <si>
    <t>http://www.ge-energy.com/products_and_services/products/gas_turbines_heavy_duty/6fa_heavy_duty_gas_turbine.jsp</t>
  </si>
  <si>
    <t>Electrical Efficiency, HHV</t>
  </si>
  <si>
    <t>g/hp-hr NOx</t>
  </si>
  <si>
    <r>
      <t xml:space="preserve">Caterpillar 3516B - DM7931, 1800 RPM, 60 Hz, 1,640 ekW (1,223 hp) </t>
    </r>
    <r>
      <rPr>
        <vertAlign val="superscript"/>
        <sz val="10"/>
        <color indexed="8"/>
        <rFont val="Arial"/>
        <family val="2"/>
      </rPr>
      <t>[1]</t>
    </r>
  </si>
  <si>
    <r>
      <t>GE Jenbacher JMS 312 GS-N.L – 625 kW (466 hp), 60 Hz 1800 RPM - rich burn</t>
    </r>
    <r>
      <rPr>
        <vertAlign val="superscript"/>
        <sz val="10"/>
        <color indexed="8"/>
        <rFont val="Arial"/>
        <family val="2"/>
      </rPr>
      <t xml:space="preserve"> [1]</t>
    </r>
  </si>
  <si>
    <r>
      <t>GE Jenbacher JMS 320 GS-N.L – 1,050 kW (783 hp), 60 Hz 1800 RPM - lean burn</t>
    </r>
    <r>
      <rPr>
        <vertAlign val="superscript"/>
        <sz val="10"/>
        <color indexed="8"/>
        <rFont val="Arial"/>
        <family val="2"/>
      </rPr>
      <t xml:space="preserve"> [1]</t>
    </r>
  </si>
  <si>
    <t>g/hp-hr THC lean burn engine</t>
  </si>
  <si>
    <t>http://www.cat.com/cda/files/847283/7/3516B%201640%20ekw%20Cont%20Low%20Emissions_EMCP4.pdf</t>
  </si>
  <si>
    <t>Gal/hr, fuel consumption 100% load with fan</t>
  </si>
  <si>
    <t>Btu/kWh heat rate, (100% load), HHV</t>
  </si>
  <si>
    <t>Btu/hp-hr fuel consumption (100% load) HHV</t>
  </si>
  <si>
    <t>EPA's "Catalog of CHP Technologies, Dec.2008", Section: Technology Characterization: Reciprocating Engines, page 25, Table 10, System 3(GE Jenbacher JMS320 GS-N.L–1,000kW)</t>
  </si>
  <si>
    <t>EPA AP-42, 5th Ed, Vol. I, Chapter 3: Stationary Internal Combustion Sources, Section 3.2: natural Gas-fired Reciprocating Engines (Suppl. F, Apr. 2000), page 3.2-11, Table 3.2-2 - Uncontrolled Emission Factors for 4-Stroke Lean Burn Engines.</t>
  </si>
  <si>
    <t>EPA AP-42, 5th Ed, Vol. I, Chapter 3: Stationary Internal Combustion Sources, Section 3.2: natural Gas-fired Reciprocating Engines (Suppl. F, Apr. 2000), page 3.2-15, Table 3.2-3 - Uncontrolled Emission Factors for 4-Stroke Rich Burn Engines</t>
  </si>
  <si>
    <t>cat CO reduction</t>
  </si>
  <si>
    <t>EPA's CHP Section on Reciprocating Engines does not provide specific data</t>
  </si>
  <si>
    <t>cat HC reduction</t>
  </si>
  <si>
    <t>Total PM-10 calculated as sum of PM 10 (filterable) factor and PM Condensable factor provided in AP 42 reference.</t>
  </si>
  <si>
    <t>g/hp-hr CO lean burn engine out</t>
  </si>
  <si>
    <t>CO₂ emission rate in lb/MMBtu calculated based on 1,142 lb CO₂/MWh and 9,760 Btu/kWh data reported in EPA reference mentioned in note 2 above, in Table 10 and respectively in Table 2, for System 3 (GE Jenbacher JMS 320 GS-N.L – 1,050 kW natural gas engine) resulted as:</t>
  </si>
  <si>
    <t>http://www.myfoleyinc.com/foleyinc/files/chp_Datasheet_460-820%20kW_G3516%201200%20RPM_2%20g%20NOx.pdf</t>
  </si>
  <si>
    <t>http://www.cat.com/cda/files/2846880/11/LEHE0331.pdf</t>
  </si>
  <si>
    <t>Caterpillar specification sheet, LEHE0331-01 (Nov-2011), "Gas Generator Set - Natural Gas Continuous 750-770 ekW, 937-962 kVA, 60 Hz, 1200 RPM" G3516 Genset, Cat Reference # (Features Code) 516GE55/DM5147, Engine Type: G3516 LE</t>
  </si>
  <si>
    <t>Gas IC Engine (continued)</t>
  </si>
  <si>
    <t>Electrical Efficiency, HHV can be estimated based on heat rate and mechanical equivalent of heat factor, as follows:</t>
  </si>
  <si>
    <t>Btu/kWh heat rate, (100% load), HHV, 0.8PF</t>
  </si>
  <si>
    <t>Btu/hp-hr fuel consumption (100% load) HHV, 0.8PF</t>
  </si>
  <si>
    <t>Electrical Efficiency, HHV, 0.8PF</t>
  </si>
  <si>
    <t>http://www.fossil.energy.gov/programs/powersystems/fuelcells/index.html</t>
  </si>
  <si>
    <t>Table 3.3</t>
  </si>
  <si>
    <t>Table 3.4</t>
  </si>
  <si>
    <t>Table 3.5</t>
  </si>
  <si>
    <t>N/A</t>
  </si>
  <si>
    <t xml:space="preserve">Not available from Siemens web site. RAP emission rate is listed instead - see explanation in note 5 below. </t>
  </si>
  <si>
    <t>Solar Titan 130 - 15 MW is also listed as an example of medium turbine, since Alstom Cyclone - 12.9 MW listed by RAP rule in Appendix B is obsolete.</t>
  </si>
  <si>
    <t>Siemens SGT 400 - 12.9 MW(e) is also listed as an example of medium turbine, since Alstom Cyclone - 12.9 MW listed by RAP rule in Appendix B is obsolete.</t>
  </si>
  <si>
    <t xml:space="preserve">EPA's "Catalog of CHP Technologies, Dec. 2008" Section Fuel Cells, page 11, mentions as typical Solid Oxide Fuel Cell (SOFC) the SFC 200 - 125 kW, a Siemens / Westinghouse Electric Co. pre-commercial product. SFC 200 specifications and emission rates are listed under "System 6" column, in Table 2 "Fuel Cell CHP - Typical Performance Parameters" on page 14 and in Table 5 "Estimated Fuel Cell Emission Characteristics without Additional Controls" on page 22. </t>
  </si>
  <si>
    <t>http://www.epa.gov/climatechange/Downloads/ghgemissions/US-GHG-Inventory-2012-Annexes.pdf</t>
  </si>
  <si>
    <t>Phosphoric Acid (ONSI) Fuel Cells (PAFC)</t>
  </si>
  <si>
    <r>
      <t xml:space="preserve">UTC PC25 - 200kW </t>
    </r>
    <r>
      <rPr>
        <b/>
        <vertAlign val="superscript"/>
        <sz val="10"/>
        <color indexed="8"/>
        <rFont val="Arial"/>
        <family val="2"/>
      </rPr>
      <t>[1]</t>
    </r>
  </si>
  <si>
    <t>Table 2.2</t>
  </si>
  <si>
    <t>[2], [3]</t>
  </si>
  <si>
    <t>[4]</t>
  </si>
  <si>
    <t>– Average Electric Output: 198 kW vs. rated 200 kW</t>
  </si>
  <si>
    <t>– Electrical Efficiency, listed on LHV basis as 37% and confirmed by the percentage ratio of the Total Energy Produced, in kWe-hrs and the Fuel Usage (LHV), in kWe-hrs, as follows:</t>
  </si>
  <si>
    <t>http://www.osti.gov/bridge/product.biblio.jsp?osti_id=896706</t>
  </si>
  <si>
    <t>Efficiency HHV calculated based on data sheet reported value of 38.5% (LHV) multiplied by LHV/HHV factor of 0.903 per reference mentioned in note 1 above.</t>
  </si>
  <si>
    <t>In addition see publication:</t>
  </si>
  <si>
    <t>http://www.cat.com/cda/files/2846880/7/LEBE0023-02.pdf</t>
  </si>
  <si>
    <t xml:space="preserve">Caterpillar specification sheet, LEHE0023-02 (Apr-2013), "CAT G3500 Series Gas Generator Sets" listing on page 16, G3516A Genset - 516GE68/DM0739-00 - with similar settings. </t>
  </si>
  <si>
    <t>Page</t>
  </si>
  <si>
    <t>EMISSIONS CALCULATIONS</t>
  </si>
  <si>
    <t>Table 1</t>
  </si>
  <si>
    <t>Emissions Rates for New DG Technologies</t>
  </si>
  <si>
    <t>Solid Oxide Fuel Cells (SOFC)</t>
  </si>
  <si>
    <t>Compression Ignition (Diesel) Engine</t>
  </si>
  <si>
    <t>Caterpillar 3516B - DM7931, 1800 RPM, 60 Hz, 1,640 ekW (1,223 hp)</t>
  </si>
  <si>
    <t>Solar Taurus 60 - 5.67 MW</t>
  </si>
  <si>
    <t>Large Gas 
Combined Cycle</t>
  </si>
  <si>
    <t>Solar Mercury 50 - 4.6 MW</t>
  </si>
  <si>
    <t>Solar Mars 100 - 11.35 MW</t>
  </si>
  <si>
    <t>Solar Titan 130 - 15 MW</t>
  </si>
  <si>
    <t>Siemens SGT 400 - 12.9 MW(e)/14.40 MW(e), 50/60Hz</t>
  </si>
  <si>
    <t>GE S-207FA (2 x MS70001FA) - 529.9 MW, 60Hz</t>
  </si>
  <si>
    <t>GE 6FA (MS6001 FA) - 77.1 MW Simple Cycle, 50Hz or 60Hz</t>
  </si>
  <si>
    <t>Solar Centaur 50 - 4.6 MW</t>
  </si>
  <si>
    <t>Solar Centaur 50 - 4.6 MW reported efficiency (LHV) is 27.9%, measured at generator terminals</t>
  </si>
  <si>
    <t>Solar Centaur 50 - 4.6 MW - with SoLoNOx, on 50-100% Load Range, 
0 - 120ºF ambient temperature</t>
  </si>
  <si>
    <t>Solar Centaur 50 - 4.6 MW, with SoLoNOx, on 50-100% Load Range, 
0 - 120ºF ambient temperature</t>
  </si>
  <si>
    <t>Solar Centaur 50 - 4.6 MW - 4.6 MW - all units, on 50-100% Load Range, 
0 - 120ºF ambient temperature</t>
  </si>
  <si>
    <t>Solar Taurus 60 - 5.67 MW reported efficiency (LHV) is 31.5%, measured at generator terminals</t>
  </si>
  <si>
    <t>Solar Taurus 60 - 5.67 MW - with SoLoNOx, on 50-100% Load Range, 
0 - 120ºF ambient temperature</t>
  </si>
  <si>
    <t>Solar Taurus 60 - 5.67 MW, with SoLoNOx, on 50-100% Load Range, 
0 - 120ºF ambient temperature</t>
  </si>
  <si>
    <t>Solar Taurus 60 - 5.67 MW - 4.6 MW - all units, on 50-100% Load Range, 
0 - 120ºF ambient temperature</t>
  </si>
  <si>
    <t>Solar Mars 100 - 11.35 MW reported efficiency (LHV) is 32%, measured at generator terminals</t>
  </si>
  <si>
    <t>Solar Mars 100 - 11.35 MW, with SoLoNOx, on 50-100% Load Range, 
0 - 120ºF ambient temperature</t>
  </si>
  <si>
    <t>Solar Mars 100 - 11.35 MW - 4.6 MW - all units, on 50-100% Load Range, 
0 - 120ºF ambient temperature</t>
  </si>
  <si>
    <r>
      <t>Solar Titan 130 - 15 MW</t>
    </r>
    <r>
      <rPr>
        <vertAlign val="superscript"/>
        <sz val="10"/>
        <color indexed="8"/>
        <rFont val="Arial"/>
        <family val="2"/>
      </rPr>
      <t xml:space="preserve"> [1]</t>
    </r>
  </si>
  <si>
    <t>Solar Titan 130 - 15 MW reported efficiency (LHV) is 35.2%, measured at generator terminals</t>
  </si>
  <si>
    <t>Solar Titan 130 - 15 MW - with SoLoNOx, on 50-100% Load Range, 
0 - 120ºF ambient temperature</t>
  </si>
  <si>
    <t>Solar Titan 130 - 15 MW, with SoLoNOx, on 50-100% Load Range, 
0 - 120ºF ambient temperature</t>
  </si>
  <si>
    <t>Solar Titan 130 - 15 MW - 4.6 MW - all units, on 50-100% Load Range, 
0 - 120ºF ambient temperature</t>
  </si>
  <si>
    <t xml:space="preserve">Solar Mercury 50 - 4.6 MW - Recuperated gas turbine designed for U.S. Dept. of Energy's Advanced Turbines System (ATS) program. Fuel: Natural Gas; Optional: Landfill Gas, Digester Gas. Listed heat rate based and Efficiency based on Natural Gas LHV; Efficiency reported as measured at generator terminals. </t>
  </si>
  <si>
    <t>Solar Mercury 50 - 4.6 MW - 50-100% Load Range, 
0 - 120ºF ambient temperature</t>
  </si>
  <si>
    <t>Caterpillar specification sheet, LEHE0309-01 (Jun-2011), "Gas Generator Set - Natural Gas Continuous 2335 - 2900 ekW, 50 Hz 1000 RPM, 60 Hz 900 RPM" G3612 Genset, Performance #: DM5006, DM5008, DM5395, DM5396, Feature Codes: 612GE07, 612GE08, 
Engine Type: Cat G3612 Gas Engine</t>
  </si>
  <si>
    <t>G3516-516GE55/DM5147 heat rate in Btu/kWh HHV, fuel consumption rate, in Btu/hp-hr HHV, and efficiency HHV are calculated for natural gas HHV based on fuel consumption data, the natural gas LHV and 770 kW output (@ 0.8 PF).</t>
  </si>
  <si>
    <t>0.5 g/hp-hr is achieved without after treatment</t>
  </si>
  <si>
    <t>http://www.cat.com/cda/files/2843023/9/LEHE0309-01.pdf</t>
  </si>
  <si>
    <r>
      <t xml:space="preserve">Caterpillar G3612 Genset - DM5396, 900 RPM, 60 Hz, 2,335 ekW (1,741 hp) - lean burn </t>
    </r>
    <r>
      <rPr>
        <vertAlign val="superscript"/>
        <sz val="10"/>
        <color indexed="8"/>
        <rFont val="Arial"/>
        <family val="2"/>
      </rPr>
      <t>[1]</t>
    </r>
  </si>
  <si>
    <t>Caterpillar specification sheet, LEHE0309-01 (Jun-2011), "Gas Generator Set - Natural Gas Continuous 2335 - 2900 ekW, 50 Hz 1000 RPM, 60 Hz 900 RPM" G3612 Genset, Performance #: DM5006, DM5008, DM5395, DM5396, Feature Codes: 612GE07, 612GE08 - Cat G3612</t>
  </si>
  <si>
    <t>Manufacturer's listed data for G3612 - DM5396, 900 RPM, 60 Hz, 2,335 ekW - lean burn engine</t>
  </si>
  <si>
    <t>% HHV (reported)</t>
  </si>
  <si>
    <t>Heat rate</t>
  </si>
  <si>
    <t>Typical Capacity</t>
  </si>
  <si>
    <t>Fuel Cells</t>
  </si>
  <si>
    <t>UTC PC25</t>
  </si>
  <si>
    <r>
      <rPr>
        <sz val="9"/>
        <color indexed="8"/>
        <rFont val="Arial"/>
        <family val="2"/>
      </rPr>
      <t>Siemens Westinghouse</t>
    </r>
    <r>
      <rPr>
        <sz val="10"/>
        <color theme="1"/>
        <rFont val="Arial"/>
        <family val="2"/>
      </rPr>
      <t xml:space="preserve">
SFC 200</t>
    </r>
  </si>
  <si>
    <t>Btu/kWh HHV</t>
  </si>
  <si>
    <t>% HHV (calc)</t>
  </si>
  <si>
    <t>EPA's "Catalog of CHP Technologies, Dec. 2008", Section: Technology Characterization: Fuel Cells, Page 22, Table 5</t>
  </si>
  <si>
    <t>tons/yr</t>
  </si>
  <si>
    <t>UHC
(Unburned  HydroCarbons)</t>
  </si>
  <si>
    <t>lb NOx/MWh</t>
  </si>
  <si>
    <t>lb CO / MWh</t>
  </si>
  <si>
    <t>Turbines</t>
  </si>
  <si>
    <t>Gas IC Engines</t>
  </si>
  <si>
    <t>Diesel Engines</t>
  </si>
  <si>
    <t>Capstone C30</t>
  </si>
  <si>
    <t>Solar 
Centaur 50</t>
  </si>
  <si>
    <t>Solar 
Taurus 60</t>
  </si>
  <si>
    <t>Solar 
Mars 100</t>
  </si>
  <si>
    <t>Solar 
Titan 130</t>
  </si>
  <si>
    <t>Siemens 
SGT 400</t>
  </si>
  <si>
    <t>Large Gas Comb. Cycle</t>
  </si>
  <si>
    <t>GE S-207FA</t>
  </si>
  <si>
    <t>GE 6FA (MS6001 FA)</t>
  </si>
  <si>
    <t>Solar Mercury 50</t>
  </si>
  <si>
    <r>
      <t>Since manufacturer does not provide any SO</t>
    </r>
    <r>
      <rPr>
        <sz val="10"/>
        <color indexed="8"/>
        <rFont val="Calibri"/>
        <family val="2"/>
      </rPr>
      <t>₂</t>
    </r>
    <r>
      <rPr>
        <sz val="10"/>
        <color theme="1"/>
        <rFont val="Arial"/>
        <family val="2"/>
      </rPr>
      <t xml:space="preserve"> data, the emission rate for Solar medium turbine has been listed. A higher rate than RAP rule is considered per reasons detailed in Table 4.1, above , note 4.</t>
    </r>
  </si>
  <si>
    <t>RAP-Emissions Std. for Smaller Scale Generation, Appendix B, Table 2 Gas IC Engine</t>
  </si>
  <si>
    <t>Calculated based on CO emission rate in lb/MWh</t>
  </si>
  <si>
    <t>Calculated based on NOx emission rate in lb/MWh</t>
  </si>
  <si>
    <t>CO rate of 2 ppm resulted from 0.04 lb/MWh, listed in reference note 1, Table 5, page 22, converted in lb/MMBtu on LHV basis and then in ppmvd, using the Solar Turbines' website unit converter tool, as follows:</t>
  </si>
  <si>
    <t>Efficiency HHV calculated based on data sheet Titan 130 reported value of 35.2% (LHV) multiplied by LHV/HHV factor of 0.903 of the natural gas.</t>
  </si>
  <si>
    <t>Efficiency HHV calculated based on data sheet reported value of 26% (LHV) multiplied by LHV/HHV factor of 0.903 for natural gas.</t>
  </si>
  <si>
    <t>Efficiency HHV calculated based on data sheet reported value of 27.9% (LHV) multiplied by LHV/HHV factor of 0.903 for natural gas.</t>
  </si>
  <si>
    <t>Efficiency HHV calculated based on data sheet Mars 100 reported value of 32% (LHV) multiplied by LHV/HHV factor of 0.903 for the natural gas.</t>
  </si>
  <si>
    <t>Efficiency HHV calculated based on data sheet Titan 130 reported value of 35.2% (LHV) multiplied by LHV/HHV factor of 0.903 for the natural gas.</t>
  </si>
  <si>
    <t>Efficiency HHV calculated based on GE S-207FA (2 x MS70001FA) data sheets (from note 1 above) reported value of 56.5% (LHV) multiplied by LHV/HHV factor of 0.903 for the natural gas.</t>
  </si>
  <si>
    <t>Efficiency HHV calculated based on GE 6FA Heavy Duty Gas Turbine data sheet (mentioned in note 1 above, reference 4) efficiency reported value of 35.3% (LHV) multiplied by LHV/HHV factor of 0.903 for natural gas, as follows:</t>
  </si>
  <si>
    <t xml:space="preserve">Emission rate not provided in the manufacturer data sheet, DSM50PG/512/EO, instead RAP emission rate is listed - see note 4 below. </t>
  </si>
  <si>
    <t>– Heat Rate, listed on LHV basis as 9,136 Btu/kWh-LHV; is also confirmed by the ratio: the Fuel Usage (LHV), in Btu, and the Total Energy Produced, in kWe-hrs, as follows:</t>
  </si>
  <si>
    <t>AP42, 5th Ed, Vol. I, Ch. 1: External Combustion Sources, Sec.1.4: Natural Gas Combustion.</t>
  </si>
  <si>
    <t>RAP listed emission factor based on AP42 cited reference.</t>
  </si>
  <si>
    <t>NOx rate of 42.5 ppm resulted from the above 1.49 lb/MWh, by using Solar website unit converter, as follows:</t>
  </si>
  <si>
    <t>NOx rate of 1.6 ppm resulted from 0.05 lb/MWh listed in EPA's Catalog of CHP Technologies (see note 1), Table 5, page 22, and converted in lb/MMBtu on LHV basis and then in ppmvd using Solar Turbines website unit converter, as follows:</t>
  </si>
  <si>
    <t>SFC 200 - 125 kW - Fuel: hydrogen, natural gas, propane, methanol, per EPA's full "Catalog of CHP Technologies", Table III, page 7, (see full catalog web link in note 1).
Reported heat rate of 8,024 Btu/kWe-hr, LHV and 43% electrical efficiency (percent HHV) are based on natural gas.</t>
  </si>
  <si>
    <t>Per EPA's Catalog of CHP Technologies, for "System 6" unit without after treatment.</t>
  </si>
  <si>
    <t>Per EPA's Catalog of CHP Technologies, for "System 1" unit without after treatment.</t>
  </si>
  <si>
    <t>Siemens Westinghouse SFC 200 - 125 kW</t>
  </si>
  <si>
    <t>UTC PC25 - 200kW</t>
  </si>
  <si>
    <t>Spark Ingnition 
(Gas IC) Engine</t>
  </si>
  <si>
    <t>GE Jenbacher JMS 320 GS-N.L – 1,050 kW (783 hp), 60 Hz, 1800 RPM, lean burn</t>
  </si>
  <si>
    <t>GE Jenbacher JMS 312 GS-N.L – 625 kW (466 hp), 60 Hz, 1800 RPM, rich burn</t>
  </si>
  <si>
    <t>EPA's "Catalog of CHP Technologies, Dec. 2008", Section: Technology Characterization: Fuel Cells, Page 22, Table 5, System 6 (SFC 200-125 kW).</t>
  </si>
  <si>
    <r>
      <rPr>
        <i/>
        <u/>
        <sz val="10"/>
        <color indexed="8"/>
        <rFont val="Arial"/>
        <family val="2"/>
      </rPr>
      <t>Remark</t>
    </r>
    <r>
      <rPr>
        <i/>
        <sz val="10"/>
        <color indexed="8"/>
        <rFont val="Arial"/>
        <family val="2"/>
      </rPr>
      <t>:</t>
    </r>
    <r>
      <rPr>
        <sz val="10"/>
        <color theme="1"/>
        <rFont val="Arial"/>
        <family val="2"/>
      </rPr>
      <t xml:space="preserve"> 2 ppm CO is also listed in EPA's Catalog of CHP Technologies (see note 1), page 12, as CO emission signature for fuel cells.</t>
    </r>
  </si>
  <si>
    <t>EPA's "Catalog of CHP Technologies, Dec. 2008", Section: Technology Characterization: Fuel Cells, Page 22, Table 5, System 1, (UTC PC25-200kW)</t>
  </si>
  <si>
    <r>
      <t xml:space="preserve">EPA's "Catalog of CHP Technologies, December 2008" Section Fuel Cells, page 11, mentions as typical Phosphoric Acid Fuel Cell (PAFC) the UTC PC25 - 200 kW developed and commercialized by UTC Power, a former subsidiary of Pratt &amp; Whitney. </t>
    </r>
    <r>
      <rPr>
        <i/>
        <u/>
        <sz val="10"/>
        <color indexed="8"/>
        <rFont val="Arial"/>
        <family val="2"/>
      </rPr>
      <t>Note</t>
    </r>
    <r>
      <rPr>
        <sz val="10"/>
        <color theme="1"/>
        <rFont val="Arial"/>
        <family val="2"/>
      </rPr>
      <t xml:space="preserve">: UTC Power became later part of United Technologies, then changed to ONSI Corporation (a subsidiary of International Fuel Cells Corporation) when they marketed Phosphoric Acid (ONSI) Fuel Cells (PAFC), then became again UTC Power and recently, in Feb. 2013, incorporated as ClearEdge Power. 
The UTC PC25-200kW fuel cell technical specifications and emission rates are listed under "System 1" columns, in Table 2 "Fuel Cell CHP - Typical Performance Parameters" on page 14 and in Table 5 "Estimated Fuel Cell Emission Characteristics without Additional Controls" on page 22. </t>
    </r>
    <r>
      <rPr>
        <i/>
        <u/>
        <sz val="10"/>
        <color indexed="8"/>
        <rFont val="Arial"/>
        <family val="2"/>
      </rPr>
      <t>Note</t>
    </r>
    <r>
      <rPr>
        <sz val="10"/>
        <color theme="1"/>
        <rFont val="Arial"/>
        <family val="2"/>
      </rPr>
      <t>: See the web links to EPA's current CHP Technologies overview page and full catalog, in Table 2.1 "Solid Oxide Fuel Cells" above, note 1.</t>
    </r>
  </si>
  <si>
    <t>EPA's data on the PAFC capacity, heat rate and electrical efficiency are confirmed by the records of an UTC PC25 unit installed and operating in Anaheim, CA since 2005. Per US Army Corps of Engineers, Engineer Research and Development Center, Construction Engineering Research Laboratory Report # DE-FG26-03NT42015, DOD Climate Change Fuel Cell Program, June 2006, on UTC PC-25, (see web link below), Table 7 "Fuel Cell Operating Data (Feb 2005 through end of Jan 2006), page 33, resulted:</t>
  </si>
  <si>
    <t>- that is only 3% more than the EPA's Catalog of CHP Technologies data</t>
  </si>
  <si>
    <t>- that is 5% more than the EPA's Catalog of CHP Technologies data</t>
  </si>
  <si>
    <t>CO rate of 2 ppm resulted from 0.042 lb/MWh listed in EPA's Catalog of CHP Technologies (see note 1), Table 5, page 22, and converted in lb/MMBtu on LHV basis and then in ppmvd using the Solar Turbines website unit converter, as follows:</t>
  </si>
  <si>
    <r>
      <rPr>
        <i/>
        <u/>
        <sz val="10"/>
        <color indexed="8"/>
        <rFont val="Arial"/>
        <family val="2"/>
      </rPr>
      <t>Remark:</t>
    </r>
    <r>
      <rPr>
        <sz val="10"/>
        <color theme="1"/>
        <rFont val="Arial"/>
        <family val="2"/>
      </rPr>
      <t xml:space="preserve"> The 2 ppm CO equals the CO emission signature for fuel cells, listed in EPA's Catalog of CHP Technologies (see note 1), page 12.</t>
    </r>
  </si>
  <si>
    <r>
      <t>The remark is similar to the Table 2.1 "Fuel Cells" above, note 7. The extremely low CO₂ emission rate, is not justified, since the PAFC units do not have any CO₂ sequestration feature or controls. Therefore 100% of the fuel carbon content, chemically changed mainly in CO</t>
    </r>
    <r>
      <rPr>
        <sz val="10"/>
        <color indexed="8"/>
        <rFont val="Calibri"/>
        <family val="2"/>
      </rPr>
      <t xml:space="preserve">₂ </t>
    </r>
    <r>
      <rPr>
        <sz val="10"/>
        <color theme="1"/>
        <rFont val="Arial"/>
        <family val="2"/>
      </rPr>
      <t xml:space="preserve">by the unit process is discharged outside. The CO emission of 2 ppm, or 0.00443 lb/MMBtu (as shown in note 5) is negligible compared to 116.89 lb/MMBtu to be taken into consideration. </t>
    </r>
  </si>
  <si>
    <r>
      <t>RAP value is listed, since the CO₂ emission rate from EPA's Catalog of CHP Technologies (see note 1), for "System 1" PAFC of 0.035 lb CO₂/MWh leading to only 0.00334 lb CO₂/MMBtu, is too low (compared to 116.89 lb CO₂/MMBtu) and cannot be validated by the other reviewed publications. Based on the unit's HHV heat rate, the 0.035 lb CO</t>
    </r>
    <r>
      <rPr>
        <sz val="10"/>
        <color indexed="8"/>
        <rFont val="Calibri"/>
        <family val="2"/>
      </rPr>
      <t>₂</t>
    </r>
    <r>
      <rPr>
        <sz val="10"/>
        <color theme="1"/>
        <rFont val="Arial"/>
        <family val="2"/>
      </rPr>
      <t>/MWh in lb/MMBtu units is as follows:</t>
    </r>
  </si>
  <si>
    <t>RAP-Emissions Std. for Smaller Scale Generation, App. B, Table 2, Phosphoric Acid Fuel Cell</t>
  </si>
  <si>
    <t>NOx Emission rates reported by manufacturer, at nominal full power performance at ISO conditions 59ºF, 14.496 psia, 60% RH</t>
  </si>
  <si>
    <t>RAP-Emissions Std. for Smaller Scale Generation, App. B, Table 2, Microturbine</t>
  </si>
  <si>
    <t>AP-42 factor for Stationary Gas Turbines, based on 100% conversion of natural gas sulfur to SO₂</t>
  </si>
  <si>
    <t>Per EPA's Catalog of CHP Technologies, since the fuel is not combusted, but instead reacts electrochemically, there is virtually no PM formation, hence no air pollution.</t>
  </si>
  <si>
    <t>The volumetric NOx emission rate of 1.6 ppm is a gross estimate based on a single source (EPA's Catalog of CHP Technologies), yet to be confirmed and therefore is subject to correction.</t>
  </si>
  <si>
    <t>Per EPA's Catalog of CHP Technologies, on page 1, since the fuel is not combusted, but instead reacts electrochemically, there is virtually no PM formation, hence no air pollution.</t>
  </si>
  <si>
    <r>
      <t xml:space="preserve">Capstone C30 - 30 kW, </t>
    </r>
    <r>
      <rPr>
        <vertAlign val="superscript"/>
        <sz val="10"/>
        <color indexed="8"/>
        <rFont val="Arial"/>
        <family val="2"/>
      </rPr>
      <t>[1]</t>
    </r>
  </si>
  <si>
    <t>[2], [4]</t>
  </si>
  <si>
    <t>Since these emission rates are not reported in the manufacturer's 2010 Capstone Turbine Corporation. 0911 C30 Natural Gas Data Sheet CAP135 | Capstone P/N 331031E, the listed values are from the EPA's Catalog of CHP Technologies.</t>
  </si>
  <si>
    <t xml:space="preserve">Capstone C30 - 30 kW is also listed as "System 1" as a typical small size microturbine, in EPA's Catalog of CHP Technologies, December 2008, Section: Technology Characterization: Microturbines (see web link below): </t>
  </si>
  <si>
    <t>EPA's Catalog of CHP Technologies (see note 1), on page 10, Table 1 "Microturbine CHP - Typical Performance Parameters", System 1 (Capstone Model C30 - 30 kW), shows slightly different values of 15,075 Btu/kWh heat rate, HHV and 22.6%, HHV Electrical Efficiency; differences considered insignificant since are less than 4%.</t>
  </si>
  <si>
    <r>
      <t>EPA's Catalog of CHP Technologies (see note 1), on page 21, Table 4 "Microturbine Emissions Characteristics", System 1 (Capstone Model C30 - 30 kW), shows a NOx emission rate of 9 ppmvd @ 15% O</t>
    </r>
    <r>
      <rPr>
        <sz val="10"/>
        <color theme="1"/>
        <rFont val="Calibri"/>
        <family val="2"/>
      </rPr>
      <t>₂</t>
    </r>
    <r>
      <rPr>
        <sz val="8"/>
        <color theme="1"/>
        <rFont val="Arial"/>
        <family val="2"/>
      </rPr>
      <t xml:space="preserve"> </t>
    </r>
    <r>
      <rPr>
        <sz val="10"/>
        <color theme="1"/>
        <rFont val="Arial"/>
        <family val="2"/>
      </rPr>
      <t xml:space="preserve">and 0.54 lb/MWh (converted from volumetric emission rate based on a multiplier provided by the manufacturer) </t>
    </r>
  </si>
  <si>
    <t xml:space="preserve">Since Capstone C30 Data Sheet does not provide any information, RAP PM-10 emission rate is listed, per EPA AP-42, 5th Ed, Vol. I, Chapter 3: Stationary Internal Combustion Sources, Section 3.1: Stationary Gas Turbines (Suppl. F, Apr. 2000), Table 3.1-2a. However this value may be questionable since according to AP-42 reference, the listed PM emission factors are based on combustion turbines using water-steam injection, and it would be too expensive to install such system on a small Capstone C30 microturbine; Manufacturer should confirm. </t>
  </si>
  <si>
    <t>Efficiency, %, HHV</t>
  </si>
  <si>
    <t>Electrical Efficiency, %, HHV</t>
  </si>
  <si>
    <t xml:space="preserve">The RAP listed value of 0.0006 lb/MMBtu, six times lower that the manufacturer's recommended value, is questionable per reasons detailed in Table 4.1 above, note 6.  </t>
  </si>
  <si>
    <t xml:space="preserve">Efficiency, % HHV, calculated based on data sheet reported value of 31.5% (LHV) multiplied by LHV/HHV factor of 0.903 for natural gas. </t>
  </si>
  <si>
    <r>
      <t>Solar Taurus 60 - 5.67 MW,</t>
    </r>
    <r>
      <rPr>
        <vertAlign val="superscript"/>
        <sz val="10"/>
        <color indexed="8"/>
        <rFont val="Arial"/>
        <family val="2"/>
      </rPr>
      <t xml:space="preserve"> [1]</t>
    </r>
  </si>
  <si>
    <t>[3], [5]</t>
  </si>
  <si>
    <t>[6], [7]</t>
  </si>
  <si>
    <t>EPA's "Catalog of CHP Technologies, December 2008", Section: Gas Turbines</t>
  </si>
  <si>
    <t>Reported heat rate of 11,630 Btu/kWe-hr based on Natural Gas LHV.</t>
  </si>
  <si>
    <r>
      <t>Solar Mars 100 - 11.35 MW</t>
    </r>
    <r>
      <rPr>
        <vertAlign val="superscript"/>
        <sz val="10"/>
        <color indexed="8"/>
        <rFont val="Arial"/>
        <family val="2"/>
      </rPr>
      <t xml:space="preserve"> [1], [2]</t>
    </r>
  </si>
  <si>
    <t>[4],[6]</t>
  </si>
  <si>
    <t>[5],[6]</t>
  </si>
  <si>
    <t>Solar Taurus 60 is also listed, as "System 2", as a typical small turbine, in EPA's "Catalog of CHP Technologies, December 2008 Section: Technology Characterization: Gas Turbines", (see web link below):</t>
  </si>
  <si>
    <t>Solar Mars 100 is also listed, as "System 3", as a typical medium turbine, in EPA's "Catalog of CHP Technologies, December 2008 Section: Technology Characterization: Gas Turbines", (see web link below):</t>
  </si>
  <si>
    <t>[7], [8]</t>
  </si>
  <si>
    <t>Solar Mars 100 - 11.35 MW unit is listed above as an example of medium turbine, since Alstom Cyclone - 12.9 MW unit, mentioned by RAP rule in Appendix B, is obsolete.</t>
  </si>
  <si>
    <t>EPA's Catalog of CHP Technologies (see note 1, above) indicates on page 6, Table 1 "Gas Turbine CHP - Typical Performance Parameters", System 2 (Solar Turbines Taurus 60), slightly different values of 12,312 Btu/kWh heat rate, HHV and 27.72%, HHV Electrical Efficiency; these differences are considered insignificant since are less than 3%.</t>
  </si>
  <si>
    <r>
      <t>EPA's Catalog of CHP Technologies (see note 1), on page 23, Table 6. "Gas Turbine Emissions Characteristics without Heat Recovery or Exhaust Control Options" shows also, for System 2, a NOx emission rate of 15 ppmvd @ 15% O</t>
    </r>
    <r>
      <rPr>
        <sz val="10"/>
        <color theme="1"/>
        <rFont val="Calibri"/>
        <family val="2"/>
      </rPr>
      <t>₂</t>
    </r>
    <r>
      <rPr>
        <sz val="8"/>
        <color theme="1"/>
        <rFont val="Arial"/>
        <family val="2"/>
      </rPr>
      <t xml:space="preserve"> </t>
    </r>
    <r>
      <rPr>
        <sz val="10"/>
        <color theme="1"/>
        <rFont val="Arial"/>
        <family val="2"/>
      </rPr>
      <t xml:space="preserve">and 0.66 lb/MWh (converted from volumetric emission rate based on a multiplier provided by Catalytica Energy Systems) </t>
    </r>
  </si>
  <si>
    <t>CO₂ emission rate in lb/MMBtu, is calculated based on 1,440 lb CO₂/MWh and 12,312 Btu/kWh data reported in Table 6, page 23 and respectively in Table 1, page 6, for System 2 (Solar Turbines Taurus 60) in EPA's Catalog of CHP Technologies (see note 1).</t>
  </si>
  <si>
    <t xml:space="preserve">CO₂ emission rate not provided in the manufacturer data sheet DS50PG/512/EO, instead RAP emission rate is listed - see explanation in note 8 below. </t>
  </si>
  <si>
    <t>CO₂ emission rate estimated, based on EPA's Catalog of CHP Technologies data, since it is not provided by the 2012 Solar Turbines DS60PG/512/EO Data Sheet; see note 12 below.</t>
  </si>
  <si>
    <t>CO₂ emission rate estimated, based on EPA's Catalog of CHP Technologies data, since it is not provided by the 2012 Solar Turbines DS60PG/512/EO Data Sheet; see note 11 below.</t>
  </si>
  <si>
    <t>Solar Turbines data sheet PM 10/2.5 emission factors for natural gas; Other fuels factors : 
Landfill Gas: 0.03 lb/MMBtu input HHV; Liquid Fuel: 0.06 lb/MMBtu input HHV</t>
  </si>
  <si>
    <t>Solar Turbines PM 10/2.5 emission factors for natural gas; Other fuels factors: 
Landfill Gas: 0.03 lb/MMBtu input HHV; Liquid Fuel: 0.06 lb/MMBtu input HHV</t>
  </si>
  <si>
    <t>Solar Turbines data sheet PM 10/2.5 emission factors for natural gas; Other fuels factors: 
Landfill Gas: 0.03 lb/MMBtu input HHV; Liquid Fuel: 0.06 lb/MMBtu input HHV</t>
  </si>
  <si>
    <t>Solar Turbines Inc. recommends verifiable PM10/2.5 emission factors, instead of AP-42 factors if test data is not available. According to publication PIL 171, repetitive testing using EPA Methods 201/201A, 202 and 5, instead of the EPA's AP-42 factors, is more representative and more accurate - see publication PIL 171 for details.</t>
  </si>
  <si>
    <t xml:space="preserve">CO₂ emission rate not provided in the manufacturer data sheet, DS50PG/512/EO, instead RAP emission rate is listed - see explanation in note 9 below. </t>
  </si>
  <si>
    <t>The RAP rate is listed instead of CO₂ emission rate calculated based on EPA's "Catalog of CHP Technologies" per note 9 below.</t>
  </si>
  <si>
    <t xml:space="preserve">Heat rate, in Btu/kWh HHV, calculated based on 8,024 Btu/kWh, LHV, listed in EPA's Catalog of CHP Technologies (see note 1), Table 2, for "System 6" and on the natural gas LHV/HHV factor of 0.903, as follows: </t>
  </si>
  <si>
    <t>Heat rate, in Btu/kWh HHV, calculated based on 9,480 Btu/kWh, LHV, listed in EPA's Catalog of CHP Technologies (see note 1), Table 2, for "System 1" and on the natural gas LHV/HHV factor of 0.903 as follows:</t>
  </si>
  <si>
    <t>Heat rate, in Btu/kWh HHV, calculated based on data sheet reported value of 13,100 Btu/kWh (LHV) and on the natural gas LHV/HHV factor of 0.903 as follows:</t>
  </si>
  <si>
    <t>Heat rate, in Btu/kWh HHV, calculated based on data sheet reported value of 11,630 Btu/kWh (LHV) and on the natural gas LHV/HHV factor of 0.903 as follows:</t>
  </si>
  <si>
    <t>Heat rate, in Btu/kWh HHV, calculated based on 2012 data sheet reported value of 10,830 Btu/kWh (LHV) and on the natural gas LHV/HHV factor of 0.903 as follows:</t>
  </si>
  <si>
    <t>Heat rate, in Btu/kWh HHV, calculated based on 2012 data sheet reported value of 10,365 Btu/kWh (LHV) and on the natural gas LHV/HHV factor of 0.903 as follows:</t>
  </si>
  <si>
    <t>Heat rate, in Btu/kWh HHV, calculated based on data sheet reported value of 9,695 Btu/kWh (LHV) and on the natural gas LHV/HHV factor of 0.903 as follows:</t>
  </si>
  <si>
    <t>Heat rate, in Btu/kWh HHV, calculated based on data sheet manufacturer's reported heat rate of 9,700 Btu/kWh, LHV, 60Hz and on the natural gas LHV/HHV factor of 0.903 as follows:</t>
  </si>
  <si>
    <t>CO₂ emission rate in lb/MMBtu, is calculated based on 1,404 lb CO₂/MWh and 12,001 Btu/kWh data reported in Table 6, page 23 and respectively in Table 1, page 6, for System 3 (Solar Turbines Mars 100), in EPA's Catalog of CHP Technologies (see note 2).</t>
  </si>
  <si>
    <t>EPA's Catalog of CHP Technologies (see note 1), on page 21, Table 4 lists UHC rate as emission of total hydrocarbon (THC).</t>
  </si>
  <si>
    <t xml:space="preserve">EPA's Catalog of CHP Technologies (see note 2), indicates on page 6, Table 1 "Gas Turbine CHP - Typical Performance Parameters", System 3 (Solar Turbines Mars 100), slightly different values of 12,001 Btu/kWh heat rate, HHV and 28.44%, HHV Electrical Efficiency; these differences are considered insignificant since the values are less than 5%.. </t>
  </si>
  <si>
    <r>
      <t>EPA's Catalog of CHP Technologies (see note 2), on page 23, Table 6. "Gas Turbine Emissions Characteristics without Heat Recovery or Exhaust Control Options" shows also, for System 3, a NOx emission rate of 15 ppmvd @ 15% O</t>
    </r>
    <r>
      <rPr>
        <sz val="10"/>
        <color theme="1"/>
        <rFont val="Calibri"/>
        <family val="2"/>
      </rPr>
      <t>₂</t>
    </r>
    <r>
      <rPr>
        <sz val="8"/>
        <color theme="1"/>
        <rFont val="Arial"/>
        <family val="2"/>
      </rPr>
      <t xml:space="preserve"> </t>
    </r>
    <r>
      <rPr>
        <sz val="10"/>
        <color theme="1"/>
        <rFont val="Arial"/>
        <family val="2"/>
      </rPr>
      <t xml:space="preserve">and 0.65 lb/MWh (converted from volumetric emission rate based on a multiplier provided by Catalytica Energy Systems) </t>
    </r>
  </si>
  <si>
    <r>
      <t>The RAP suggested value of 0.0006 lb/MMBtu for microturbines is erroneous, since the same AP-42 reference, mentioned in Table 4.1 above (see also web link below), recommends the SO</t>
    </r>
    <r>
      <rPr>
        <sz val="10"/>
        <color theme="1"/>
        <rFont val="Calibri"/>
        <family val="2"/>
      </rPr>
      <t>₂</t>
    </r>
    <r>
      <rPr>
        <sz val="10"/>
        <color theme="1"/>
        <rFont val="Arial"/>
        <family val="2"/>
      </rPr>
      <t xml:space="preserve"> emission rate of 0.0006 lb/MMBtu for large uncontrolled turbines, at page 3.1-8, Section 3.1.5 "Updates Since Fifth Edition, Supplement A, February 1996, when sulfur content is not available. In addition, since pipeline natural gas may contain odorant additives for detecting leaks contributing to the increase of SO</t>
    </r>
    <r>
      <rPr>
        <sz val="10"/>
        <color theme="1"/>
        <rFont val="Calibri"/>
        <family val="2"/>
      </rPr>
      <t>₂</t>
    </r>
    <r>
      <rPr>
        <sz val="10"/>
        <color theme="1"/>
        <rFont val="Arial"/>
        <family val="2"/>
      </rPr>
      <t xml:space="preserve"> emission, the higher rate of 0.0034 should be considered.</t>
    </r>
  </si>
  <si>
    <t xml:space="preserve">The RAP listed value of 0.0006 lb/MMBtu, six times lower that the manufacturer's recommended value, is questionable per reasons detailed in note 6 of Table 4.1 above, note 6.  </t>
  </si>
  <si>
    <t>AP-42, Section 3.1, web link:</t>
  </si>
  <si>
    <t>Solar Turbines Inc., recommends verifiable PM10/2.5 emission factors, instead of AP-42 factors if test data is not available. According to publication PIL 171, repetitive testing using EPA Methods 201/201A, 202 and 5, instead of the AP-42 emission factors, is more representative and more accurate - see publication PIL 171 for details.</t>
  </si>
  <si>
    <t>Not available from Siemens web site. AP-42 factor for Stationary Gas Turbines, based on 100% conversion of natural gas sulfur to SO₂ listed, instead</t>
  </si>
  <si>
    <t>RAP theoretical CO₂ emission rate is listed since the manufacturer does not provide any data, and at other turbines, such as Solar Taurus 60 (Table 4.3 above) and Solar Mars 100 (Table 4.4 above) the CO₂ emission rate calculated based on data available from EPA's CHP Technologies publication (referenced in note 2 above), confirmed the RAP listed value calculated based on the carbon content coefficient for natural gas taken from EIIP Report, Vol. VIII, Table 1.4-3. Per IPCC the CO₂ emission rate of 116.88 lb/MMBtu is constant for all units without any CO₂ sequestration feature or control and on natural gas.</t>
  </si>
  <si>
    <r>
      <t>RAP theoretical CO</t>
    </r>
    <r>
      <rPr>
        <sz val="10"/>
        <color indexed="8"/>
        <rFont val="Calibri"/>
        <family val="2"/>
      </rPr>
      <t>₂</t>
    </r>
    <r>
      <rPr>
        <sz val="10"/>
        <color theme="1"/>
        <rFont val="Arial"/>
        <family val="2"/>
      </rPr>
      <t xml:space="preserve"> emission rate is listed since the manufacturer does not provide any data, and at other Solar turbines, such as Solar Taurus 60 (Table 4.3 below) and Solar Mars 100 (Table 4.4 below) the CO</t>
    </r>
    <r>
      <rPr>
        <sz val="10"/>
        <color indexed="8"/>
        <rFont val="Calibri"/>
        <family val="2"/>
      </rPr>
      <t>₂</t>
    </r>
    <r>
      <rPr>
        <sz val="10"/>
        <color theme="1"/>
        <rFont val="Arial"/>
        <family val="2"/>
      </rPr>
      <t xml:space="preserve"> emission rate calculated based on records, confirmed the RAP listed value calculated based on the carbon content coefficient for natural gas taken from EIIP Report, Vol. VIII, Table 1.4-3. In addition, per IPCC the CO₂ emission rate of 116.88 lb/MMBtu is constant for all units without any CO₂ sequestration feature or control and on natural gas.</t>
    </r>
  </si>
  <si>
    <t>RAP theoretical CO₂ emission rate is listed since the manufacturer does not provide any data, and at other Solar turbines, such as Solar Taurus 60 (Table 4.3 above) and Solar Mars 100 (Table 4.4 above) the CO₂ emission rate calculated based on data available from EPA's CHP Technologies (see note 1 above) confirmed the RAP listed value calculated on the carbon content coefficient for natural gas taken from EIIP Report, Vol. VIII, Table 1.4-3. Per IPCC the CO₂ emission rate of 116.88 lb/MMBtu is constant for all units without any CO₂ sequestration feature or control and on natural gas.</t>
  </si>
  <si>
    <t>GE S-207FA (2 x MS70001FA) - 529.9 MW, 60Hz - Fuel: Natural Gas, distillate fuels (light to heavy residuals) and syngases (see note 1 below, reference b, page 4)</t>
  </si>
  <si>
    <t>a) GE Power Systems, GE Combined-Cycle Product Line and Performance, publication GER-3574G (10/00) - October 2000</t>
  </si>
  <si>
    <t>b) GE Energy - Heavy duty gas turbine products, publication GEA-12985H (06/09) - June 2009</t>
  </si>
  <si>
    <t>c) GE Energy - MS7001FA Gas Turbines - actual (2013) web pages</t>
  </si>
  <si>
    <t>GE S-207FA (2 x MS70001FA) - 529.9 MW, 60Hz, reported Efficiency (LHV) is 56.5% - see reference b, mentioned in note 2 below</t>
  </si>
  <si>
    <t>Per GE references listed in note 1 below; Both, reference b on page 6 and reference c, mention same value for NOx and CO emissions</t>
  </si>
  <si>
    <t xml:space="preserve">Per reference b, in note 1, on page 7, GE manufactures two efficient combustion systems: </t>
  </si>
  <si>
    <t xml:space="preserve">DLN 1+, guaranteeing NOx emissions in the range of 3 to 5 ppm for GE 6B, 7E and &amp;EA vintage gas turbines </t>
  </si>
  <si>
    <t xml:space="preserve">DLN 2.6+ with emissions in the range of 9 to 15 ppm NOx, for GE 9FA and 9FB gas turbines. However, the same document, on page 13 indicates that GE 7A turbines with DLN 2.6, are discharging less that 9 ppm NOx. </t>
  </si>
  <si>
    <t>NOx emission listed is per manufacturer GE S-207A unit 7FA turbine equipped with Dry Low NOx - DLN2.6 combustion system - see note 1 below, reference b, pages 7 and 13.</t>
  </si>
  <si>
    <t>GE publication listed in note 1, reference a, mentions on page 12, low CO emissions in  the range of 5-25 ppmvd at the GE turbines. Note RAP value of 6 ppmvd is within this range. However RAP does not indicate the reference source of this data. The listed CO emission rate is the value confirmed by the other two of the manufacturer's publications (b and c) mentioned in note 1 above.</t>
  </si>
  <si>
    <t>RAP CO₂ emission rate is listed since the manufacturer does not provide, and at other turbines, such as Solar Taurus 60 (Table 4.3 above) and Solar Mars 100 (Table 4.4 above) the CO₂ emission rate calculated based on data available from EPA's Catalog of CHP Technologies confirmed the RAP listed value calculated based on the carbon content coefficient for natural gas taken from EIIP Report, Vol. VIII, Table 1.4-3. Per IPCC the CO₂ emission rate of 116.88 lb/MMBtu is constant for all units without any CO₂ sequestration feature or control and on natural gas.</t>
  </si>
  <si>
    <t>a) GE Power Systems, GE Gas Turbine Performance Characteristics, publication GER-3567H (10/00) - October 2000</t>
  </si>
  <si>
    <t>b) MS6001FA – An Advanced Technology 70MW Class 50/60Hz Gas Turbine</t>
  </si>
  <si>
    <t>c) GE Energy - 6FA Gas Turbines - Advanced technology in a mid-sized turbine - web page</t>
  </si>
  <si>
    <t>d) GE 6FA Heavy Duty Gas Turbine - web page</t>
  </si>
  <si>
    <t>GE 6FA (MS6001 FA) - 77.1 MW - Fuel: wide spectrum of fossil (including gasified) fuels, natural gas, dual fuel, light distillate fuels and syngases (see note 1, ref. c &amp; d)</t>
  </si>
  <si>
    <t>GE 6FA (MS6001 FA) - 77.1 MW, 50Hz or 60Hz, reported efficiency (LHV) is 35.3% , per reference d, note 1.</t>
  </si>
  <si>
    <t>GE 6FA Heavy Duty Gas Turbine - web page, see note 1, reference d.</t>
  </si>
  <si>
    <t>GE Energy - 6FA Gas Turbines - Advanced technology in a mid-sized turbine - web page, see note 1, reference c.</t>
  </si>
  <si>
    <t>GE 6FA Heavy Duty Gas Turbine - reference d, note.</t>
  </si>
  <si>
    <t>GE 6FA Heavy Duty Gas Turbine - reference d, note 1.</t>
  </si>
  <si>
    <t xml:space="preserve">Emission rate not provided in the manufacturer data sheets referenced in note 1 below, RAP emission rate is listed, instead - see explanation in note 9. </t>
  </si>
  <si>
    <t>Emission rate not provided in the manufacturer data sheets referenced in note 1 below, RAP emission rate is listed, instead - see explanation in note 7.</t>
  </si>
  <si>
    <t>Per references b and d, listed below, GE 6FA (MS6001 FA) is a heavy duty gas turbine aerodynamically scaled from frames the 7FA(MS7001FA) and 9FA(MS9001FA) gas turbines to produce 70 MW of high-efficiency power. RAP listed GE large gas turbine, PG6101(FA) is mentioned in Table 1, page 1 (publication a, below) as a heavy-duty product from the MS6001 model series. Per reference d, below, 6FA turbines are efficiently installed in combined cycle, district heating, and industrial/oil and gas cogeneration. The specifications listed in the table above are the data from the current (2013) GE web sites for 6FA heavy-duty turbines (references c and d below).</t>
  </si>
  <si>
    <t>Heat rate, in Btu/kWh HHV, calculated based on S207FA 60Hz data sheet manufacturer's reported heat rate of 6,040 Btu/kWh, LHV (see note 1 above, reference a, page 9, Table 5 - "60 Hz STAG product line performance" and ref. 3 - table "Combined Cycle Performance" 60 Hz S207FA), and on the natural gas LHV/HHV factor of 0.903 as follows:</t>
  </si>
  <si>
    <t>Heat rate, in Btu/kWh HHV, calculated based on 6FA (see reference c, note 1) manufacturer's reported heat rate of 9,640 Btu/kWh, LHV and on the natural gas LHV/HHV factor of 0.903 as follows:</t>
  </si>
  <si>
    <t>Low NOx level emission of GE 6FA turbines is due to Dry Low NOx - DLN 2.6 combustion system, see GE publication, "Heavy duty gas turbine products, GEA-12985H (06/09) - June 2009, page 13, web link below:</t>
  </si>
  <si>
    <t>SO₂ emission rate is not provided in the GE references from note 1 above. Therefore the RAP listed value was considered per AP-42, 5th Ed, Vol. I, Ch. 3: Stationary Internal Combustion Sources, Section 3.1.5 "Updates Since Fifth Edition", Supplement A, February 1996, page 3.1-8, for large uncontrolled turbines, when sulfur content is not available, see web link below:</t>
  </si>
  <si>
    <r>
      <t>SO₂ emission rate is not provided in the GE references (note 1). The RAP value was considered per AP-42, 5th Ed, Vol. I, Ch. 3: Stationary Internal Combustion Sources, Sec. 3.1.5 "Updates Since Fifth Edition", Supp. A, Feb. 1996, page 3.1-8, for large uncontrolled turbines, when sulfur content is not available, see web link below. Also it should be noted that the RLBC data for the Maine unit (see note 5) lists an SO</t>
    </r>
    <r>
      <rPr>
        <sz val="10"/>
        <color indexed="8"/>
        <rFont val="Calibri"/>
        <family val="2"/>
      </rPr>
      <t>₂</t>
    </r>
    <r>
      <rPr>
        <sz val="10"/>
        <color theme="1"/>
        <rFont val="Arial"/>
        <family val="2"/>
      </rPr>
      <t xml:space="preserve"> rate of 0.006 lb/MMBtu, ten times higher than the AP-42.</t>
    </r>
  </si>
  <si>
    <t>Since GE references listed in note 1 above, do not provide the PM emission rates, data listed is per AP-42 section mentioned above, in note 6. The PM factors refer to PM-10, as clarified on page 3.1-8, Section 3.1.5 Updates Since the Fifth Edition, Supplement A, February 1996. In addition, it should be noted that RLBC data for the Maine unit lists a PM rate of 0.06 lb/MMBtu, ten times higher than the AP-42.</t>
  </si>
  <si>
    <t>Since GE references listed in note 1 above, do not provide the PM emission rates, data listed is per AP-42 section mentioned above, in note 5. The PM factors refer to PM-10, as clarified on page 3.1-8, Section 3.1.5 Updates Since the Fifth Edition, Supplement A, February 1996.</t>
  </si>
  <si>
    <t>RAP emission rate may be listed  if lacking manufacturer's reporting, since at other turbines, (such Solar Taurus 60, see Table 3 above, Solar Mars 100, see Table 4 above and other manufacturers' turbines data report tables), the RAP emission value of 116.88 lb CO₂ /MMBtu, calculated based on the carbon content coefficient for natural gas taken from EIIP Report, Vol. VIII, Table 1.4-3, has been confirmed as constant across the board for all turbines. Per IPCC the CO₂ emission rate of 116.88 lb/MMBtu is constant for all units without any CO₂ sequestration feature or control and on natural gas.</t>
  </si>
  <si>
    <t>Reported heat rate and electrical efficiency based on Natural Gas. 
Fuel consumption rate is same as heat rate (see note 3 below)</t>
  </si>
  <si>
    <r>
      <rPr>
        <i/>
        <u/>
        <sz val="10"/>
        <color theme="1"/>
        <rFont val="Arial"/>
        <family val="2"/>
      </rPr>
      <t>Remark:</t>
    </r>
    <r>
      <rPr>
        <sz val="10"/>
        <color theme="1"/>
        <rFont val="Arial"/>
        <family val="2"/>
      </rPr>
      <t xml:space="preserve"> The EPA's Catalog of CHP Technologies shows incorrectly the "Baseload Electric Capacity" of System 2 unit as 300 kW; Based on either the listed Heat Rate (9,866 Btu/kWh) or Electrical Efficiency (34.6%) and Fuel Input (4.93 MMBtu/hr) the resulted value is 500 kW (373 hp).</t>
    </r>
  </si>
  <si>
    <t>or,</t>
  </si>
  <si>
    <t>NOx emission rate in g/hp-hr, estimated based on the EPA's Catalog of CHP Technologies (see note 1), page 25, Table 10, NOx emission rate of 0.50 lb/MWh, reported for System 2 (GE Jenbacher JMS 312 GS-N.L – 625 kW), rich burn engine with 3-way catalyst (TWC) and exhaust gas recirculation (EGR), as follows:</t>
  </si>
  <si>
    <t>NOx rate of 0.9 ppm resulted from 0.035 lb/MWh listed in EPA's Catalog of CHP Technologies (see note 1), Table 5, page 22, and converted in lb/MMBtu on LHV basis and then in ppmvd using the Solar Turbines website unit converter, as follows:</t>
  </si>
  <si>
    <r>
      <t>NOx rate in ppm has been determined because, RAP in Appendix B, Table 2, Section Gas IC Engine, indicates for the rich burn engine given as example a NOx rate of 9 ppm @15% O</t>
    </r>
    <r>
      <rPr>
        <sz val="10"/>
        <color theme="1"/>
        <rFont val="Calibri"/>
        <family val="2"/>
      </rPr>
      <t>₂</t>
    </r>
    <r>
      <rPr>
        <sz val="10"/>
        <color theme="1"/>
        <rFont val="Arial"/>
        <family val="2"/>
      </rPr>
      <t>. The above engine's  NOx rate of 14 ppm resulted from 0.50 lb/MWh, listed in EPA's Catalog of CHP technologies (see note 1), page 25, Table 10 and converted in lb/MMBtu on LHV basis and then in ppmvd using the Solar Turbines' website unit converter, as follows:</t>
    </r>
  </si>
  <si>
    <t>Listed in EPA's Catalog of CHP Technologies, for "System 2" unit with available exhaust control options, 3-way catalyst (TWC) and exhaust gas recirculation (EGR).</t>
  </si>
  <si>
    <t xml:space="preserve">AP-42 factor for uncontrolled 4SRB. Same as RAP listed value based on 100% conversion of natural gas sulfur to SO₂. </t>
  </si>
  <si>
    <t>Estimated based on CO emission rate of 1.87 lb/MWh, reported in EPA's Catalog of CHP Technologies for System 2 unit, see calculation in note 9.</t>
  </si>
  <si>
    <t>Estimated based on reported VOC exhaust emission rate of  0.47 lb/MWh, reported in EPA's Catalog of CHP Technologies for System 2 unit, see calculation in note 10.</t>
  </si>
  <si>
    <t xml:space="preserve">Total PM-10 filterable+condensable emission factor calculated as the sum of PM 10 (filterable) factor of 9.50E-03 lb/MMBtu and PM Condensable of 9.91E-03 lb/MMBtu, both listed in AP 42 reference mentioned in table above. </t>
  </si>
  <si>
    <t>CO emission rate in g/hp-hr, calculated based on the EPA's Catalog of CHP Technologies (see note 1), page 25, Table 10, System 2 (GE Jenbacher JMS 312 GS-N.L – 625 kW), CO emission rate of 1.87 lb/MWh, reported for System 2, rich burn engine with 3-way catalyst (TWC) and exhaust gas recirculation (EGR), as follows:</t>
  </si>
  <si>
    <t>HC emission rate in g/hp-hr, calculated based on the EPA's Catalog of CHP Technologies (see note 1), page 25, Table 10, System 2 (GE Jenbacher JMS 312 GS-N.L – 625 kW), VOC exhaust emission rate of 0.47 lb/MWh, reported for System 2, rich burn engine with 3-way catalyst (TWC) and exhaust gas recirculation (EGR), as follows:</t>
  </si>
  <si>
    <t>CO₂ emission rate in lb/MMBtu calculated based on 1,284 lb CO₂/MWh and 9,866 Btu/kWh data reported in EPA's Catalog of CHP Technologies (see note 1), in Table 10 and respectively in Table 2, for System 2 (GE Jenbacher JMS 312 GS-N.L – 625 kW natural gas engine) resulted as:</t>
  </si>
  <si>
    <t xml:space="preserve">                                                                                                                                                                       → 11.3 % higher than 116.88 lb/MMBtu (RAP CO₂ emission listed value)</t>
  </si>
  <si>
    <r>
      <t>GE Jenbacher JMS 312 GS-N.L – 625 kW, is a rich-burn, high speed (1200/1800 RPM at 60Hz) generator set, listed as System 2 in Table 2 "Gas Engine CHP - Typical Performance Parameters", page 10, EPA's Catalog of CHP Technologies (see web link below). The unit is driven by J312GS, V70°, 12 cylinder, 4-stroke reciprocating engine per publication listed in note 2, detailing unit technical data.</t>
    </r>
    <r>
      <rPr>
        <i/>
        <u/>
        <sz val="10"/>
        <color indexed="8"/>
        <rFont val="Arial"/>
        <family val="2"/>
      </rPr>
      <t/>
    </r>
  </si>
  <si>
    <r>
      <t>GE Jenbacher JMS 320 GS-N.L – 1,050 kW, is a lean-burn, high speed (1200/1800 RPM at 60Hz) generator set, listed as System 3 in Table 2 "Gas Engine CHP - Typical Performance Parameters", page 10, EPA's Catalog of CHP Technologies (see web link below). The unit is driven by J320GS, V70°, 20 cylinder, 4-stroke reciprocating engine (see unit technical data in reference listed in note 2 below).</t>
    </r>
    <r>
      <rPr>
        <i/>
        <u/>
        <sz val="10"/>
        <color indexed="8"/>
        <rFont val="Arial"/>
        <family val="2"/>
      </rPr>
      <t/>
    </r>
  </si>
  <si>
    <r>
      <rPr>
        <i/>
        <u/>
        <sz val="10"/>
        <color theme="1"/>
        <rFont val="Arial"/>
        <family val="2"/>
      </rPr>
      <t>Remark</t>
    </r>
    <r>
      <rPr>
        <sz val="10"/>
        <color theme="1"/>
        <rFont val="Arial"/>
        <family val="2"/>
      </rPr>
      <t>: The EPA's Catalog of CHP Technologies shows incorrectly "Baseload Electric Capacity" of System 3 unit as 800 kW; Based on either the listed Heat Rate (9,760 Btu/kWh) or Electrical Efficiency (35%) and Fuel Input (9.76 MMBtu/hr) the correct value is 1,000 kW (747 hp).</t>
    </r>
  </si>
  <si>
    <t xml:space="preserve">In addition, per GE publication GER-3430G (05/09): "Cogeneration Application Considerations" page 16, Table 2b. Gas Reciprocating Engine Performance Summary Table – 60 HZ – English Units, the GE Jenbacher JMS 320 GS-N.L Electrical Output is 1,059 ekW (PF=1.0) / 1,049 eKW (PF=0.8) or within the range of 795 - 1,059 eKW, depending on the fuel, unit configuration and combustion settings.  </t>
  </si>
  <si>
    <t xml:space="preserve">In addition, per GE publication GER-3430G (05/09): "Cogeneration Application Considerations" page 16, Table 2b. Gas Reciprocating Engine Performance Summary Table – 60 HZ – English Units, the GE Jenbacher JMS 312 GS-N.L Electrical Output is 633 ekW (PF=1.0) / 629 eKW (PF=0.8) or within the  range of 418 - 633 eKW, depending on the fuel, unit configuration and combustion settings.  </t>
  </si>
  <si>
    <r>
      <rPr>
        <i/>
        <sz val="10"/>
        <color indexed="8"/>
        <rFont val="Arial"/>
        <family val="2"/>
      </rPr>
      <t>where</t>
    </r>
    <r>
      <rPr>
        <sz val="10"/>
        <color theme="1"/>
        <rFont val="Arial"/>
        <family val="2"/>
      </rPr>
      <t>: 4.93 MMBtu/hr is the System 2 fuel input, per EPA's "Catalog of CHP Technologies, page 10, Table 2 and 500W is the System 2 unit baseload capacity corrected (see note 1 above)</t>
    </r>
  </si>
  <si>
    <r>
      <rPr>
        <i/>
        <sz val="10"/>
        <color indexed="8"/>
        <rFont val="Arial"/>
        <family val="2"/>
      </rPr>
      <t>where</t>
    </r>
    <r>
      <rPr>
        <sz val="10"/>
        <color theme="1"/>
        <rFont val="Arial"/>
        <family val="2"/>
      </rPr>
      <t>: 9.76 MMBtu/hr is the System 3 fuel input, per EPA's "Catalog of CHP Technologies, page 10, Table 2 and 1,000W is the System 3 unit baseload capacity corrected (see note 1 above)</t>
    </r>
  </si>
  <si>
    <t>Calculated based on data for rich burn engine with 3-way catalyst and EGR, see note 4 below. The estimated NOx rate is 13% higher than RAP listed value of 0.15 g/hp-hr</t>
  </si>
  <si>
    <t>Calculated based on reported data. The result is 56% higher than the RAP listed value of 9 ppm (NSR/RBLC Identifier CA-0645)</t>
  </si>
  <si>
    <t>Calculated based on reported data.</t>
  </si>
  <si>
    <t>Listed in EPA's Catalog of CHP Technologies, for "System 3" unit with available exhaust control options (SCR)</t>
  </si>
  <si>
    <r>
      <t>Since no data is available from either the manufacturer or from EPA's Catalog of CHP Technologies, the SO</t>
    </r>
    <r>
      <rPr>
        <sz val="10"/>
        <color indexed="8"/>
        <rFont val="Calibri"/>
        <family val="2"/>
      </rPr>
      <t>₂</t>
    </r>
    <r>
      <rPr>
        <sz val="10"/>
        <color theme="1"/>
        <rFont val="Arial"/>
        <family val="2"/>
      </rPr>
      <t xml:space="preserve"> emission factor listed is per AP-42 section mentioned in the table above, for uncontrolled 4SRB engines. The factor is the same as the RAP listed value for Gas IC engines based on AP 42, 5th Ed, Vol. I, Ch. 1: External Combustion Sources, Sec.1.4: Natural Gas Combustion (Suppl D, July, 1998), page 1.4-6, Table 1.4-2, see web link below. It should be noted that in both AP-42 sections, no information is provided of how much the SO</t>
    </r>
    <r>
      <rPr>
        <sz val="10"/>
        <color indexed="8"/>
        <rFont val="Calibri"/>
        <family val="2"/>
      </rPr>
      <t>₂</t>
    </r>
    <r>
      <rPr>
        <sz val="10"/>
        <color theme="1"/>
        <rFont val="Arial"/>
        <family val="2"/>
      </rPr>
      <t xml:space="preserve"> emission factor would increase if sulfur-containing odorants are added to natural gas for detecting leaks.</t>
    </r>
  </si>
  <si>
    <t>Calculated based on reported data for lean burn engine with an SCR, see note 4 below. The estimated NOx rate is 29% lower than RAP listed value of 0.70 g/hp-hr</t>
  </si>
  <si>
    <t>Total PM-10 calculated as sum of PM 10 filterable factor and PM condensable factor provided in AP 42 reference.</t>
  </si>
  <si>
    <t xml:space="preserve">Total PM-10 filterable+condensable emission factor calculated as the sum of PM 10 filterable factor of 7.71E-05 lb/MMBtu and PM condensable factor of 9.91E-03 lb/MMBtu, both listed in AP-42 reference mentioned in table above. </t>
  </si>
  <si>
    <t>Total PM-10 filterable+condensable emission factor, is converted from units on heat input basis (lb/MMBtu) into units on electrical output basis  (g/hp-hr), using the unit heat rate, as follows:</t>
  </si>
  <si>
    <t xml:space="preserve">AP-42 factor for uncontrolled 4SLB. Same as RAP listed value based on 100% conversion of natural gas sulfur to SO₂. </t>
  </si>
  <si>
    <r>
      <t>Since no data is available from either the manufacturer or from EPA's Catalog of CHP Technologies, the SO</t>
    </r>
    <r>
      <rPr>
        <sz val="10"/>
        <color indexed="8"/>
        <rFont val="Calibri"/>
        <family val="2"/>
      </rPr>
      <t>₂</t>
    </r>
    <r>
      <rPr>
        <sz val="10"/>
        <color theme="1"/>
        <rFont val="Arial"/>
        <family val="2"/>
      </rPr>
      <t xml:space="preserve"> emission factor listed is per AP-42 section mentioned in the table above, for uncontrolled 4SLB engines. The factor is the same as the RAP listed value for Gas IC engines based on AP 42, 5th Ed, Vol. I, Ch. 1: External Combustion Sources, Sec.1.4: Natural Gas Combustion (Suppl D, July, 1998), page 1.4-6, Table 1.4-2, see web link below. It should be noted that in both AP-42 sections, no information is provided of how much the SO</t>
    </r>
    <r>
      <rPr>
        <sz val="10"/>
        <color indexed="8"/>
        <rFont val="Calibri"/>
        <family val="2"/>
      </rPr>
      <t>₂</t>
    </r>
    <r>
      <rPr>
        <sz val="10"/>
        <color theme="1"/>
        <rFont val="Arial"/>
        <family val="2"/>
      </rPr>
      <t xml:space="preserve"> emission factor would increase if sulfur-containing odorants are added to natural gas for detecting leaks.</t>
    </r>
  </si>
  <si>
    <t>Listed in EPA's Catalog of CHP Technologies, for "System 3" unit with available exhaust control options (SCR, no mention of an oxidation catalyst)</t>
  </si>
  <si>
    <t>Estimated based on CO emission rate of 0.87 lb/MWh, reported in in EPA's Catalog of CHP Technologies for System 3 unit, see calculation in note 9.</t>
  </si>
  <si>
    <t>EPA's "Catalog of CHP Technologies, section on reciprocating engines does not provide specific data.</t>
  </si>
  <si>
    <t>HC emission rate in g/hp-hr, calculated based on the EPA's Catalog of CHP Technologies (see note 1), page 25, Table 10, System 3 (GE Jenbacher JMS 320 GS-N.L – 1,050 kW), VOC exhaust emission reported value of 0.38 lb/MWh, for System 3, lean burn engine.</t>
  </si>
  <si>
    <t>Listed in EPA's Catalog of CHP Technologies, for "System 3" unit with available exhaust control options, SCR (no mention an oxidation catalyst).</t>
  </si>
  <si>
    <t>Estimated based on reported VOC exhaust emission rate of  0.38 lb/MWh, for System 3 unit, lean burn engine, see calculation in note 10.</t>
  </si>
  <si>
    <t xml:space="preserve">The result of CO₂ emission rate calculated based on EPA's Catalog of CHP Technologies, for "System 2", is incorrect; instead RAP emission rate is listed - see note 11. </t>
  </si>
  <si>
    <r>
      <t>Since the result is slightly different than RAP listed value of 116.88 lb/MMBtu and since theoretically the CO</t>
    </r>
    <r>
      <rPr>
        <sz val="10"/>
        <color theme="1"/>
        <rFont val="Calibri"/>
        <family val="2"/>
      </rPr>
      <t>₂</t>
    </r>
    <r>
      <rPr>
        <sz val="10"/>
        <color theme="1"/>
        <rFont val="Arial"/>
        <family val="2"/>
      </rPr>
      <t xml:space="preserve"> emission could not be higher than the value based on 100% Carbon conversion, the RAP value is listed above.</t>
    </r>
  </si>
  <si>
    <t>Caterpillar G3516 Genset - 516GE55/DM5147, 1200 RPM, 60 Hz, 770 ekW - lean burn, per manufacturer's specification sheet LEHE0331-01 (Nov-2011), has the same frame and similar specifications as the RAP listed unit Model G3516, 130 LE 770 ekW (at PF=0.8) @1200 rpm, listed in Caterpillar specification sheet LEHX6196 © 1996. Both units include an engine type G3516, V-16 (cylinders), 1200 rpm, 60 Hz, SR4 Generator, 130 LE (130ºF referring to the after cooler temperature, LE - low emission configuration), and same compression ratio 11:1. See web links below:</t>
  </si>
  <si>
    <t>G3516-516GE55/DM5147, per LEHE0331-01</t>
  </si>
  <si>
    <t>RAP, G3516, 130 LE, per LEHX6196</t>
  </si>
  <si>
    <r>
      <t xml:space="preserve">Caterpillar G3516 Genset - 516GE55/DM5147, 1200 RPM, 60 Hz, 770 ekW (574 hp) - lean burn </t>
    </r>
    <r>
      <rPr>
        <vertAlign val="superscript"/>
        <sz val="10"/>
        <color indexed="8"/>
        <rFont val="Arial"/>
        <family val="2"/>
      </rPr>
      <t>[1]</t>
    </r>
  </si>
  <si>
    <t>2.0 g/hp-hr is Not-To-Exceed (NTE) setting for G3516 LE - Cat Ref. # 516GE55/DM5147, per Caterpillar specification sheet, LEHE0331-01 (Nov-2011).</t>
  </si>
  <si>
    <t>Per LEHE0023-02 (Apr-2013) available via engine setting for lean burn engines or via 3-way catalyst for rich-burn engines. Ultra low NOx options available via SCR.</t>
  </si>
  <si>
    <t>EPA's "Catalog of CHP Technologies, December 2008", Section: Technology Characterization: Reciprocating Engines, page 25, Table 10, System 3 (GE Jenbacher JMS 320 GS-N.L– 1,050 kW)</t>
  </si>
  <si>
    <t>EPA's "Catalog of CHP Technologies, December 2008", Section: Technology Characterization: Reciprocating Engines, page 25, Table 10, System 2(GE Jenbacher JMS 312 GS-N.L– 625 kW)</t>
  </si>
  <si>
    <t>lb/MMBtu, total PM-10 filterable+condensable</t>
  </si>
  <si>
    <t>g/hp-hr, total PM-10 filterable+condensable</t>
  </si>
  <si>
    <t>g/hp-hr, NOx lean burn engine</t>
  </si>
  <si>
    <t>g/hp-hr, THC lean burn engine</t>
  </si>
  <si>
    <t>g/hp-hr, CO lean burn engine out</t>
  </si>
  <si>
    <t>lb/MWh, NOx rich burn engine, 3-way catalyst</t>
  </si>
  <si>
    <t>g/hp-hr, NOx rich burn engine, 3-way catalyst</t>
  </si>
  <si>
    <t>lb/MWh, CO rich burn engine out</t>
  </si>
  <si>
    <t>g/hp-hr, CO rich burn engine out</t>
  </si>
  <si>
    <t>lb/MWh, HC rich burn engine</t>
  </si>
  <si>
    <t>g/hp-hr, HC rich burn engine</t>
  </si>
  <si>
    <t>lb/MWh, NOx lean burn engine, SCR</t>
  </si>
  <si>
    <t>g/hp-hr, NOx lean burn engine, SCR</t>
  </si>
  <si>
    <t>lb/MWh, CO lean burn engine out</t>
  </si>
  <si>
    <t>lb/MWh, HC lean burn engine</t>
  </si>
  <si>
    <t>g/hp-hr, HC lean burn engine</t>
  </si>
  <si>
    <t>g/hp-hr, NOx lean burn &amp; rich burn engines</t>
  </si>
  <si>
    <t>Emission data measurements, per specification data sheet LEHE0331-01 (Nov-2011), consistent with those described in EPA CFR 40 Part 89 Subpart D &amp; E, for measuring HC, CO, PM, NOx.</t>
  </si>
  <si>
    <t>CO₂ emission rate calculated based on EPA's Catalog of CHP Technologies records, is slightly different (+0.1%) than the RAP emission rate</t>
  </si>
  <si>
    <t xml:space="preserve">CO₂ emission rate not provided in the manufacturer data sheet, instead RAP emission rate is listed - see note 9, below. </t>
  </si>
  <si>
    <t>G3612-DM5395, heat rate in Btu/kWh HHV, fuel consumption rate, in Btu/hp-hr HHV, and efficiency HHV are calculated for natural gas HHV based on fuel consumption data, the natural gas LHV, and 2,615 kW output (@ 0.8 PF).</t>
  </si>
  <si>
    <t>lb/MWh, NOx</t>
  </si>
  <si>
    <t>Btu/kWh, heat rate, HHV</t>
  </si>
  <si>
    <t>lb/MMBtu, SO₂</t>
  </si>
  <si>
    <t>ppm, CO</t>
  </si>
  <si>
    <t>ppm, UHC</t>
  </si>
  <si>
    <t>lb/MMBtu, CO₂</t>
  </si>
  <si>
    <t>ppm, NOx @ 15% O₂</t>
  </si>
  <si>
    <t>Heat rate, in Btu/kWh HHV, calculated based on data sheet (see note 1) reported values of 224 Nm³/hr fuel consumption (at 100 % w/o fan), 35.6 MJ/Nm³ pipe line natural gas LHV, 770 kW power rating @ 0.8 PF and the LHV/HHV factor of 0.903, as follows:</t>
  </si>
  <si>
    <t>Heat rate, in Btu/kWh HHV, calculated based on data sheet (see note 1) reported values of 635 Nm³/hr fuel consumption (at 100 % w/o fan), 35.6 MJ/Nm³ pipe line natural gas LHV, 2,335 kW power rating @ 0.8 PF and the LHV/HHV factor of 0.903, as follows:</t>
  </si>
  <si>
    <t>Fuel consumption rate is the heat rate expressed in BTU's on horse-power units instead on kWh</t>
  </si>
  <si>
    <t>Fuel consumption rate is the heat rate expressed in BTU's on horse-power units instead on kW</t>
  </si>
  <si>
    <r>
      <t>Since no data is available from the manufacturer, the SO</t>
    </r>
    <r>
      <rPr>
        <sz val="10"/>
        <color indexed="8"/>
        <rFont val="Calibri"/>
        <family val="2"/>
      </rPr>
      <t>₂</t>
    </r>
    <r>
      <rPr>
        <sz val="10"/>
        <color theme="1"/>
        <rFont val="Arial"/>
        <family val="2"/>
      </rPr>
      <t xml:space="preserve"> emission factor listed is per AP-42 section mentioned in the table above, for uncontrolled 4SLB engines. The factor is the same as the RAP listed value for Gas IC engines based on AP 42, 5th Ed, Vol. I, Ch. 1: External Combustion Sources, Sec.1.4: Natural Gas Combustion (Suppl D, July, 1998), page 1.4-6, Table 1.4-2, see web link below. It should be noted that in both AP-42 sections, no information is provided of how much the SO</t>
    </r>
    <r>
      <rPr>
        <sz val="10"/>
        <color indexed="8"/>
        <rFont val="Calibri"/>
        <family val="2"/>
      </rPr>
      <t>₂</t>
    </r>
    <r>
      <rPr>
        <sz val="10"/>
        <color theme="1"/>
        <rFont val="Arial"/>
        <family val="2"/>
      </rPr>
      <t xml:space="preserve"> emission factor would increase if sulfur-containing odorants are added to natural gas for detecting leaks.</t>
    </r>
  </si>
  <si>
    <t>Since SO₂ emission rate is not available from manufacturer, the RAP theoretical value is listed, as based on 100% conversion of natural gas sulfur to SO₂, per AP42</t>
  </si>
  <si>
    <r>
      <t>Since the manufacturer does not provide any data, RAP theoretical CO₂ emission rate is listed, as based on a 100% fuel carbon content conversion to CO</t>
    </r>
    <r>
      <rPr>
        <sz val="10"/>
        <color theme="1"/>
        <rFont val="Calibri"/>
        <family val="2"/>
      </rPr>
      <t>₂,</t>
    </r>
    <r>
      <rPr>
        <sz val="10"/>
        <color theme="1"/>
        <rFont val="Arial"/>
        <family val="2"/>
      </rPr>
      <t xml:space="preserve"> using the carbon content coefficient for natural gas taken from EIIP Report, Vol. VIII, Table 1.4-3. Per IPCC the CO₂ emission rate of 116.88 lb/MMBtu is constant for all units without any CO₂ sequestration feature or control and on natural gas.</t>
    </r>
  </si>
  <si>
    <t xml:space="preserve">Since no PM emission rates are available for uncontrolled engines, AP-42 recommends the PM10 filterable factor of the engines equipped with a precombustion chamber (PCC) and a PM condensable factor same as the  4SLB engines emission factor. </t>
  </si>
  <si>
    <t>Fuel consumption rate, in Btu/hp-hr, listed by RAP rule in Appendix B, Table 2, Section: Gas IC Engine, instead of the heat rate, can be determined as follows:</t>
  </si>
  <si>
    <t>NOx emission rate in g/hp-hr, estimated based on the EPA's Catalog of CHP Technologies (see note 1), page 25, Table 10, NOx emission rate of 1.49 lb/MWh, reported for System 3 (GE Jenbacher JMS 320 GS-N.L – 1,050 kW), lean burn engine with an SCR. Note: The EPA reference does not specify whether the unit is also equipped with an catalytic oxidation system, too.</t>
  </si>
  <si>
    <t>CO emission rate in g/hp-hr, calculated based on the EPA's Catalog of CHP Technologies (see note 1), page 25, Table 10, System 3 (GE Jenbacher JMS 320 GS-N.L – 1,050 kW), CO emission rate reported value of 0.87 lb/MWh, for lean burn engine. (No indication whether the engine has a CO catalyst).</t>
  </si>
  <si>
    <t>Per ISO3046/1 ratings and fuel consumption/heat input are based on pipeline natural gas with a Low Heating Value (LHV) of 35.6 MJ/Nm³ (905 Btu/ft³) and 80 Cat Methane No. See details in LEHE0331-01, specifications sheet, table "Technical Data" footnotes.</t>
  </si>
  <si>
    <t>Remark: The unit performance data are provided in the table above for generator set operating continuously, at the power factor 0.8PF, 100% load, same as RAP selection.</t>
  </si>
  <si>
    <r>
      <rPr>
        <i/>
        <u/>
        <sz val="10"/>
        <color indexed="8"/>
        <rFont val="Arial"/>
        <family val="2"/>
      </rPr>
      <t>Remark</t>
    </r>
    <r>
      <rPr>
        <sz val="10"/>
        <color theme="1"/>
        <rFont val="Arial"/>
        <family val="2"/>
      </rPr>
      <t>: The result above is consistent with the manufacturer's listed Electrical Efficiency of 35.1 % (1.0 PF ISO 3046/1), reported for fuel LHV and 777 kW power output @ 1.0 PF</t>
    </r>
  </si>
  <si>
    <t>Per ISO3046/1 ratings and fuel consumption/heat input are based on pipeline natural gas with a Low Heating Value (LHV) of 35.6 MJ/Nm³ (905 Btu/ft³) and 80 Cat Methane No. See details in LEHE0309-01 specifications sheet, table "Technical Data" footnotes.</t>
  </si>
  <si>
    <r>
      <rPr>
        <i/>
        <u/>
        <sz val="10"/>
        <color indexed="8"/>
        <rFont val="Arial"/>
        <family val="2"/>
      </rPr>
      <t>Remark</t>
    </r>
    <r>
      <rPr>
        <sz val="10"/>
        <color theme="1"/>
        <rFont val="Arial"/>
        <family val="2"/>
      </rPr>
      <t>: The result above is different then the manufacturer's listed Electrical Efficiency of 40.0 % (1.0 PF ISO 3046/1), reported for fuel LHV and 2,347 kW power output @ 1.0 PF. The calculated efficiency for LHV and 1.0 PF is as follows:</t>
    </r>
  </si>
  <si>
    <t xml:space="preserve">                                                                                                                                                              </t>
  </si>
  <si>
    <t>Heat rate in Btu/kWh HHV, fuel consumption rate, in Btu/hp-hr HHV, and efficiency HHV are calculated for diesel fuel HHV based on manufacturer's fuel consumption data, diesel LHV and density, and generator set nominal output.</t>
  </si>
  <si>
    <t xml:space="preserve">Caterpillar G3612 Genset is 4SLB clean engine designed for low NOx emission levels of 0.5 g/bhp-he without after treatment. The G3612-DM5396, 900 RPM, 60 Hz, 2,615 ekW (1,950 hp) - lean burn unit, with prechamber combustion, has the same frame and similar specifications as the Clean Burn Cat G3612 TA/SW66 listed by RAP in Appendix B, Table 2 - Gas IC Engine, per NSR/RBLC Identifier NM-0026, with Not-To-Exceed (NTE) 0.70 g/hp-hr NOx. The unit listed above, performance code DM5396, is a per LEHE0309-01 specification sheet (see web link below), with the same combustion setting, aftercooler temperature of 130ºF, as the G3516 genset listed in Table 3.3 above. Note that the DM5396 unit power has a slightly lower power output (2,335 kW @ 0.8PF) than the DM5395 unit, with aftercooler at 90ºF (2,615 kW @ 0.8 PF). </t>
  </si>
  <si>
    <r>
      <t xml:space="preserve">Solar Centaur 50 Fuel: Natural Gas, Diesel, Dual (Nat. Gas &amp; Diesel) and Low BTU Gas. </t>
    </r>
    <r>
      <rPr>
        <vertAlign val="superscript"/>
        <sz val="10"/>
        <color theme="1"/>
        <rFont val="Arial"/>
        <family val="2"/>
      </rPr>
      <t>[2]</t>
    </r>
  </si>
  <si>
    <r>
      <t xml:space="preserve">Solar Mars 100 Fuel: Natural Gas, Diesel, Dual (Nat. Gas &amp; Diesel) and Low BTU Gas. </t>
    </r>
    <r>
      <rPr>
        <vertAlign val="superscript"/>
        <sz val="10"/>
        <color theme="1"/>
        <rFont val="Arial"/>
        <family val="2"/>
      </rPr>
      <t>[3]</t>
    </r>
  </si>
  <si>
    <r>
      <t xml:space="preserve">AP-42, 5th Ed, Vol. I, Chapter 3, Section 3.1: Stationary Gas Turbines (Suppl. F, Apr 2000), Table 3.1-2a, factor based on 100% conversion of natural gas sulfur to SO₂. </t>
    </r>
    <r>
      <rPr>
        <vertAlign val="superscript"/>
        <sz val="10"/>
        <color theme="1"/>
        <rFont val="Arial"/>
        <family val="2"/>
      </rPr>
      <t>[10]</t>
    </r>
  </si>
  <si>
    <r>
      <t>Solar Titan 130 Fuel: Natural Gas, Diesel, Dual (Nat. Gas &amp; Diesel) and Low BTU Gas.</t>
    </r>
    <r>
      <rPr>
        <vertAlign val="superscript"/>
        <sz val="10"/>
        <color theme="1"/>
        <rFont val="Arial"/>
        <family val="2"/>
      </rPr>
      <t xml:space="preserve"> [2]</t>
    </r>
  </si>
  <si>
    <r>
      <t xml:space="preserve">AP-42, 5th Ed, Vol. I, Chapter 3, Section 3.1: Stationary Gas Turbines (Suppl. F, Apr 2000), Table 3.1-2a, factor based on 100% conversion of natural gas sulfur to SO₂. </t>
    </r>
    <r>
      <rPr>
        <vertAlign val="superscript"/>
        <sz val="10"/>
        <color theme="1"/>
        <rFont val="Arial"/>
        <family val="2"/>
      </rPr>
      <t>[7]</t>
    </r>
  </si>
  <si>
    <r>
      <t xml:space="preserve">NOx emission listed is per manufacturer data sheet GE 6FA turbines equipped with Dry Low NOx - DLN2.6 combustion system. </t>
    </r>
    <r>
      <rPr>
        <vertAlign val="superscript"/>
        <sz val="10"/>
        <color theme="1"/>
        <rFont val="Arial"/>
        <family val="2"/>
      </rPr>
      <t>[4]</t>
    </r>
  </si>
  <si>
    <r>
      <t xml:space="preserve">AP-42, 5th Ed, Vol. I, Chapter 3, Section 3.1: Stationary Gas Turbines (Suppl. F, Apr 2000), Table 3.1-2a, factor based on 100% conversion of natural gas sulfur to SO₂. </t>
    </r>
    <r>
      <rPr>
        <vertAlign val="superscript"/>
        <sz val="10"/>
        <color theme="1"/>
        <rFont val="Arial"/>
        <family val="2"/>
      </rPr>
      <t>[3]</t>
    </r>
  </si>
  <si>
    <t>fuel cells web link:</t>
  </si>
  <si>
    <r>
      <t xml:space="preserve">AP-42, 5th Ed, Vol. I, Chapter 3, Section 3.1: Stationary Gas Turbines (Suppl. F, Apr 2000), Table 3.1-2a, factor based on 100% conversion of natural gas sulfur to SO₂. </t>
    </r>
    <r>
      <rPr>
        <vertAlign val="superscript"/>
        <sz val="10"/>
        <color theme="1"/>
        <rFont val="Arial"/>
        <family val="2"/>
      </rPr>
      <t>[6]</t>
    </r>
  </si>
  <si>
    <r>
      <t xml:space="preserve">Solar Taurus 60 Fuel: Natural Gas, Diesel, Dual (Nat. Gas &amp; Diesel) and Low BTU Gas. </t>
    </r>
    <r>
      <rPr>
        <vertAlign val="superscript"/>
        <sz val="10"/>
        <color theme="1"/>
        <rFont val="Arial"/>
        <family val="2"/>
      </rPr>
      <t>[2]</t>
    </r>
  </si>
  <si>
    <r>
      <t>AP-42, 5th Ed, Vol. I, Chapter 3, Section 3.1: Stationary Gas Turbines (Suppl. F, Apr 2000), Table 3.1-2a, factor based on 100% conversion of natural gas sulfur to SO₂.</t>
    </r>
    <r>
      <rPr>
        <vertAlign val="superscript"/>
        <sz val="10"/>
        <color theme="1"/>
        <rFont val="Arial"/>
        <family val="2"/>
      </rPr>
      <t>[9]</t>
    </r>
  </si>
  <si>
    <r>
      <t xml:space="preserve">GE Jenbacher JMS 312 GS-N.L – 625 kW, rich burn - Fuel System: Natural Gas, flare gas, propane, biogas, landfill gas, sewage gas and special gases (coal mine gas, coke gas, wood gas, pyrolysis gas). </t>
    </r>
    <r>
      <rPr>
        <vertAlign val="superscript"/>
        <sz val="10"/>
        <color theme="1"/>
        <rFont val="Arial"/>
        <family val="2"/>
      </rPr>
      <t>[2]</t>
    </r>
    <r>
      <rPr>
        <sz val="10"/>
        <color theme="1"/>
        <rFont val="Arial"/>
        <family val="2"/>
      </rPr>
      <t xml:space="preserve">
</t>
    </r>
  </si>
  <si>
    <r>
      <t xml:space="preserve">GE Jenbacher JMS 320 GS-N.L – 1,050 kW, lean burn - Fuel System: Natural Gas, flare gas, propane, biogas, landfill gas, sewage gas and special gases (coal mine gas, coke gas, wood gas, pyrolysis gas). </t>
    </r>
    <r>
      <rPr>
        <vertAlign val="superscript"/>
        <sz val="10"/>
        <color theme="1"/>
        <rFont val="Arial"/>
        <family val="2"/>
      </rPr>
      <t>[2]</t>
    </r>
    <r>
      <rPr>
        <sz val="10"/>
        <color theme="1"/>
        <rFont val="Arial"/>
        <family val="2"/>
      </rPr>
      <t xml:space="preserve">
</t>
    </r>
  </si>
  <si>
    <t>Per specification sheet 17791756, fuel rate is based on fuel oil of 35º API (16ºF/60ºF) gravity, having  LHV=18,390 Btu/lb when used at 85ºF and density 7.001 lbs/U.S. Gal.</t>
  </si>
  <si>
    <t>http://www.epa.gov/otaq/standards/nonroad/nonroadci.htm</t>
  </si>
  <si>
    <t>U.S. EPA - Emissions Standards</t>
  </si>
  <si>
    <t>http://www.cat.com/power-generation/generator-sets/emissions</t>
  </si>
  <si>
    <t>http://www.cat.com/cda/files/3050164/7/3516C%20480V%202050%20kW%20Tier%204%20Continuous.pdf</t>
  </si>
  <si>
    <t>http://www.gpo.gov/fdsys/pkg/FR-2004-06-29/pdf/04-11293.pdf</t>
  </si>
  <si>
    <t>CAT Emissions web page</t>
  </si>
  <si>
    <t>EPA Nonroad Diesel Final Rule</t>
  </si>
  <si>
    <t>http://www.ecfr.gov/cgi-bin/text-idx?c=ecfr&amp;SID=4fd542ed6b13bb98d6377413201b6ff8&amp;rgn=div8&amp;view=text&amp;node=40:17.0.1.1.9.9.63.10&amp;idno=40</t>
  </si>
  <si>
    <t>g/hp-hr PM</t>
  </si>
  <si>
    <t>ppm sulfur in diesel fuel</t>
  </si>
  <si>
    <t xml:space="preserve">Caterpillar specification sheet, 17791756 (July 27, 2011), "Diesel Generator Set - Continuous  1640 ekW 2050 kVA, 60 Hz, 1800 RPM 480 Volts" 3516B TA Engine, SR5 Generator, Performance No.: DM7931, Feature Code: 516DE5E, General Arrangement No.: 2523844 - Low Emission (LE).
</t>
  </si>
  <si>
    <t>Caterpillar specification sheet, 17791756 (July 27, 2011), "Diesel Generator Set - Continuous  1640 ekW 2050 kVA, 60 Hz, 1800 RPM 480 Volts" 3516B TA Engine, SR5 Generator, Performance No.: DM7931, Feature Code: 516DE5E, General Arrangement No.: 2523844 - Low Emission (LE).</t>
  </si>
  <si>
    <t>g/hp-hr CO</t>
  </si>
  <si>
    <t>g/hp-hr HC</t>
  </si>
  <si>
    <t>Per manufacturer's specification sheet 17791756 (July 2011). Emissions data records based on steady state operating conditions (77ºF and 28.42 in Hg) and No. 2 Diesel fuel with 35º API and LHV of 18,390 Btu/lb.</t>
  </si>
  <si>
    <t>Compression Ignition (Diesel) Engine (continued)</t>
  </si>
  <si>
    <r>
      <t xml:space="preserve">Caterpillar 3516C-HD - DM9372, 1800 RPM, 60 Hz, 2,050 ekW (1,529 hp) </t>
    </r>
    <r>
      <rPr>
        <vertAlign val="superscript"/>
        <sz val="10"/>
        <color indexed="8"/>
        <rFont val="Arial"/>
        <family val="2"/>
      </rPr>
      <t>[1]</t>
    </r>
  </si>
  <si>
    <t xml:space="preserve">Caterpillar specification sheet, EPD0027-E (October, 2011), "Diesel Generator Set - Continuous  2050 ekW 2563 kVA, 60 Hz, 1800 RPM 480 Volts" CAT 3516C-HD ATAAC Diesel Engine, CAT Clean Emissions Module (CEM), Performance No.: DM9372 - Designed for EPA Tier 4 Interim.
</t>
  </si>
  <si>
    <t>Per specification sheet EPD0027-E, fuel rate is based on fuel oil of 35º API (16ºF/60ºF) gravity, having  LHV=18,390 Btu/lb when used at 85ºF and density 7.001 lbs/U.S. Gal.</t>
  </si>
  <si>
    <t>Heat rate in Btu/kWh HHV, fuel consumption rate, in Btu/hp-hr HHV, and efficiency HHV are calculated for  Ultra Low Sulfur Diesel (ULSD) fuel HHV based on manufacturer's fuel consumption data, ULSD LHV and density, and generator set nominal output.</t>
  </si>
  <si>
    <t>Caterpillar specification sheet, EPD0027-E (October, 2011), "Diesel Generator Set - Continuous  2050 ekW 2563 kVA, 60 Hz, 1800 RPM 480 Volts" CAT 3516C-HD ATAAC Diesel Engine, CAT Clean Emissions Module (CEM), Performance No.: DM9372 - Designed for EPA Tier 4 Interim.</t>
  </si>
  <si>
    <t>Per manufacturer's specification sheet EPD0027-E (October 2011). Emissions data records based on steady state operating conditions (77ºF and 28.42 in Hg) and No. 2 Diesel fuel with 35º API and LHV of 18,390 Btu/lb.</t>
  </si>
  <si>
    <t>Table 3.6</t>
  </si>
  <si>
    <t>Heat rate, in Btu/kWh HHV, estimated based on manufacture's reported values of 142.2 gal/hr fuel consumption (at 100 % with fan), 18,390 Btu/lb LHV (No. 2 diesel fuel 35ºAPI, 7.001 lbs/gal density), 2,050 ekW power output rating, and the 0.935 LHV/HHV factor for U.S. conventional diesel, as follows:</t>
  </si>
  <si>
    <t>Heat rate, in Btu/kWh HHV, estimated based on manufacture's reported values of 119.1 gal/hr fuel consumption (at 100 % with fan), 18,390 Btu/lb LHV (No. 2 diesel fuel 35ºAPI, 7.001 lbs/gal density), 1,640 ekW power output rating, and the 0.935 LHV/HHV factor for U.S. conventional diesel, as follows:</t>
  </si>
  <si>
    <t>Per manufacturer's specification sheet specification sheet, 17791756 (July 27, 2011), Caterpillar 3516B Genset - 1640 ekW 2050 kVA, 60 Hz, 1800 RPM 480 Volts, has the same frame, configuration and similar specifications as the RAP listed unit diesel model 3516B. The unit is a combination made of CAT 3516B-TA four-stroke-cycle diesel engine and CAT SR5 generator, designed and marketed as Low Emission genset and achieves low emissions through combustion settings.</t>
  </si>
  <si>
    <t xml:space="preserve">Caterpillar 3516B - DM7931, NOx emission of 4.57 g/hp-hr &lt; 6.9 g/hp-hr (9.2 lb/MWh) complies with EPA's Tier 1 - Non-Road Engine Standard (see web link below). </t>
  </si>
  <si>
    <t>Per manufacturer's specification sheet 17791756 (July 2011). Unit is compliant with EPA' s Tier 1 - Non-Road Engine Standard, see web link in note 5, below.</t>
  </si>
  <si>
    <t>Caterpillar 3516B Genset - 1640 ekW 2050 kVA, 60 Hz, 1800 RPM 480 Volts, V-16, 4-Stroke cycle diesel, per manufacturer's specification sheet specification sheet, EPD0027-E (October, 2011), is the lowest power output capacity unit (2 MW) from the Caterpillar series of generator sets designed to meet EPA Tier 4 Interim standard. See below Caterpillar Diesel Generators Set Specifications web page:</t>
  </si>
  <si>
    <t>http://www.cat.com/cda/layout?m=39280&amp;x=7&amp;f=444929</t>
  </si>
  <si>
    <t xml:space="preserve">Caterpillar specification sheet, EPD0027-E (October, 2011), CAT genset 3516C-HD - DM9372, 2,050 ekW (1,529 hp), meets Tier 4 Interim standards being equipped with CAT Clean Emissions Module (CEM), including SCR and Diesel oxidation catalyst for PM and hydrocarbon (HC) control and operating on ultra low sulfur diesel. </t>
  </si>
  <si>
    <t>Caterpillar is commited to developing new technology for new diesel non-emergency stationary engines (greater than 130 bkW (&gt; 175 bhp) to meet Tier 4 Interim emissions regulations.</t>
  </si>
  <si>
    <t>Unit compliant with EPA's Tier 4 Interim standard, see remarks in note 5, below.</t>
  </si>
  <si>
    <r>
      <t>lb SO</t>
    </r>
    <r>
      <rPr>
        <sz val="10"/>
        <color theme="1"/>
        <rFont val="Calibri"/>
        <family val="2"/>
      </rPr>
      <t>₂</t>
    </r>
    <r>
      <rPr>
        <sz val="10"/>
        <color theme="1"/>
        <rFont val="Arial"/>
        <family val="2"/>
      </rPr>
      <t>/MMBtu</t>
    </r>
  </si>
  <si>
    <t>Calculated based on ULSD sulfur content of 15 ppm (0.0015 percent by weight), see details in note 7</t>
  </si>
  <si>
    <r>
      <t>SO</t>
    </r>
    <r>
      <rPr>
        <sz val="10"/>
        <color theme="1"/>
        <rFont val="Calibri"/>
        <family val="2"/>
      </rPr>
      <t>₂</t>
    </r>
    <r>
      <rPr>
        <sz val="10"/>
        <color theme="1"/>
        <rFont val="Arial"/>
        <family val="2"/>
      </rPr>
      <t xml:space="preserve"> emission rate, in lb/MMBtu, is calculated based on ULSD sulfur content of 15 ppm (0.0015 percent by weight), 18,390 Btu/lb LHV (No. 2 diesel fuel 35ºAPI, 7.001 lbs/gal density), and the 0.935 LHV/HHV factor, as follows:</t>
    </r>
  </si>
  <si>
    <t>Calculated based on ULSD sulfur content of 15 ppm (0.0015 percent by weight), see details in Table 3.5, note 7</t>
  </si>
  <si>
    <t>CAT 3516C-HD 
   DM9372
   1800 RPM,</t>
  </si>
  <si>
    <t>Calculated per U.S. Greenhouse Gas Inventory Report Archive, Inventory of U.S. Greenhouse Gas Emissions and Sinks: 1990-2010 (April 15, 2012) EPA - EPA 430-R-12-001, Annex 4, page A-340, Table A- 255: 2010 Potential CO₂ Emissions</t>
  </si>
  <si>
    <t>Caterpillar G3612 Genset - DM5396, 900 RPM, 60 Hz, 2,335 ekW (1,741 hp) 
- lean burn</t>
  </si>
  <si>
    <t>Caterpillar G3516 Genset - 516GE55/DM5147, 1200 RPM, 60 Hz, 770 ekW (574 hp) 
- lean burn</t>
  </si>
  <si>
    <t>Caterpillar 3516C-HD - DM9372, 1800 RPM, 60 Hz, 2,050 ekW (1,529 hp)</t>
  </si>
  <si>
    <t>PM-10 natural gas</t>
  </si>
  <si>
    <t>PM-10 lq fuel recip</t>
  </si>
  <si>
    <t>PM-10 lq fuel non-recip</t>
  </si>
  <si>
    <t>Yes</t>
  </si>
  <si>
    <t>No</t>
  </si>
  <si>
    <t xml:space="preserve">Per U.S. Department of Energy’s Office of Fossil Energy (USDOE/FE) web page (see web link below) the Solid Oxide Fuel Cells (SOFC) exhibit NOx emission rates of &lt; 0.5 ppm. </t>
  </si>
  <si>
    <t>The RAP value of SO₂ emission rate is considered, since that value was determined for natural gas without any additives for leak detection. Per USDOE/FE (see web link in note 4 above) sulfur-bearing contaminants are tolerated less by fuel cells, and therefore these units' fuels should be pre-treated by using available commercial desulfurization methods.</t>
  </si>
  <si>
    <r>
      <t>RAP value is listed, since the CO₂ emission rate from EPA's Catalog of CHP Technologies (see note 1) for "System 6" SOFC of 0.05 lb CO₂/MWh, is too low and cannot be validated by the other publications. Based on the unit's HHV heat rate the 0.05 lb CO</t>
    </r>
    <r>
      <rPr>
        <sz val="10"/>
        <color indexed="8"/>
        <rFont val="Calibri"/>
        <family val="2"/>
      </rPr>
      <t>₂</t>
    </r>
    <r>
      <rPr>
        <sz val="10"/>
        <color theme="1"/>
        <rFont val="Arial"/>
        <family val="2"/>
      </rPr>
      <t>/MWh in lb/MMBtu units is as follows:</t>
    </r>
  </si>
  <si>
    <t>The above rate is an extremely low CO₂ emission rate, esp. when the unit is fuelled with natural gas or a fossil based fuel, is not justified, since the SOFC units does not have any CO₂ sequestration feature or controls. Therefore 100% of the fuel carbon content is discharged. The CO emission of 2 ppm, or 0.005 lb/MMBtu is negligible compared to 116.88 lb/MMBtu.</t>
  </si>
  <si>
    <t>UTC PC25 - 200 kW - Fuel: hydrogen, natural gas, propane, methanol, per EPA's full "Catalog of CHP Technologies", Table III, p7, (see full catalog web link in Table 2.1, note 1).
Reported heat rate of 9,480 Btu/kWe-hr, LHV and 33% electrical efficiency (percent HHV) are based on natural gas.</t>
  </si>
  <si>
    <t>Performing a calculation based on 1,736 lb CO₂/MWh and 15,075 Btu/kWh data reported in EPA's Catalog of CHP Technologies (see note 1 above), in Table 4 and respectively in Table 1, for System 1 (Capstone Model C30 - 30kW Microturbine), resulted a CO₂ rate of 115.6 lb/MMBtu. The result is slightly below the RAP listed rate (-1.4%) hence insignificant. However since all other data in table above is from the manufacturer's data sheet, and in order to eliminate calculation errors, the RAP CO₂ theoretical rate, based on 100% Carbon content oxidized, is listed.</t>
  </si>
  <si>
    <t>Note that the resulting NOx emission rate of 14 ppm is a gross estimate based on a single source (EPA's CHP catalog) yet to be confirmed and therefore subject to correction;</t>
  </si>
  <si>
    <r>
      <rPr>
        <i/>
        <u/>
        <sz val="10"/>
        <color indexed="8"/>
        <rFont val="Arial"/>
        <family val="2"/>
      </rPr>
      <t>Remark</t>
    </r>
    <r>
      <rPr>
        <sz val="10"/>
        <color theme="1"/>
        <rFont val="Arial"/>
        <family val="2"/>
      </rPr>
      <t>: The result appears erroneous, being more than 10% higher than the RAP value based on the IPCC guidance of assuming 100% Carbon fraction oxidized for a unit burning natural gas. The EPA's Catalog of CHP Technologies reported CO</t>
    </r>
    <r>
      <rPr>
        <sz val="10"/>
        <color theme="1"/>
        <rFont val="Calibri"/>
        <family val="2"/>
      </rPr>
      <t>₂</t>
    </r>
    <r>
      <rPr>
        <sz val="10"/>
        <color theme="1"/>
        <rFont val="Arial"/>
        <family val="2"/>
      </rPr>
      <t xml:space="preserve"> emission rate of 1,284 lb/MMBtu may be incorrect; therefore RAP CO</t>
    </r>
    <r>
      <rPr>
        <sz val="10"/>
        <color indexed="8"/>
        <rFont val="Calibri"/>
        <family val="2"/>
      </rPr>
      <t>₂</t>
    </r>
    <r>
      <rPr>
        <sz val="10"/>
        <color theme="1"/>
        <rFont val="Arial"/>
        <family val="2"/>
      </rPr>
      <t xml:space="preserve"> emission rate is listed above.</t>
    </r>
  </si>
  <si>
    <t>Note that the resulting NOx emission rate of 14 ppm, is a gross estimate based on a single source (EPA's CHP catalog) only, yet to be confirmed and therefore subject to correction;</t>
  </si>
  <si>
    <r>
      <rPr>
        <i/>
        <u/>
        <sz val="10"/>
        <color indexed="8"/>
        <rFont val="Arial"/>
        <family val="2"/>
      </rPr>
      <t>Remark</t>
    </r>
    <r>
      <rPr>
        <sz val="10"/>
        <color theme="1"/>
        <rFont val="Arial"/>
        <family val="2"/>
      </rPr>
      <t xml:space="preserve">: The RAP listed fuel consumption of 7,011 Btu/hp-hr for 770 kW Cat genset Model G3516, taken from the 1996 Caterpillar data sheet, LEHX6196 (see note 1)  is the fuel consumption rate on LHV of the fuel and not HHV as RAP rule lists elsewhere in Appendix B, for other generators. If the above result providing fuel consumption for 2011 version of the genset, is converted to LHV, by applying the LHV/HHV factor of 0.903, the value of the unit fuels consumption is 7,314 Btu/hp, LHV, only 4% difference from RAP reported value of 7,011 Btu/hp. </t>
    </r>
  </si>
  <si>
    <t xml:space="preserve">Per the newest brochure, specification sheet, LEHE0023-02 (Apr-2013), "CAT G3500 Series Gas Generator Sets" listing on page 16, G3516 Genset series 60 Hz, series gensets, Caterpillar offers lower emission configurations, as specified, 1.0 g/hp-hr for lean burn engines via engine settings or for rich-burn engines via 3-way catalyst, and Ultra low NOx options available via SCR. However the publication does not provide additional details. </t>
  </si>
  <si>
    <t>EPA 40 CFR 80.520 - What are the standards and dye requirements for motor vehicle diesel fuel?</t>
  </si>
  <si>
    <t>See note 6, for EPA 40 CFR 80.520 web link.</t>
  </si>
  <si>
    <t>EPA 40 CFR 80.520 web link:</t>
  </si>
  <si>
    <r>
      <rPr>
        <sz val="10"/>
        <color indexed="8"/>
        <rFont val="Arial"/>
        <family val="2"/>
      </rPr>
      <t>GE Jenbacher</t>
    </r>
    <r>
      <rPr>
        <sz val="10"/>
        <color theme="1"/>
        <rFont val="Arial"/>
        <family val="2"/>
      </rPr>
      <t xml:space="preserve"> JMS 312 GS-N.L1800 RPM</t>
    </r>
  </si>
  <si>
    <r>
      <rPr>
        <sz val="10"/>
        <color indexed="8"/>
        <rFont val="Arial"/>
        <family val="2"/>
      </rPr>
      <t>GE Jenbacher</t>
    </r>
    <r>
      <rPr>
        <sz val="10"/>
        <color theme="1"/>
        <rFont val="Arial"/>
        <family val="2"/>
      </rPr>
      <t xml:space="preserve"> JMS 320 GS-N.L1800 RPM</t>
    </r>
  </si>
  <si>
    <t>DATE:</t>
  </si>
  <si>
    <t>REVIEW OF THE EMISSIONS STANDARDS IN RCSA SECTION 22a-174-42</t>
  </si>
  <si>
    <t>RAP RULE APPENDIX B - EMISSIONS CALCULATIONS UPDATE</t>
  </si>
  <si>
    <t>DATA COLLECTION AND EMISSIONS ASSESSMENT NOTES AND PROCEDURES</t>
  </si>
  <si>
    <t>The objective of this technical review is to assess if the emission limits for phase III of "Model Regulations for Output of Specified Air Emissions from Smaller-Scale Electric Generation Resources", aka RAP Rule, represent current technologies of the new generators and emission control equipment.</t>
  </si>
  <si>
    <t>The review was performed on the same generators listed by RAP within Appendix B, including selected units (considered by RAP as typical) from three categories of DG units: Fuel Cells, Gas IC and Diesel Engines and Turbines. The Appendix B, Table 1 and Table 2 have been updated with the units' performance data (generator power output, heat rate and efficiency) and current emission rates published by the manufacturers. If data is not available, theoretical assessments have been made, whether to consider RAP listed values and/or to adjust them based on valid (referenced) assumptions.</t>
  </si>
  <si>
    <t>In performing this update, both Appendix B tables have been expanded by addition of several units of the same type, construction and size, made by the same manufacturer or different manufacturers, in order to replace the RAP listed units that became obsolete either by being withdrawn from manufacturing, or retrofitted to a newer version/configuration.</t>
  </si>
  <si>
    <t>The attached review includes new tables arrangement, as follows:</t>
  </si>
  <si>
    <t>Table 1 - Emission Rates for New DG Technologies, having the same purpose as RAP Appendix B, Table 1, but expanded with the new units and addition of the RAP Rule Emission Standards Phase III for compliance assessment.</t>
  </si>
  <si>
    <t>Table 2 of RAP Appendix B, has been replaced by the following (expanded) tables:</t>
  </si>
  <si>
    <t>Tables 2 - Fuel Cells (Table 2.1 - Solid Oxide Fuel Cell and Table 2.2 - Phosphoric Acid Fuel Cell)</t>
  </si>
  <si>
    <t>Tables 3 - Gas IC and Compression Ignition (Diesel) Engines (Table 3.1 - Gas IC Engines lean burn, Tables 3.2, 3.3 and 3.4 - Gas IC Engines lean burn, and Table 3.5 Compression Ignition (Diesel) Engines)</t>
  </si>
  <si>
    <t>Tables 4 - Turbines (Table 4.1 - Microturbines, Tables 4.2 and 4.3 - Small Turbines, Tables 4.4, 4.5 and 4.6 - Medium Turbines, Table 4.7 - Large Gas Combined Cycle, Table 4.8 - Large Gas Turbines and Table 4.9 - ATS Gas Turbine)</t>
  </si>
  <si>
    <t>Table 1 - Emission Rates for New DG Technologies, of this review, includes the DG units listed side-by-side, the current emission limits of NOx, SO2, PM, CO and CO2 on the heat input basis (lb/MMBtu), calculation of the annual discharge of each pollutant (tons/yr) assuming continuous operation (24 hrs/day, 365 days/yr), same emission limits converted on the electrical output basis (lb/MWh) for compliance comparison with the actual RAP Rule Emission Standards Phase III.</t>
  </si>
  <si>
    <t>Tables 2, 3, and 4 include specific performance and emission rates records collected from manufacturers data sheets and other publications, for selected Fuel Cells, Gas IC and Internal Compression (Diesel) Engines and respectively for Turbines (various sizes), all designed for power generation, 60 Hz, all operating on natural gas, except internal compression engines operating on No. 2 diesel fuel and all operating continuously 24 hr/day, 365 days/yr.</t>
  </si>
  <si>
    <t>To address lack of information from the manufacturers, records have been collected from EPA's Catalog of CHP Technologies, December 2008, including several sections of so called "Technology Characterization" of different DG units. The catalog include records of typical units, provided by manufacturers, and is available on EPA;s web site:</t>
  </si>
  <si>
    <t>Technology Characterization Sections:</t>
  </si>
  <si>
    <t>Microturbines</t>
  </si>
  <si>
    <t>Gas Turbines</t>
  </si>
  <si>
    <t>Reciprocating Engines</t>
  </si>
  <si>
    <r>
      <t>Data collected from DG units manufacturer's data sheets include power output (capacity), heat rate, electrical efficiency, and emissions rates (NOx, SO</t>
    </r>
    <r>
      <rPr>
        <sz val="10"/>
        <color indexed="8"/>
        <rFont val="Calibri"/>
        <family val="2"/>
      </rPr>
      <t>₂</t>
    </r>
    <r>
      <rPr>
        <sz val="10"/>
        <color indexed="8"/>
        <rFont val="Arial"/>
        <family val="2"/>
      </rPr>
      <t>, PM10, CO,  Unburned Hydrocarbons-UHC and CO</t>
    </r>
    <r>
      <rPr>
        <sz val="10"/>
        <color indexed="8"/>
        <rFont val="Calibri"/>
        <family val="2"/>
      </rPr>
      <t>₂</t>
    </r>
    <r>
      <rPr>
        <sz val="10"/>
        <color indexed="8"/>
        <rFont val="Arial"/>
        <family val="2"/>
      </rPr>
      <t>)</t>
    </r>
  </si>
  <si>
    <t>Since the manufacturers provide DG units performance data based on fuel lower heat rate (LHV) and RAP lists the same records based on fuel higher heat rate (HHV), the LHV based data is adjusted using the LHV/HHV factor, as follows:</t>
  </si>
  <si>
    <t>where:</t>
  </si>
  <si>
    <r>
      <t xml:space="preserve">(LHV/HHV) </t>
    </r>
    <r>
      <rPr>
        <vertAlign val="subscript"/>
        <sz val="10"/>
        <color indexed="8"/>
        <rFont val="Arial"/>
        <family val="2"/>
      </rPr>
      <t>natural gas</t>
    </r>
    <r>
      <rPr>
        <sz val="10"/>
        <color theme="1"/>
        <rFont val="Arial"/>
        <family val="2"/>
      </rPr>
      <t xml:space="preserve"> = 0.903</t>
    </r>
  </si>
  <si>
    <r>
      <t xml:space="preserve">(LHV/HHV) </t>
    </r>
    <r>
      <rPr>
        <vertAlign val="subscript"/>
        <sz val="10"/>
        <color indexed="8"/>
        <rFont val="Arial"/>
        <family val="2"/>
      </rPr>
      <t xml:space="preserve">diesel (US conventional) </t>
    </r>
    <r>
      <rPr>
        <sz val="10"/>
        <color theme="1"/>
        <rFont val="Arial"/>
        <family val="2"/>
      </rPr>
      <t>= 0.935</t>
    </r>
  </si>
  <si>
    <t>Per Biomass Energy Data Book-2011, Appendix A, Page 2, Table "Lower Heating Values of Gas, Liquid and Solid Fuels" last update 09/30/2011, by Oak Ridge National Laboratory, see web link below, (LHV/HHV) factors determined based on the listed fuel LHV and HHV, are as follows:</t>
  </si>
  <si>
    <r>
      <t xml:space="preserve">Natural gas - LHV = 983 Btu/ft³ and HHV = 1,089 Btu/ft³  </t>
    </r>
    <r>
      <rPr>
        <sz val="10"/>
        <color indexed="8"/>
        <rFont val="Arial"/>
      </rPr>
      <t>→ (LHV/HHV)</t>
    </r>
    <r>
      <rPr>
        <vertAlign val="subscript"/>
        <sz val="10"/>
        <color indexed="8"/>
        <rFont val="Arial"/>
        <family val="2"/>
      </rPr>
      <t xml:space="preserve"> natural gas</t>
    </r>
    <r>
      <rPr>
        <sz val="10"/>
        <color indexed="8"/>
        <rFont val="Arial"/>
      </rPr>
      <t xml:space="preserve"> = 0.903</t>
    </r>
  </si>
  <si>
    <r>
      <t>Diesel (U.S. conventional) - LHV = 18,397 Btu/lb, and HHV = 19,676 Btu/lb → (LHV/HHV)</t>
    </r>
    <r>
      <rPr>
        <vertAlign val="subscript"/>
        <sz val="10"/>
        <color indexed="8"/>
        <rFont val="Arial"/>
        <family val="2"/>
      </rPr>
      <t xml:space="preserve"> diesel (U.S. conventional) </t>
    </r>
    <r>
      <rPr>
        <sz val="10"/>
        <color theme="1"/>
        <rFont val="Arial"/>
        <family val="2"/>
      </rPr>
      <t xml:space="preserve"> = 0.935</t>
    </r>
  </si>
  <si>
    <t>Note:</t>
  </si>
  <si>
    <t>Diesel (U.S. conventional), listed in the reference  with 18,397 Btu/lb LHV and 3,167 g/gal (6,982 lb/gal) density, has similar properties as No.2 diesel (18,390 Btu/lb LHV, 35ºAPI, 7.001 lbs/gal density) referenced by Caterpillar data sheet for 3516B - DM7931 genset.</t>
  </si>
  <si>
    <t>http://cta.ornl.gov/bedb/pdf/BEDB4_Appendices.pdf</t>
  </si>
  <si>
    <t>As a general rule, for this analysis a DG unit performance data, such as power output and heat rate are considered primary (input) data. If heat rate is not provided then the fuel consumption and fuel characteristics (higher heating value, HHV or lower heating value, LHV and fuel density) are the base values to determine the heat rate. Also primary (input) data are considered the pollutants emission rates, provided in pounds on either heat input basis (lb/MMBtu) or power output basis (lb/MWh). Primary data is directly listed in Table 1-Emission Rates for New DG Technologies, for comparison with RAP emission standards. In general primary data is expected to be provided by the manufacturer, as result from direct measurements or assess for various reasons (explained in the unit data specifications sheet). If such data is not available from the manufacturer, then a theoretical assessment is accepted for this analysis.</t>
  </si>
  <si>
    <t xml:space="preserve">Derived data are all other performance and emission rates provided in various units. Electrical efficiency is considered a derived data. For this analysis, efficiency data provided by the manufacturer has been verified based on the primary input (heat rate), see Table 1. </t>
  </si>
  <si>
    <t>As a general rule, to minimize calculation errors, for various derived data determination, primary values has been directly used, avoiding intermediate data from prior calculations.</t>
  </si>
  <si>
    <t>Some gensets manufacturers (Caterpillar), instead of heat rate, provides fuel consumption, either in fuel heat input in Btu/hp-hr, or in fuel flow rate (in SI units, Nm³/hr or in IP units, gal/hr). In either case, heat rate is calculated as follows:</t>
  </si>
  <si>
    <t>Electrical efficiency is considered derived data. The attached tables list the manufacturers reported efficiency, adjusted on HHV basis. Table 1 - Emission calculations, includes a row of calculated efficiency based on unit heat rate as follows:</t>
  </si>
  <si>
    <r>
      <t>RAP rule provides emission limits in lb/MWh, while in the Appendix B (listing typical DG units), the pollutants emission rates are given in conventional units as published by manufacturers, or as found in EPA's regulations, such as emission rates of NOx, CO and UHC, in ppm for fuel cells and turbines or in g/hp-hr for engines, emission rates of PM-10 in g/hp-hr for engines or in lb/MMBtu for all other units, and emission rates of SO</t>
    </r>
    <r>
      <rPr>
        <sz val="10"/>
        <color indexed="8"/>
        <rFont val="Calibri"/>
        <family val="2"/>
      </rPr>
      <t>₂</t>
    </r>
    <r>
      <rPr>
        <sz val="10"/>
        <color theme="1"/>
        <rFont val="Arial"/>
        <family val="2"/>
      </rPr>
      <t xml:space="preserve"> and CO</t>
    </r>
    <r>
      <rPr>
        <sz val="10"/>
        <color indexed="8"/>
        <rFont val="Calibri"/>
        <family val="2"/>
      </rPr>
      <t>₂</t>
    </r>
    <r>
      <rPr>
        <sz val="10"/>
        <color theme="1"/>
        <rFont val="Arial"/>
        <family val="2"/>
      </rPr>
      <t xml:space="preserve"> both in lb/MMBtu for all DG units.</t>
    </r>
  </si>
  <si>
    <t>For this analysis, the pollutants emission rates of the DG units, listed in conventional units, have been converted into lb/MMBtu, to estimate the annual discharge of each pollutant, in tons/yr and then into lb/MWh for comparison with the RAP rule limits. If a pollutant emission rate is given in lb/MWh, that value was directly listed and also served as primary data to determine lb/MMBtu and then tons/yr discharge.</t>
  </si>
  <si>
    <t>Since pollutants emission rates of NOx, CO and UHC are provided in ppm, for conversion in lb/MMBtu a two-steps procedure is taken, by using a website unit converter as follows:</t>
  </si>
  <si>
    <t>Remarks:</t>
  </si>
  <si>
    <t>Unit converter used to change emission in ppm to other units: Solar Turbines Engineering Unit Converter, see the web link below:</t>
  </si>
  <si>
    <t>https://mysolar.cat.com/cda/layout?x=7&amp;m=301895&amp;id=101773</t>
  </si>
  <si>
    <t>The above tool is set by the manufacturer to provide the result in lb/MMBtu on LHV basis; therefore the result must be multiplied by the (LHV/HHV) fuel factor to change into lb/MMBtu, HHV as required by this analysis.</t>
  </si>
  <si>
    <t xml:space="preserve">The procedure above can used to back calculate (for reference purpose) the emissions rates provided in lb/MMBtu, into ppm. </t>
  </si>
  <si>
    <t>Other emission rates unit conversions used throughout the analysis, are the followings:</t>
  </si>
  <si>
    <t>Conversion factors, used:</t>
  </si>
  <si>
    <t>1 lb</t>
  </si>
  <si>
    <t>=</t>
  </si>
  <si>
    <t>g</t>
  </si>
  <si>
    <t>1 hp</t>
  </si>
  <si>
    <t>1 hp-hr</t>
  </si>
  <si>
    <t>Btu</t>
  </si>
  <si>
    <t>1 kWh</t>
  </si>
  <si>
    <r>
      <t>Since the manufacturers do not provide CO</t>
    </r>
    <r>
      <rPr>
        <sz val="10"/>
        <color indexed="8"/>
        <rFont val="Calibri"/>
        <family val="2"/>
      </rPr>
      <t>₂</t>
    </r>
    <r>
      <rPr>
        <sz val="10"/>
        <color theme="1"/>
        <rFont val="Arial"/>
        <family val="2"/>
      </rPr>
      <t xml:space="preserve"> emission rates, RAP assigns for each unit analyzed a theoretical value calculated based on the fuel Carbon Content Coefficients listed in Emission Inventory Improvement Program (EIIP) Report, Volume VIII, Table 1.4-3, page 1.4-9, October 1999, prepared by ICF Inc, for EIIP and EPA. The report is found on EPA - EIIP web page, see web links below. However since the EPA's EIIP Vol. VIII - Greenhouse Gasses web page is under construction due to the EIIP Vol. VIII currently undergoing revision, as of March 2013, see link below of another web site listing the EIIP Volume 8.</t>
    </r>
  </si>
  <si>
    <t>http://www.epa.gov/ttn/chief/eiip/index.html</t>
  </si>
  <si>
    <t>http://www.epa.gov/ttn/chief/eiip/techreport/volume08/index.html</t>
  </si>
  <si>
    <t>http://infohouse.p2ric.org/ref/17/ttn/volume08/viii01.pdf</t>
  </si>
  <si>
    <r>
      <t>CO</t>
    </r>
    <r>
      <rPr>
        <sz val="10"/>
        <color theme="1"/>
        <rFont val="Calibri"/>
        <family val="2"/>
      </rPr>
      <t>₂</t>
    </r>
    <r>
      <rPr>
        <sz val="8"/>
        <color theme="1"/>
        <rFont val="Arial"/>
        <family val="2"/>
      </rPr>
      <t xml:space="preserve"> </t>
    </r>
    <r>
      <rPr>
        <sz val="10"/>
        <color theme="1"/>
        <rFont val="Arial"/>
        <family val="2"/>
      </rPr>
      <t>emission rate of 166.88 lb CO</t>
    </r>
    <r>
      <rPr>
        <sz val="10"/>
        <color indexed="8"/>
        <rFont val="Calibri"/>
        <family val="2"/>
      </rPr>
      <t>₂</t>
    </r>
    <r>
      <rPr>
        <sz val="10"/>
        <color theme="1"/>
        <rFont val="Arial"/>
        <family val="2"/>
      </rPr>
      <t>/MMBtu, listed by RAP rule in Appendix B for units burning natural gas, is calculated based on the Carbon Content Coefficient of 31.9 lb C /10</t>
    </r>
    <r>
      <rPr>
        <sz val="10"/>
        <color indexed="8"/>
        <rFont val="Calibri"/>
        <family val="2"/>
      </rPr>
      <t>⁶</t>
    </r>
    <r>
      <rPr>
        <sz val="10"/>
        <color theme="1"/>
        <rFont val="Arial"/>
        <family val="2"/>
      </rPr>
      <t xml:space="preserve"> Btu for Natural Gas, data listed in Emission Inventory Improvement Program (EIIP) Report, Volume VIII, Table 1.4-3, page 1.4-9, October 1999. The CO₂ emission rate is based on 100% C fraction oxidized for natural gas, per Intergovernmental Panel on Climate Change (IPCC) organization guidance, and is calculated using the carbon Content Coefficient of 31.9 Lb C /10⁶ Btu for natural gas, as follows:</t>
    </r>
  </si>
  <si>
    <r>
      <t>Recent references either provide CO</t>
    </r>
    <r>
      <rPr>
        <sz val="10"/>
        <color theme="1"/>
        <rFont val="Calibri"/>
        <family val="2"/>
      </rPr>
      <t>₂</t>
    </r>
    <r>
      <rPr>
        <sz val="10"/>
        <color theme="1"/>
        <rFont val="Arial"/>
        <family val="2"/>
      </rPr>
      <t xml:space="preserve"> factors from stationary combustion sources:</t>
    </r>
  </si>
  <si>
    <t>EPA's Emission Factors for Greenhouse Gas Inventories, last modified 7 November 2011, lists as CO₂ factor for natural gas the value of 53.02 kg CO₂/ MMBtu.</t>
  </si>
  <si>
    <t>http://www.epa.gov/climateleadership/documents/emission-factors.pdf</t>
  </si>
  <si>
    <t>U.S. Greenhouse Gas Inventory Report Archive, Inventory of U.S. Greenhouse Gas Emissions and Sinks: 1990-2010 (April 15, 2012) EPA - EPA 430-R-12-001, Annex 4 IPPC Reference Approach for Estimating CO₂ Emissions from Fossil Fuel Combustion, page A-340, Table A- 255: 2010 Potential CO₂ Emissions, lists as Carbon Coefficient for Natural Gas the value of 14.46 Tg Carbon /QBtu.</t>
  </si>
  <si>
    <t>http://www.epa.gov/climatechange/ghgemissions/usinventoryreport/archive.html</t>
  </si>
  <si>
    <t>CO₂ emission rate of 159.38 lb CO₂/MMBtu, listed by RAP rule in Appendix B for units burning diesel fuel, is also calculated, based on the Carbon factor listed in Emission Inventory Improvement Program (EIIP) Report, Volume VIII, Table 1.4-3, page 1.4-9, October 1999. The document does not explicitly list "diesel" fuel, however assuming that diesel is a "distillate fuel oil" as defined by U.S. Energy Information Administration - EIA (see reference below), the Carbon Content Coefficient is 44.0 lb C /10⁶. The CO₂ emission rate is based on 99% C fraction oxidized for diesel fuel, per Intergovernmental Panel on Climate Change (IPCC) organization guidance, and is calculated as follows:
Assuming Per and RAP did not specify which petroleum derivative was considered as diesel, a recent EPA document data have been used to verify the CO2 emission ratCarbon content factorThe CO₂ emission rate is based on 100% C fraction oxidized for natural gas, per Intergovernmental Panel on Climate Change (IPCC) organization guidance, and is calculated using the carbon Content Coefficient of 31.9 Lb C /10⁶ Btu for natural gas, as follows:</t>
  </si>
  <si>
    <r>
      <rPr>
        <i/>
        <u/>
        <sz val="10"/>
        <color theme="1"/>
        <rFont val="Arial"/>
        <family val="2"/>
      </rPr>
      <t>Remark</t>
    </r>
    <r>
      <rPr>
        <sz val="10"/>
        <color theme="1"/>
        <rFont val="Arial"/>
        <family val="2"/>
      </rPr>
      <t>: The result is slightly different from RAP listed value, but the difference is insignificant.</t>
    </r>
  </si>
  <si>
    <t>Source - Diesel Definition:</t>
  </si>
  <si>
    <t>Definitions of EIA Distillate Categories and Fuels Contained in the Distillate Grouping - see page 2, definition of "Distillate fuel oil"</t>
  </si>
  <si>
    <t>http://www.deq.state.or.us/aq/committees/docs/lcfs/definitions.pdf</t>
  </si>
  <si>
    <t>Recent references (mentioned above) provide CO₂ factors from stationary combustion sources:</t>
  </si>
  <si>
    <t>EPA's Emission Factors for Greenhouse Gas Inventories, last modified 7 November 2011, lists as CO₂ factor for Distillate Fuel Oil No. 2 the value of 73.96 kg CO₂/ MMBtu.</t>
  </si>
  <si>
    <t>U.S. Greenhouse Gas Inventory Report Archive, Inventory of U.S. Greenhouse Gas Emissions and Sinks: 1990-2010 (April 15, 2012) EPA - EPA 430-R-12-001, Annex 4 IPPC Reference Approach for Estimating CO₂ Emissions from Fossil Fuel Combustion, page A-340, Table A- 255: 2010 Potential CO₂ Emissions, lists as Carbon Coefficient for Distillate Fuel the value of 20.17 Tg Carbon /QBtu.</t>
  </si>
  <si>
    <r>
      <rPr>
        <i/>
        <u/>
        <sz val="10"/>
        <color theme="1"/>
        <rFont val="Arial"/>
        <family val="2"/>
      </rPr>
      <t>Remark</t>
    </r>
    <r>
      <rPr>
        <sz val="10"/>
        <color theme="1"/>
        <rFont val="Arial"/>
        <family val="2"/>
      </rPr>
      <t xml:space="preserve">: </t>
    </r>
  </si>
  <si>
    <r>
      <t>The above CO</t>
    </r>
    <r>
      <rPr>
        <sz val="10"/>
        <color theme="1"/>
        <rFont val="Calibri"/>
        <family val="2"/>
      </rPr>
      <t>₂</t>
    </r>
    <r>
      <rPr>
        <sz val="10"/>
        <color theme="1"/>
        <rFont val="Arial"/>
        <family val="2"/>
      </rPr>
      <t xml:space="preserve"> emission rates are slightly different from the RAP listed value of 159.38 lb/MMBtu (up to 2.3%). The most recent reference (U.S. Greenhouse Gas Inventory, April 2012) leading to 163.05 lb CO</t>
    </r>
    <r>
      <rPr>
        <sz val="10"/>
        <color theme="1"/>
        <rFont val="Calibri"/>
        <family val="2"/>
      </rPr>
      <t>₂</t>
    </r>
    <r>
      <rPr>
        <sz val="10"/>
        <color theme="1"/>
        <rFont val="Arial"/>
        <family val="2"/>
      </rPr>
      <t xml:space="preserve">/MMBtu - only 1% more, is considered for this analysis. </t>
    </r>
  </si>
  <si>
    <r>
      <t>RAP, SO₂ emission rate of 0.0006 lb/MMBtu for fuel cells and gas IC engines, both on natural gas, listed in Appendix B, is per AP 42, 5th Ed, Vol. I, Ch. 1: External Combustion Sources, Sec.1.4: Natural Gas Combustion, page 1.4-6, Table 1.4-2. Emission Factors For Criteria Pollutants And Greenhouse Gases From Natural Gas Combustion. The AP-42 factor is based on the assumption of 100% conversion of the natural gas fuel sulfur (2000 grains/10</t>
    </r>
    <r>
      <rPr>
        <sz val="10"/>
        <color theme="1"/>
        <rFont val="Calibri"/>
        <family val="2"/>
      </rPr>
      <t>⁶</t>
    </r>
    <r>
      <rPr>
        <sz val="10"/>
        <color theme="1"/>
        <rFont val="Arial"/>
        <family val="2"/>
      </rPr>
      <t xml:space="preserve"> scf) to SO</t>
    </r>
    <r>
      <rPr>
        <sz val="10"/>
        <color theme="1"/>
        <rFont val="Calibri"/>
        <family val="2"/>
      </rPr>
      <t>₂.</t>
    </r>
    <r>
      <rPr>
        <sz val="10"/>
        <color theme="1"/>
        <rFont val="Arial"/>
        <family val="2"/>
      </rPr>
      <t xml:space="preserve">
Ch. 3: Stationary Internal Combustion Sources, Sec. 3.1: Stationary Gas Turbines (Suppl. F, Apr. 2000), page 3.1-11, Table 3.1-2a and footnote h, assuming 100% conversion of natural gas sulfur to SO₂.</t>
    </r>
  </si>
  <si>
    <r>
      <t>Since per U.S. Department of Energy’s Office of Fossil Energy (USDOE/FE), see web link below, sulfur-bearing contaminants are tolerated less by fuel cells, and therefore these units' fuels should be pre-treated by using available commercial desulfurization methods, AP-42 SO</t>
    </r>
    <r>
      <rPr>
        <sz val="10"/>
        <color theme="1"/>
        <rFont val="Calibri"/>
        <family val="2"/>
      </rPr>
      <t>₂</t>
    </r>
    <r>
      <rPr>
        <sz val="10"/>
        <color theme="1"/>
        <rFont val="Arial"/>
        <family val="2"/>
      </rPr>
      <t xml:space="preserve"> emission factor based solely sulfur content of the natural gas without additives for leak detection is a valid assumption.</t>
    </r>
  </si>
  <si>
    <t>EPA AP-42, 5th Ed, Vol. I, Chapter 3: Stationary Internal Combustion Sources, Section 3.2: Natural Gas-fired Reciprocating Engines (Suppl. F, Apr. 2000), on page 3.2-15, Table 3.2-3 - Uncontrolled Emission Factors for 4-Stroke Rich Burn Engines, and on page 3.2-11, Table 3.2-2 - Uncontrolled Emission Factors for 4-Stroke Lean Burn Engines, list same emission factors as the RAP value based on AP-42 Section 1.4 Natural Gas Combustion.</t>
  </si>
  <si>
    <t xml:space="preserve">RAP suggested same SO₂ emission rate of 0.0006 lb/MMBtu for all turbines, on natural gas, listed in Appendix B. according to RAP the emission rate is per EPA AP-42, 5th Ed, Vol. I, Chapter 3: Stationary Internal Combustion Sources, Section 3.1: Stationary Gas Turbines (Suppl. F, Apr. 2000), see web link below. </t>
  </si>
  <si>
    <r>
      <t>However, the above AP42 reference indicates, on page 3.1-11, in Table 3.1-2a  an SO₂ emission rate of 0.94S, where S is percent sulfur in fuel; if S is not available AP42 suggests using 0.0034 lb/MMBtu for natural gas. RAP listed SO₂ factor of 0.0006 lb/MMBtu is six times lower than the AP 42, Chapter 3, Section 1, suggested value. The RAP value of 0.0006 lb/MMBtu, is mentioned in the same AP42 reference, for large uncontrolled turbines, at page 3.1-8, Section 3.1.5 "Updates Since Fifth Edition, Supplement A, February 1996, when sulfur content is not available. Also the AP 42 Section 1.4.3 "Emissions", mentions that addition of sulfur-containing odorants to natural gas for detecting leaks, leads to the SO₂ emission increase. Therefore, the higher emission rate, of 0.0034 lb/MMBtu, is considered. Some manufacturers such Solar Turbines, recommends and lists in their specification data sheets, the higher SO</t>
    </r>
    <r>
      <rPr>
        <sz val="10"/>
        <color theme="1"/>
        <rFont val="Calibri"/>
        <family val="2"/>
      </rPr>
      <t>₂</t>
    </r>
    <r>
      <rPr>
        <sz val="10"/>
        <color theme="1"/>
        <rFont val="Arial"/>
        <family val="2"/>
      </rPr>
      <t xml:space="preserve"> emission rate.</t>
    </r>
  </si>
  <si>
    <t>Since, PM emission data is not available from the manufacturer for gas IC engines, EPA's AP-42 suggested factors have been used:</t>
  </si>
  <si>
    <t>AP-42, 5th Ed, Vol. I, Chapter 3: Stationary Internal Combustion Sources, Section 3.2: Natural Gas-fired Reciprocating Engines (Suppl. F, Apr. 2000)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</si>
</sst>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0"/>
    <numFmt numFmtId="165" formatCode="#,##0.000"/>
    <numFmt numFmtId="166" formatCode="#,##0.0000"/>
    <numFmt numFmtId="167" formatCode="0.0"/>
    <numFmt numFmtId="168" formatCode="0.000"/>
    <numFmt numFmtId="169" formatCode="#,##0.0"/>
    <numFmt numFmtId="170" formatCode="[$-409]\ mmmm\ yyyy;@"/>
    <numFmt numFmtId="171" formatCode="&quot;[&quot;#&quot;]&quot;"/>
    <numFmt numFmtId="172" formatCode="0.0%"/>
    <numFmt numFmtId="173" formatCode="0.00000"/>
  </numFmts>
  <fonts count="30" x14ac:knownFonts="1">
    <font>
      <sz val="10"/>
      <color theme="1"/>
      <name val="Arial"/>
      <family val="2"/>
    </font>
    <font>
      <sz val="10"/>
      <color indexed="8"/>
      <name val="Calibri"/>
      <family val="2"/>
    </font>
    <font>
      <sz val="10"/>
      <name val="Arial"/>
      <family val="2"/>
    </font>
    <font>
      <sz val="8"/>
      <color indexed="8"/>
      <name val="Arial"/>
      <family val="2"/>
    </font>
    <font>
      <b/>
      <sz val="10"/>
      <color indexed="12"/>
      <name val="Arial"/>
      <family val="2"/>
    </font>
    <font>
      <b/>
      <sz val="10"/>
      <color indexed="8"/>
      <name val="Arial"/>
      <family val="2"/>
    </font>
    <font>
      <b/>
      <vertAlign val="superscript"/>
      <sz val="10"/>
      <color indexed="8"/>
      <name val="Arial"/>
      <family val="2"/>
    </font>
    <font>
      <vertAlign val="superscript"/>
      <sz val="10"/>
      <color indexed="8"/>
      <name val="Arial"/>
      <family val="2"/>
    </font>
    <font>
      <i/>
      <u/>
      <sz val="10"/>
      <color indexed="8"/>
      <name val="Arial"/>
      <family val="2"/>
    </font>
    <font>
      <i/>
      <sz val="10"/>
      <color indexed="8"/>
      <name val="Arial"/>
      <family val="2"/>
    </font>
    <font>
      <u/>
      <sz val="10"/>
      <color indexed="12"/>
      <name val="Arial"/>
      <family val="2"/>
    </font>
    <font>
      <sz val="10"/>
      <color indexed="8"/>
      <name val="Arial"/>
      <family val="2"/>
    </font>
    <font>
      <sz val="8"/>
      <name val="Arial"/>
      <family val="2"/>
    </font>
    <font>
      <u/>
      <sz val="10"/>
      <color indexed="8"/>
      <name val="Arial"/>
      <family val="2"/>
    </font>
    <font>
      <i/>
      <u/>
      <sz val="10"/>
      <color indexed="8"/>
      <name val="Arial"/>
      <family val="2"/>
    </font>
    <font>
      <b/>
      <sz val="10"/>
      <color indexed="8"/>
      <name val="Arial"/>
      <family val="2"/>
    </font>
    <font>
      <sz val="10"/>
      <color indexed="10"/>
      <name val="Arial"/>
      <family val="2"/>
    </font>
    <font>
      <sz val="9"/>
      <color indexed="8"/>
      <name val="Arial"/>
      <family val="2"/>
    </font>
    <font>
      <sz val="8"/>
      <color indexed="8"/>
      <name val="Arial"/>
      <family val="2"/>
    </font>
    <font>
      <b/>
      <sz val="10"/>
      <color indexed="12"/>
      <name val="Arial"/>
      <family val="2"/>
    </font>
    <font>
      <b/>
      <sz val="10"/>
      <color indexed="8"/>
      <name val="Arial"/>
      <family val="2"/>
    </font>
    <font>
      <b/>
      <sz val="10"/>
      <color indexed="12"/>
      <name val="Arial"/>
      <family val="2"/>
    </font>
    <font>
      <u/>
      <sz val="10"/>
      <color theme="10"/>
      <name val="Arial"/>
      <family val="2"/>
    </font>
    <font>
      <b/>
      <sz val="10"/>
      <color theme="1"/>
      <name val="Arial"/>
      <family val="2"/>
    </font>
    <font>
      <i/>
      <u/>
      <sz val="10"/>
      <color theme="1"/>
      <name val="Arial"/>
      <family val="2"/>
    </font>
    <font>
      <sz val="10"/>
      <color theme="1"/>
      <name val="Calibri"/>
      <family val="2"/>
    </font>
    <font>
      <sz val="8"/>
      <color theme="1"/>
      <name val="Arial"/>
      <family val="2"/>
    </font>
    <font>
      <vertAlign val="superscript"/>
      <sz val="10"/>
      <color theme="1"/>
      <name val="Arial"/>
      <family val="2"/>
    </font>
    <font>
      <vertAlign val="subscript"/>
      <sz val="10"/>
      <color indexed="8"/>
      <name val="Arial"/>
      <family val="2"/>
    </font>
    <font>
      <sz val="10"/>
      <color indexed="8"/>
      <name val="Arial"/>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auto="1"/>
      </top>
      <bottom/>
      <diagonal/>
    </border>
    <border>
      <left/>
      <right/>
      <top style="medium">
        <color indexed="64"/>
      </top>
      <bottom style="medium">
        <color indexed="64"/>
      </bottom>
      <diagonal/>
    </border>
  </borders>
  <cellStyleXfs count="3">
    <xf numFmtId="0" fontId="0" fillId="0" borderId="0"/>
    <xf numFmtId="0" fontId="2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690">
    <xf numFmtId="0" fontId="0" fillId="0" borderId="0" xfId="0"/>
    <xf numFmtId="0" fontId="0" fillId="0" borderId="0" xfId="0" applyAlignment="1">
      <alignment vertical="center"/>
    </xf>
    <xf numFmtId="0" fontId="0" fillId="0" borderId="0" xfId="0" applyFill="1"/>
    <xf numFmtId="0" fontId="0" fillId="2" borderId="0" xfId="0" applyFill="1"/>
    <xf numFmtId="0" fontId="15" fillId="2" borderId="0" xfId="0" applyFont="1" applyFill="1"/>
    <xf numFmtId="0" fontId="0" fillId="2" borderId="0" xfId="0" applyFill="1" applyAlignment="1">
      <alignment horizontal="center" vertical="center"/>
    </xf>
    <xf numFmtId="0" fontId="15" fillId="0" borderId="0" xfId="0" applyFont="1" applyAlignment="1">
      <alignment vertical="center"/>
    </xf>
    <xf numFmtId="0" fontId="5" fillId="2" borderId="0" xfId="0" applyFont="1" applyFill="1" applyAlignment="1">
      <alignment horizontal="right"/>
    </xf>
    <xf numFmtId="0" fontId="5" fillId="2" borderId="0" xfId="0" applyFont="1" applyFill="1"/>
    <xf numFmtId="0" fontId="0" fillId="2" borderId="0" xfId="0" applyFill="1" applyBorder="1" applyAlignment="1">
      <alignment vertical="center" wrapText="1"/>
    </xf>
    <xf numFmtId="0" fontId="5" fillId="2" borderId="0" xfId="0" applyFont="1" applyFill="1" applyAlignment="1">
      <alignment horizontal="left"/>
    </xf>
    <xf numFmtId="0" fontId="0" fillId="3" borderId="0" xfId="0" applyFill="1"/>
    <xf numFmtId="0" fontId="0" fillId="2" borderId="8" xfId="0" applyFill="1" applyBorder="1" applyAlignment="1">
      <alignment vertical="center" wrapText="1"/>
    </xf>
    <xf numFmtId="0" fontId="0" fillId="2" borderId="16" xfId="0" applyFill="1" applyBorder="1" applyAlignment="1">
      <alignment vertical="center" wrapText="1"/>
    </xf>
    <xf numFmtId="0" fontId="0" fillId="2" borderId="25" xfId="0" applyFill="1" applyBorder="1" applyAlignment="1">
      <alignment vertical="center" wrapText="1"/>
    </xf>
    <xf numFmtId="0" fontId="0" fillId="3" borderId="0" xfId="0" applyFill="1" applyBorder="1"/>
    <xf numFmtId="0" fontId="0" fillId="3" borderId="10" xfId="0" applyFill="1" applyBorder="1" applyAlignment="1">
      <alignment horizontal="center" vertical="center" wrapText="1"/>
    </xf>
    <xf numFmtId="0" fontId="0" fillId="3" borderId="11" xfId="0" applyFill="1" applyBorder="1" applyAlignment="1">
      <alignment horizontal="left" vertical="center" wrapText="1" indent="1"/>
    </xf>
    <xf numFmtId="0" fontId="22" fillId="3" borderId="12" xfId="1" applyFill="1" applyBorder="1" applyAlignment="1" applyProtection="1">
      <alignment horizontal="left" vertical="center" indent="1"/>
    </xf>
    <xf numFmtId="0" fontId="22" fillId="3" borderId="12" xfId="1" applyFill="1" applyBorder="1" applyAlignment="1" applyProtection="1">
      <alignment horizontal="left" vertical="center" wrapText="1" indent="1"/>
    </xf>
    <xf numFmtId="0" fontId="0" fillId="3" borderId="0" xfId="0" applyFill="1" applyBorder="1" applyAlignment="1">
      <alignment horizontal="right" vertical="center" wrapText="1"/>
    </xf>
    <xf numFmtId="171" fontId="0" fillId="3" borderId="0" xfId="0" applyNumberFormat="1" applyFill="1" applyBorder="1" applyAlignment="1">
      <alignment horizontal="left" vertical="center" wrapText="1"/>
    </xf>
    <xf numFmtId="0" fontId="0" fillId="3" borderId="0" xfId="0" applyFill="1" applyAlignment="1">
      <alignment horizontal="left" wrapText="1"/>
    </xf>
    <xf numFmtId="9" fontId="0" fillId="3" borderId="0" xfId="0" applyNumberFormat="1" applyFill="1"/>
    <xf numFmtId="171" fontId="0" fillId="3" borderId="0" xfId="0" applyNumberFormat="1" applyFont="1" applyFill="1" applyBorder="1" applyAlignment="1">
      <alignment horizontal="left" vertical="center" wrapText="1"/>
    </xf>
    <xf numFmtId="171" fontId="0" fillId="3" borderId="0" xfId="0" applyNumberFormat="1" applyFill="1" applyAlignment="1">
      <alignment horizontal="left"/>
    </xf>
    <xf numFmtId="171" fontId="0" fillId="3" borderId="0" xfId="0" applyNumberFormat="1" applyFont="1" applyFill="1" applyBorder="1" applyAlignment="1">
      <alignment vertical="center"/>
    </xf>
    <xf numFmtId="0" fontId="0" fillId="3" borderId="0" xfId="0" applyFill="1" applyAlignment="1">
      <alignment wrapText="1"/>
    </xf>
    <xf numFmtId="0" fontId="0" fillId="3" borderId="0" xfId="0" applyFill="1" applyAlignment="1">
      <alignment horizontal="left" vertical="top" wrapText="1"/>
    </xf>
    <xf numFmtId="0" fontId="0" fillId="3" borderId="0" xfId="0" applyFill="1" applyBorder="1" applyAlignment="1">
      <alignment horizontal="center"/>
    </xf>
    <xf numFmtId="0" fontId="5" fillId="3" borderId="0" xfId="0" applyFont="1" applyFill="1" applyBorder="1" applyAlignment="1">
      <alignment horizontal="center"/>
    </xf>
    <xf numFmtId="0" fontId="0" fillId="3" borderId="0" xfId="0" applyFill="1" applyAlignment="1">
      <alignment horizontal="left" wrapText="1"/>
    </xf>
    <xf numFmtId="0" fontId="0" fillId="3" borderId="10" xfId="0" applyFill="1" applyBorder="1" applyAlignment="1">
      <alignment horizontal="center" vertical="center" wrapText="1"/>
    </xf>
    <xf numFmtId="0" fontId="0" fillId="3" borderId="0" xfId="0" applyFill="1" applyAlignment="1">
      <alignment horizontal="left" vertical="top" wrapText="1"/>
    </xf>
    <xf numFmtId="0" fontId="0" fillId="3" borderId="12" xfId="0" applyFill="1" applyBorder="1" applyAlignment="1">
      <alignment horizontal="left" vertical="center" wrapText="1" indent="1"/>
    </xf>
    <xf numFmtId="0" fontId="0" fillId="3" borderId="11" xfId="0" applyFill="1" applyBorder="1" applyAlignment="1">
      <alignment horizontal="left" vertical="center" wrapText="1" indent="1"/>
    </xf>
    <xf numFmtId="171" fontId="7" fillId="3" borderId="17" xfId="0" applyNumberFormat="1" applyFont="1" applyFill="1" applyBorder="1" applyAlignment="1">
      <alignment horizontal="left" vertical="top" wrapText="1"/>
    </xf>
    <xf numFmtId="171" fontId="7" fillId="3" borderId="13" xfId="0" applyNumberFormat="1" applyFont="1" applyFill="1" applyBorder="1" applyAlignment="1">
      <alignment horizontal="left" vertical="top" wrapText="1"/>
    </xf>
    <xf numFmtId="169" fontId="0" fillId="3" borderId="14" xfId="0" applyNumberFormat="1" applyFill="1" applyBorder="1" applyAlignment="1">
      <alignment horizontal="right" vertical="center" wrapText="1" indent="1"/>
    </xf>
    <xf numFmtId="0" fontId="5" fillId="3" borderId="0" xfId="0" applyFont="1" applyFill="1" applyAlignment="1">
      <alignment horizontal="right"/>
    </xf>
    <xf numFmtId="170" fontId="5" fillId="3" borderId="0" xfId="0" applyNumberFormat="1" applyFont="1" applyFill="1" applyAlignment="1">
      <alignment horizontal="left" indent="1"/>
    </xf>
    <xf numFmtId="2" fontId="0" fillId="3" borderId="31" xfId="0" applyNumberFormat="1" applyFill="1" applyBorder="1" applyAlignment="1">
      <alignment horizontal="right" vertical="center" wrapText="1" indent="1"/>
    </xf>
    <xf numFmtId="0" fontId="0" fillId="3" borderId="15" xfId="0" applyFill="1" applyBorder="1" applyAlignment="1">
      <alignment vertical="center" wrapText="1"/>
    </xf>
    <xf numFmtId="0" fontId="0" fillId="3" borderId="17" xfId="0" applyFill="1" applyBorder="1" applyAlignment="1">
      <alignment vertical="center" wrapText="1"/>
    </xf>
    <xf numFmtId="0" fontId="0" fillId="3" borderId="0" xfId="0" applyFill="1" applyBorder="1" applyAlignment="1">
      <alignment horizontal="left" vertical="center" wrapText="1" indent="1"/>
    </xf>
    <xf numFmtId="3" fontId="0" fillId="3" borderId="0" xfId="0" applyNumberFormat="1" applyFill="1"/>
    <xf numFmtId="171" fontId="0" fillId="3" borderId="0" xfId="0" applyNumberFormat="1" applyFill="1" applyAlignment="1"/>
    <xf numFmtId="0" fontId="0" fillId="3" borderId="0" xfId="0" applyFill="1" applyAlignment="1"/>
    <xf numFmtId="171" fontId="0" fillId="3" borderId="0" xfId="0" applyNumberFormat="1" applyFill="1" applyBorder="1" applyAlignment="1">
      <alignment vertical="center" wrapText="1"/>
    </xf>
    <xf numFmtId="0" fontId="0" fillId="3" borderId="0" xfId="0" applyFill="1" applyAlignment="1">
      <alignment horizontal="left" wrapText="1" indent="1"/>
    </xf>
    <xf numFmtId="171" fontId="0" fillId="3" borderId="0" xfId="0" applyNumberFormat="1" applyFill="1" applyBorder="1" applyAlignment="1">
      <alignment horizontal="right" vertical="center" wrapText="1"/>
    </xf>
    <xf numFmtId="0" fontId="0" fillId="3" borderId="0" xfId="0" applyFill="1" applyAlignment="1">
      <alignment horizontal="left" vertical="center" wrapText="1"/>
    </xf>
    <xf numFmtId="171" fontId="0" fillId="3" borderId="0" xfId="0" applyNumberFormat="1" applyFill="1" applyAlignment="1">
      <alignment horizontal="right"/>
    </xf>
    <xf numFmtId="0" fontId="0" fillId="3" borderId="0" xfId="0" applyFill="1" applyAlignment="1">
      <alignment horizontal="right"/>
    </xf>
    <xf numFmtId="0" fontId="0" fillId="3" borderId="0" xfId="0" applyFill="1" applyAlignment="1">
      <alignment horizontal="left" vertical="top"/>
    </xf>
    <xf numFmtId="0" fontId="0" fillId="3" borderId="0" xfId="0" applyFill="1" applyAlignment="1">
      <alignment horizontal="left"/>
    </xf>
    <xf numFmtId="171" fontId="0" fillId="3" borderId="0" xfId="0" applyNumberFormat="1" applyFont="1" applyFill="1" applyBorder="1" applyAlignment="1">
      <alignment horizontal="right" vertical="center" wrapText="1"/>
    </xf>
    <xf numFmtId="0" fontId="13" fillId="3" borderId="0" xfId="0" applyFont="1" applyFill="1" applyAlignment="1"/>
    <xf numFmtId="0" fontId="5" fillId="3" borderId="0" xfId="0" applyFont="1" applyFill="1"/>
    <xf numFmtId="0" fontId="5" fillId="3" borderId="0" xfId="0" applyFont="1" applyFill="1" applyAlignment="1">
      <alignment horizontal="center"/>
    </xf>
    <xf numFmtId="0" fontId="0" fillId="3" borderId="0" xfId="0" applyFill="1" applyAlignment="1">
      <alignment vertical="top" wrapText="1"/>
    </xf>
    <xf numFmtId="0" fontId="0" fillId="3" borderId="0" xfId="0" applyFill="1" applyBorder="1" applyAlignment="1">
      <alignment vertical="center" wrapText="1"/>
    </xf>
    <xf numFmtId="0" fontId="5" fillId="3" borderId="0" xfId="0" applyFont="1" applyFill="1" applyBorder="1"/>
    <xf numFmtId="0" fontId="0" fillId="3" borderId="11" xfId="0" applyFill="1" applyBorder="1" applyAlignment="1">
      <alignment horizontal="left" vertical="center" wrapText="1" indent="1"/>
    </xf>
    <xf numFmtId="0" fontId="22" fillId="3" borderId="0" xfId="1" applyFill="1" applyAlignment="1" applyProtection="1">
      <alignment horizontal="left"/>
    </xf>
    <xf numFmtId="0" fontId="22" fillId="3" borderId="0" xfId="1" applyFill="1" applyAlignment="1" applyProtection="1">
      <alignment horizontal="left" wrapText="1"/>
    </xf>
    <xf numFmtId="0" fontId="0" fillId="3" borderId="0" xfId="0" applyFill="1" applyAlignment="1">
      <alignment horizontal="left" wrapText="1"/>
    </xf>
    <xf numFmtId="0" fontId="0" fillId="3" borderId="10" xfId="0" applyFill="1" applyBorder="1" applyAlignment="1">
      <alignment horizontal="center" vertical="center" wrapText="1"/>
    </xf>
    <xf numFmtId="0" fontId="22" fillId="3" borderId="12" xfId="1" applyFill="1" applyBorder="1" applyAlignment="1" applyProtection="1">
      <alignment horizontal="left" vertical="top" wrapText="1" indent="1"/>
    </xf>
    <xf numFmtId="0" fontId="0" fillId="3" borderId="0" xfId="0" applyFill="1" applyAlignment="1">
      <alignment horizontal="left" vertical="top" wrapText="1"/>
    </xf>
    <xf numFmtId="0" fontId="0" fillId="3" borderId="11" xfId="0" applyFill="1" applyBorder="1" applyAlignment="1">
      <alignment horizontal="left" vertical="center" wrapText="1" indent="1"/>
    </xf>
    <xf numFmtId="0" fontId="0" fillId="3" borderId="15" xfId="0" applyFill="1" applyBorder="1" applyAlignment="1">
      <alignment horizontal="left" vertical="center" wrapText="1" indent="1"/>
    </xf>
    <xf numFmtId="0" fontId="22" fillId="3" borderId="0" xfId="1" applyFill="1" applyAlignment="1" applyProtection="1">
      <alignment horizontal="left" vertical="top" wrapText="1"/>
    </xf>
    <xf numFmtId="0" fontId="0" fillId="3" borderId="0" xfId="0" applyFill="1" applyAlignment="1">
      <alignment horizontal="left" vertical="center" wrapText="1"/>
    </xf>
    <xf numFmtId="0" fontId="0" fillId="3" borderId="0" xfId="0" applyFill="1" applyBorder="1" applyAlignment="1">
      <alignment horizontal="left" wrapText="1"/>
    </xf>
    <xf numFmtId="0" fontId="0" fillId="3" borderId="0" xfId="0" applyFill="1" applyAlignment="1">
      <alignment horizontal="left"/>
    </xf>
    <xf numFmtId="0" fontId="5" fillId="3" borderId="0" xfId="0" applyFont="1" applyFill="1" applyAlignment="1">
      <alignment horizontal="center"/>
    </xf>
    <xf numFmtId="0" fontId="22" fillId="3" borderId="14" xfId="1" applyFill="1" applyBorder="1" applyAlignment="1" applyProtection="1">
      <alignment horizontal="left" vertical="center" wrapText="1" indent="1"/>
    </xf>
    <xf numFmtId="0" fontId="0" fillId="3" borderId="0" xfId="0" applyFill="1" applyBorder="1" applyAlignment="1">
      <alignment horizontal="left" vertical="center" wrapText="1" indent="1"/>
    </xf>
    <xf numFmtId="0" fontId="22" fillId="3" borderId="12" xfId="1" applyFill="1" applyBorder="1" applyAlignment="1" applyProtection="1">
      <alignment horizontal="left" vertical="center" wrapText="1" indent="1"/>
    </xf>
    <xf numFmtId="0" fontId="0" fillId="0" borderId="0" xfId="0" applyFill="1" applyAlignment="1">
      <alignment vertical="center"/>
    </xf>
    <xf numFmtId="0" fontId="2" fillId="0" borderId="0" xfId="0" applyFont="1" applyFill="1" applyAlignment="1">
      <alignment horizontal="right"/>
    </xf>
    <xf numFmtId="0" fontId="23" fillId="3" borderId="0" xfId="0" applyFont="1" applyFill="1"/>
    <xf numFmtId="0" fontId="0" fillId="3" borderId="1" xfId="0" applyFill="1" applyBorder="1"/>
    <xf numFmtId="0" fontId="0" fillId="3" borderId="24" xfId="0" applyFill="1" applyBorder="1"/>
    <xf numFmtId="0" fontId="0" fillId="3" borderId="4" xfId="0" applyFill="1" applyBorder="1"/>
    <xf numFmtId="0" fontId="0" fillId="3" borderId="2" xfId="0" applyFill="1" applyBorder="1"/>
    <xf numFmtId="0" fontId="0" fillId="3" borderId="5" xfId="0" applyFill="1" applyBorder="1"/>
    <xf numFmtId="0" fontId="0" fillId="3" borderId="3" xfId="0" applyFill="1" applyBorder="1"/>
    <xf numFmtId="0" fontId="0" fillId="3" borderId="25" xfId="0" applyFill="1" applyBorder="1"/>
    <xf numFmtId="0" fontId="0" fillId="3" borderId="6" xfId="0" applyFill="1" applyBorder="1"/>
    <xf numFmtId="0" fontId="0" fillId="3" borderId="0" xfId="0" applyFill="1" applyAlignment="1">
      <alignment vertical="center"/>
    </xf>
    <xf numFmtId="0" fontId="2" fillId="3" borderId="31" xfId="0" applyFont="1" applyFill="1" applyBorder="1" applyAlignment="1">
      <alignment vertical="center"/>
    </xf>
    <xf numFmtId="0" fontId="2" fillId="3" borderId="4" xfId="0" applyFont="1" applyFill="1" applyBorder="1" applyAlignment="1">
      <alignment horizontal="left" vertical="center" indent="1"/>
    </xf>
    <xf numFmtId="9" fontId="2" fillId="3" borderId="1" xfId="0" applyNumberFormat="1" applyFont="1" applyFill="1" applyBorder="1" applyAlignment="1">
      <alignment vertical="center"/>
    </xf>
    <xf numFmtId="9" fontId="2" fillId="3" borderId="30" xfId="0" applyNumberFormat="1" applyFont="1" applyFill="1" applyBorder="1" applyAlignment="1">
      <alignment vertical="center"/>
    </xf>
    <xf numFmtId="9" fontId="2" fillId="3" borderId="24" xfId="0" applyNumberFormat="1" applyFont="1" applyFill="1" applyBorder="1" applyAlignment="1">
      <alignment vertical="center"/>
    </xf>
    <xf numFmtId="0" fontId="2" fillId="3" borderId="24" xfId="0" applyFont="1" applyFill="1" applyBorder="1" applyAlignment="1">
      <alignment horizontal="left" vertical="center" indent="1"/>
    </xf>
    <xf numFmtId="172" fontId="2" fillId="3" borderId="1" xfId="0" applyNumberFormat="1" applyFont="1" applyFill="1" applyBorder="1" applyAlignment="1">
      <alignment vertical="center"/>
    </xf>
    <xf numFmtId="9" fontId="2" fillId="3" borderId="31" xfId="0" applyNumberFormat="1" applyFont="1" applyFill="1" applyBorder="1" applyAlignment="1">
      <alignment vertical="center"/>
    </xf>
    <xf numFmtId="0" fontId="2" fillId="3" borderId="30" xfId="0" applyFont="1" applyFill="1" applyBorder="1" applyAlignment="1">
      <alignment vertical="center"/>
    </xf>
    <xf numFmtId="172" fontId="2" fillId="3" borderId="31" xfId="0" applyNumberFormat="1" applyFont="1" applyFill="1" applyBorder="1" applyAlignment="1">
      <alignment vertical="center"/>
    </xf>
    <xf numFmtId="172" fontId="2" fillId="3" borderId="24" xfId="0" applyNumberFormat="1" applyFont="1" applyFill="1" applyBorder="1" applyAlignment="1">
      <alignment vertical="center"/>
    </xf>
    <xf numFmtId="172" fontId="2" fillId="3" borderId="1" xfId="0" applyNumberFormat="1" applyFont="1" applyFill="1" applyBorder="1" applyAlignment="1">
      <alignment horizontal="right" vertical="center"/>
    </xf>
    <xf numFmtId="0" fontId="2" fillId="3" borderId="30" xfId="0" applyFont="1" applyFill="1" applyBorder="1" applyAlignment="1">
      <alignment horizontal="left" vertical="center" indent="1"/>
    </xf>
    <xf numFmtId="0" fontId="2" fillId="3" borderId="4" xfId="0" applyFont="1" applyFill="1" applyBorder="1" applyAlignment="1">
      <alignment vertical="center"/>
    </xf>
    <xf numFmtId="0" fontId="0" fillId="3" borderId="12" xfId="0" applyFill="1" applyBorder="1" applyAlignment="1">
      <alignment vertical="center" wrapText="1"/>
    </xf>
    <xf numFmtId="171" fontId="7" fillId="3" borderId="28" xfId="0" applyNumberFormat="1" applyFont="1" applyFill="1" applyBorder="1" applyAlignment="1">
      <alignment horizontal="left" vertical="top" wrapText="1"/>
    </xf>
    <xf numFmtId="172" fontId="16" fillId="3" borderId="27" xfId="0" applyNumberFormat="1" applyFont="1" applyFill="1" applyBorder="1" applyAlignment="1">
      <alignment vertical="center"/>
    </xf>
    <xf numFmtId="172" fontId="16" fillId="3" borderId="17" xfId="0" applyNumberFormat="1" applyFont="1" applyFill="1" applyBorder="1" applyAlignment="1">
      <alignment vertical="center"/>
    </xf>
    <xf numFmtId="172" fontId="16" fillId="3" borderId="16" xfId="0" applyNumberFormat="1" applyFont="1" applyFill="1" applyBorder="1" applyAlignment="1">
      <alignment vertical="center"/>
    </xf>
    <xf numFmtId="0" fontId="0" fillId="3" borderId="0" xfId="0" applyFont="1" applyFill="1" applyBorder="1" applyAlignment="1">
      <alignment horizontal="left" vertical="center" wrapText="1" indent="1"/>
    </xf>
    <xf numFmtId="172" fontId="16" fillId="3" borderId="12" xfId="0" applyNumberFormat="1" applyFont="1" applyFill="1" applyBorder="1" applyAlignment="1">
      <alignment vertical="center"/>
    </xf>
    <xf numFmtId="0" fontId="0" fillId="3" borderId="15" xfId="0" applyFont="1" applyFill="1" applyBorder="1" applyAlignment="1">
      <alignment vertical="center" wrapText="1"/>
    </xf>
    <xf numFmtId="0" fontId="0" fillId="3" borderId="5" xfId="0" applyFont="1" applyFill="1" applyBorder="1" applyAlignment="1">
      <alignment horizontal="left" vertical="center" wrapText="1" indent="1"/>
    </xf>
    <xf numFmtId="172" fontId="16" fillId="3" borderId="27" xfId="0" applyNumberFormat="1" applyFont="1" applyFill="1" applyBorder="1" applyAlignment="1">
      <alignment horizontal="right" vertical="center"/>
    </xf>
    <xf numFmtId="0" fontId="0" fillId="3" borderId="15" xfId="0" applyFont="1" applyFill="1" applyBorder="1" applyAlignment="1">
      <alignment horizontal="left" vertical="center" wrapText="1" indent="1"/>
    </xf>
    <xf numFmtId="0" fontId="0" fillId="3" borderId="5" xfId="0" applyFont="1" applyFill="1" applyBorder="1" applyAlignment="1">
      <alignment vertical="center" wrapText="1"/>
    </xf>
    <xf numFmtId="0" fontId="0" fillId="3" borderId="12" xfId="0" applyFill="1" applyBorder="1" applyAlignment="1">
      <alignment vertical="center"/>
    </xf>
    <xf numFmtId="171" fontId="7" fillId="3" borderId="28" xfId="0" applyNumberFormat="1" applyFont="1" applyFill="1" applyBorder="1" applyAlignment="1">
      <alignment vertical="top" wrapText="1"/>
    </xf>
    <xf numFmtId="3" fontId="15" fillId="3" borderId="33" xfId="0" applyNumberFormat="1" applyFont="1" applyFill="1" applyBorder="1" applyAlignment="1">
      <alignment vertical="center"/>
    </xf>
    <xf numFmtId="3" fontId="15" fillId="3" borderId="19" xfId="0" applyNumberFormat="1" applyFont="1" applyFill="1" applyBorder="1" applyAlignment="1">
      <alignment vertical="center"/>
    </xf>
    <xf numFmtId="3" fontId="15" fillId="3" borderId="18" xfId="0" applyNumberFormat="1" applyFont="1" applyFill="1" applyBorder="1" applyAlignment="1">
      <alignment vertical="center"/>
    </xf>
    <xf numFmtId="3" fontId="0" fillId="3" borderId="9" xfId="0" applyNumberFormat="1" applyFill="1" applyBorder="1" applyAlignment="1">
      <alignment horizontal="left" vertical="center" indent="1"/>
    </xf>
    <xf numFmtId="3" fontId="15" fillId="3" borderId="9" xfId="0" applyNumberFormat="1" applyFont="1" applyFill="1" applyBorder="1" applyAlignment="1">
      <alignment vertical="center"/>
    </xf>
    <xf numFmtId="3" fontId="0" fillId="3" borderId="19" xfId="0" applyNumberFormat="1" applyFill="1" applyBorder="1" applyAlignment="1">
      <alignment vertical="center"/>
    </xf>
    <xf numFmtId="3" fontId="0" fillId="3" borderId="26" xfId="0" applyNumberFormat="1" applyFill="1" applyBorder="1" applyAlignment="1">
      <alignment horizontal="left" vertical="center" indent="1"/>
    </xf>
    <xf numFmtId="3" fontId="15" fillId="3" borderId="33" xfId="0" applyNumberFormat="1" applyFont="1" applyFill="1" applyBorder="1" applyAlignment="1">
      <alignment horizontal="right" vertical="center"/>
    </xf>
    <xf numFmtId="3" fontId="0" fillId="3" borderId="19" xfId="0" applyNumberFormat="1" applyFill="1" applyBorder="1" applyAlignment="1">
      <alignment horizontal="left" vertical="center" indent="1"/>
    </xf>
    <xf numFmtId="0" fontId="0" fillId="3" borderId="26" xfId="0" applyFill="1" applyBorder="1" applyAlignment="1">
      <alignment vertical="center"/>
    </xf>
    <xf numFmtId="0" fontId="0" fillId="3" borderId="18" xfId="0" applyFill="1" applyBorder="1" applyAlignment="1">
      <alignment vertical="center"/>
    </xf>
    <xf numFmtId="0" fontId="0" fillId="3" borderId="26" xfId="0" applyFill="1" applyBorder="1" applyAlignment="1">
      <alignment horizontal="left" vertical="center" indent="1"/>
    </xf>
    <xf numFmtId="3" fontId="0" fillId="3" borderId="33" xfId="0" applyNumberFormat="1" applyFill="1" applyBorder="1" applyAlignment="1">
      <alignment vertical="center"/>
    </xf>
    <xf numFmtId="3" fontId="0" fillId="3" borderId="18" xfId="0" applyNumberFormat="1" applyFill="1" applyBorder="1" applyAlignment="1">
      <alignment vertical="center"/>
    </xf>
    <xf numFmtId="0" fontId="0" fillId="3" borderId="9" xfId="0" applyFill="1" applyBorder="1" applyAlignment="1">
      <alignment horizontal="left" vertical="center" indent="1"/>
    </xf>
    <xf numFmtId="3" fontId="0" fillId="3" borderId="9" xfId="0" applyNumberFormat="1" applyFill="1" applyBorder="1" applyAlignment="1">
      <alignment vertical="center"/>
    </xf>
    <xf numFmtId="0" fontId="0" fillId="3" borderId="19" xfId="0" applyFill="1" applyBorder="1" applyAlignment="1">
      <alignment vertical="center"/>
    </xf>
    <xf numFmtId="3" fontId="0" fillId="3" borderId="33" xfId="0" applyNumberFormat="1" applyFill="1" applyBorder="1" applyAlignment="1">
      <alignment horizontal="right" vertical="center"/>
    </xf>
    <xf numFmtId="0" fontId="0" fillId="3" borderId="19" xfId="0" applyFill="1" applyBorder="1" applyAlignment="1">
      <alignment horizontal="left" vertical="center" indent="1"/>
    </xf>
    <xf numFmtId="0" fontId="0" fillId="3" borderId="11" xfId="0" applyFill="1" applyBorder="1" applyAlignment="1">
      <alignment vertical="center"/>
    </xf>
    <xf numFmtId="0" fontId="0" fillId="3" borderId="5" xfId="0" applyFill="1" applyBorder="1" applyAlignment="1">
      <alignment vertical="center"/>
    </xf>
    <xf numFmtId="4" fontId="0" fillId="3" borderId="2" xfId="0" applyNumberFormat="1" applyFill="1" applyBorder="1" applyAlignment="1">
      <alignment vertical="center"/>
    </xf>
    <xf numFmtId="0" fontId="0" fillId="3" borderId="15" xfId="0" applyFill="1" applyBorder="1" applyAlignment="1">
      <alignment vertical="center"/>
    </xf>
    <xf numFmtId="0" fontId="0" fillId="3" borderId="14" xfId="0" applyFill="1" applyBorder="1" applyAlignment="1">
      <alignment vertical="center"/>
    </xf>
    <xf numFmtId="0" fontId="0" fillId="3" borderId="0" xfId="0" applyFill="1" applyBorder="1" applyAlignment="1">
      <alignment vertical="center"/>
    </xf>
    <xf numFmtId="4" fontId="0" fillId="3" borderId="14" xfId="0" applyNumberFormat="1" applyFill="1" applyBorder="1" applyAlignment="1">
      <alignment vertical="center"/>
    </xf>
    <xf numFmtId="4" fontId="0" fillId="3" borderId="0" xfId="0" applyNumberFormat="1" applyFill="1" applyBorder="1" applyAlignment="1">
      <alignment vertical="center"/>
    </xf>
    <xf numFmtId="2" fontId="0" fillId="3" borderId="7" xfId="0" applyNumberFormat="1" applyFill="1" applyBorder="1" applyAlignment="1">
      <alignment horizontal="right" vertical="center"/>
    </xf>
    <xf numFmtId="0" fontId="0" fillId="3" borderId="13" xfId="0" applyFill="1" applyBorder="1" applyAlignment="1">
      <alignment vertical="center"/>
    </xf>
    <xf numFmtId="2" fontId="0" fillId="3" borderId="0" xfId="0" applyNumberFormat="1" applyFill="1" applyBorder="1" applyAlignment="1">
      <alignment vertical="center"/>
    </xf>
    <xf numFmtId="0" fontId="0" fillId="3" borderId="2" xfId="0" applyFill="1" applyBorder="1" applyAlignment="1">
      <alignment vertical="center"/>
    </xf>
    <xf numFmtId="2" fontId="0" fillId="3" borderId="2" xfId="0" applyNumberFormat="1" applyFill="1" applyBorder="1" applyAlignment="1">
      <alignment vertical="center"/>
    </xf>
    <xf numFmtId="2" fontId="0" fillId="3" borderId="14" xfId="0" applyNumberFormat="1" applyFill="1" applyBorder="1" applyAlignment="1">
      <alignment vertical="center"/>
    </xf>
    <xf numFmtId="2" fontId="0" fillId="3" borderId="15" xfId="0" applyNumberFormat="1" applyFill="1" applyBorder="1" applyAlignment="1">
      <alignment vertical="center"/>
    </xf>
    <xf numFmtId="2" fontId="0" fillId="3" borderId="5" xfId="0" applyNumberFormat="1" applyFill="1" applyBorder="1" applyAlignment="1">
      <alignment vertical="center"/>
    </xf>
    <xf numFmtId="0" fontId="0" fillId="3" borderId="2" xfId="0" applyFill="1" applyBorder="1" applyAlignment="1">
      <alignment horizontal="right" vertical="center"/>
    </xf>
    <xf numFmtId="171" fontId="7" fillId="3" borderId="5" xfId="0" applyNumberFormat="1" applyFont="1" applyFill="1" applyBorder="1" applyAlignment="1">
      <alignment horizontal="left" vertical="top" wrapText="1"/>
    </xf>
    <xf numFmtId="171" fontId="7" fillId="3" borderId="15" xfId="0" applyNumberFormat="1" applyFont="1" applyFill="1" applyBorder="1" applyAlignment="1">
      <alignment vertical="top" wrapText="1"/>
    </xf>
    <xf numFmtId="171" fontId="7" fillId="3" borderId="0" xfId="0" applyNumberFormat="1" applyFont="1" applyFill="1" applyBorder="1" applyAlignment="1">
      <alignment vertical="top" wrapText="1"/>
    </xf>
    <xf numFmtId="168" fontId="0" fillId="3" borderId="14" xfId="0" applyNumberFormat="1" applyFill="1" applyBorder="1" applyAlignment="1">
      <alignment vertical="center"/>
    </xf>
    <xf numFmtId="1" fontId="0" fillId="3" borderId="0" xfId="0" applyNumberFormat="1" applyFill="1" applyBorder="1" applyAlignment="1">
      <alignment vertical="center"/>
    </xf>
    <xf numFmtId="3" fontId="0" fillId="3" borderId="0" xfId="0" applyNumberFormat="1" applyFill="1" applyBorder="1" applyAlignment="1">
      <alignment vertical="center"/>
    </xf>
    <xf numFmtId="0" fontId="0" fillId="3" borderId="0" xfId="0" applyFill="1" applyBorder="1" applyAlignment="1">
      <alignment horizontal="right" vertical="center"/>
    </xf>
    <xf numFmtId="0" fontId="15" fillId="3" borderId="0" xfId="0" applyFont="1" applyFill="1" applyAlignment="1">
      <alignment vertical="center"/>
    </xf>
    <xf numFmtId="0" fontId="4" fillId="3" borderId="14" xfId="0" applyFont="1" applyFill="1" applyBorder="1" applyAlignment="1">
      <alignment vertical="center"/>
    </xf>
    <xf numFmtId="171" fontId="6" fillId="3" borderId="5" xfId="0" applyNumberFormat="1" applyFont="1" applyFill="1" applyBorder="1" applyAlignment="1">
      <alignment horizontal="left" vertical="top" wrapText="1"/>
    </xf>
    <xf numFmtId="164" fontId="4" fillId="3" borderId="2" xfId="0" applyNumberFormat="1" applyFont="1" applyFill="1" applyBorder="1" applyAlignment="1">
      <alignment vertical="center"/>
    </xf>
    <xf numFmtId="171" fontId="6" fillId="3" borderId="15" xfId="0" applyNumberFormat="1" applyFont="1" applyFill="1" applyBorder="1" applyAlignment="1">
      <alignment vertical="top" wrapText="1"/>
    </xf>
    <xf numFmtId="164" fontId="4" fillId="3" borderId="0" xfId="0" applyNumberFormat="1" applyFont="1" applyFill="1" applyBorder="1" applyAlignment="1">
      <alignment vertical="center"/>
    </xf>
    <xf numFmtId="0" fontId="4" fillId="3" borderId="0" xfId="0" applyFont="1" applyFill="1" applyBorder="1" applyAlignment="1">
      <alignment vertical="center"/>
    </xf>
    <xf numFmtId="171" fontId="6" fillId="3" borderId="0" xfId="0" applyNumberFormat="1" applyFont="1" applyFill="1" applyBorder="1" applyAlignment="1">
      <alignment vertical="top" wrapText="1"/>
    </xf>
    <xf numFmtId="164" fontId="4" fillId="3" borderId="14" xfId="0" applyNumberFormat="1" applyFont="1" applyFill="1" applyBorder="1" applyAlignment="1">
      <alignment vertical="center"/>
    </xf>
    <xf numFmtId="0" fontId="4" fillId="3" borderId="15" xfId="0" applyFont="1" applyFill="1" applyBorder="1" applyAlignment="1">
      <alignment vertical="center"/>
    </xf>
    <xf numFmtId="0" fontId="4" fillId="3" borderId="5" xfId="0" applyFont="1" applyFill="1" applyBorder="1" applyAlignment="1">
      <alignment vertical="center"/>
    </xf>
    <xf numFmtId="164" fontId="4" fillId="3" borderId="2" xfId="0" applyNumberFormat="1" applyFont="1" applyFill="1" applyBorder="1" applyAlignment="1">
      <alignment horizontal="right" vertical="center"/>
    </xf>
    <xf numFmtId="0" fontId="15" fillId="3" borderId="0" xfId="0" applyFont="1" applyFill="1"/>
    <xf numFmtId="2" fontId="0" fillId="3" borderId="2" xfId="0" applyNumberFormat="1" applyFill="1" applyBorder="1" applyAlignment="1">
      <alignment horizontal="right" vertical="center"/>
    </xf>
    <xf numFmtId="169" fontId="0" fillId="3" borderId="0" xfId="0" applyNumberFormat="1" applyFill="1" applyBorder="1" applyAlignment="1">
      <alignment vertical="center"/>
    </xf>
    <xf numFmtId="169" fontId="0" fillId="3" borderId="15" xfId="0" applyNumberFormat="1" applyFill="1" applyBorder="1" applyAlignment="1">
      <alignment vertical="center"/>
    </xf>
    <xf numFmtId="169" fontId="0" fillId="3" borderId="14" xfId="0" applyNumberFormat="1" applyFill="1" applyBorder="1" applyAlignment="1">
      <alignment vertical="center"/>
    </xf>
    <xf numFmtId="3" fontId="0" fillId="3" borderId="14" xfId="0" applyNumberFormat="1" applyFill="1" applyBorder="1" applyAlignment="1">
      <alignment vertical="center"/>
    </xf>
    <xf numFmtId="3" fontId="0" fillId="3" borderId="15" xfId="0" applyNumberFormat="1" applyFill="1" applyBorder="1" applyAlignment="1">
      <alignment vertical="center"/>
    </xf>
    <xf numFmtId="169" fontId="0" fillId="3" borderId="5" xfId="0" applyNumberFormat="1" applyFill="1" applyBorder="1" applyAlignment="1">
      <alignment vertical="center"/>
    </xf>
    <xf numFmtId="168" fontId="0" fillId="3" borderId="27" xfId="0" applyNumberFormat="1" applyFill="1" applyBorder="1" applyAlignment="1">
      <alignment vertical="center"/>
    </xf>
    <xf numFmtId="0" fontId="0" fillId="3" borderId="17" xfId="0" applyFill="1" applyBorder="1" applyAlignment="1">
      <alignment vertical="center"/>
    </xf>
    <xf numFmtId="168" fontId="0" fillId="3" borderId="12" xfId="0" applyNumberFormat="1" applyFill="1" applyBorder="1" applyAlignment="1">
      <alignment vertical="center"/>
    </xf>
    <xf numFmtId="0" fontId="0" fillId="3" borderId="16" xfId="0" applyFill="1" applyBorder="1" applyAlignment="1">
      <alignment vertical="center"/>
    </xf>
    <xf numFmtId="4" fontId="0" fillId="3" borderId="27" xfId="0" applyNumberFormat="1" applyFill="1" applyBorder="1" applyAlignment="1">
      <alignment vertical="center"/>
    </xf>
    <xf numFmtId="4" fontId="0" fillId="3" borderId="12" xfId="0" applyNumberFormat="1" applyFill="1" applyBorder="1" applyAlignment="1">
      <alignment vertical="center"/>
    </xf>
    <xf numFmtId="4" fontId="0" fillId="3" borderId="16" xfId="0" applyNumberFormat="1" applyFill="1" applyBorder="1" applyAlignment="1">
      <alignment vertical="center"/>
    </xf>
    <xf numFmtId="0" fontId="0" fillId="3" borderId="28" xfId="0" applyFill="1" applyBorder="1" applyAlignment="1">
      <alignment vertical="center"/>
    </xf>
    <xf numFmtId="168" fontId="0" fillId="3" borderId="27" xfId="0" applyNumberFormat="1" applyFill="1" applyBorder="1" applyAlignment="1">
      <alignment horizontal="right" vertical="center"/>
    </xf>
    <xf numFmtId="169" fontId="0" fillId="3" borderId="16" xfId="0" applyNumberFormat="1" applyFill="1" applyBorder="1" applyAlignment="1">
      <alignment vertical="center"/>
    </xf>
    <xf numFmtId="169" fontId="0" fillId="3" borderId="17" xfId="0" applyNumberFormat="1" applyFill="1" applyBorder="1" applyAlignment="1">
      <alignment vertical="center"/>
    </xf>
    <xf numFmtId="169" fontId="0" fillId="3" borderId="12" xfId="0" applyNumberFormat="1" applyFill="1" applyBorder="1" applyAlignment="1">
      <alignment vertical="center"/>
    </xf>
    <xf numFmtId="169" fontId="0" fillId="3" borderId="28" xfId="0" applyNumberFormat="1" applyFill="1" applyBorder="1" applyAlignment="1">
      <alignment vertical="center"/>
    </xf>
    <xf numFmtId="0" fontId="4" fillId="3" borderId="11" xfId="0" applyFont="1" applyFill="1" applyBorder="1" applyAlignment="1">
      <alignment vertical="center"/>
    </xf>
    <xf numFmtId="0" fontId="4" fillId="3" borderId="29" xfId="0" applyFont="1" applyFill="1" applyBorder="1" applyAlignment="1">
      <alignment vertical="center"/>
    </xf>
    <xf numFmtId="0" fontId="4" fillId="3" borderId="7" xfId="0" applyFont="1" applyFill="1" applyBorder="1" applyAlignment="1">
      <alignment vertical="center"/>
    </xf>
    <xf numFmtId="0" fontId="4" fillId="3" borderId="13" xfId="0" applyFont="1" applyFill="1" applyBorder="1" applyAlignment="1">
      <alignment vertical="center"/>
    </xf>
    <xf numFmtId="0" fontId="4" fillId="3" borderId="8" xfId="0" applyFont="1" applyFill="1" applyBorder="1" applyAlignment="1">
      <alignment vertical="center"/>
    </xf>
    <xf numFmtId="164" fontId="4" fillId="3" borderId="7" xfId="0" applyNumberFormat="1" applyFont="1" applyFill="1" applyBorder="1" applyAlignment="1">
      <alignment vertical="center"/>
    </xf>
    <xf numFmtId="164" fontId="4" fillId="3" borderId="11" xfId="0" applyNumberFormat="1" applyFont="1" applyFill="1" applyBorder="1" applyAlignment="1">
      <alignment vertical="center"/>
    </xf>
    <xf numFmtId="164" fontId="4" fillId="3" borderId="13" xfId="0" applyNumberFormat="1" applyFont="1" applyFill="1" applyBorder="1" applyAlignment="1">
      <alignment vertical="center"/>
    </xf>
    <xf numFmtId="164" fontId="4" fillId="3" borderId="8" xfId="0" applyNumberFormat="1" applyFont="1" applyFill="1" applyBorder="1" applyAlignment="1">
      <alignment vertical="center"/>
    </xf>
    <xf numFmtId="0" fontId="4" fillId="3" borderId="7" xfId="0" applyFont="1" applyFill="1" applyBorder="1" applyAlignment="1">
      <alignment horizontal="right" vertical="center"/>
    </xf>
    <xf numFmtId="164" fontId="0" fillId="3" borderId="2" xfId="0" applyNumberFormat="1" applyFill="1" applyBorder="1" applyAlignment="1">
      <alignment vertical="center"/>
    </xf>
    <xf numFmtId="164" fontId="0" fillId="3" borderId="14" xfId="0" applyNumberFormat="1" applyFill="1" applyBorder="1" applyAlignment="1">
      <alignment vertical="center"/>
    </xf>
    <xf numFmtId="164" fontId="0" fillId="3" borderId="0" xfId="0" applyNumberFormat="1" applyFill="1" applyBorder="1" applyAlignment="1">
      <alignment vertical="center"/>
    </xf>
    <xf numFmtId="164" fontId="0" fillId="3" borderId="2" xfId="0" applyNumberFormat="1" applyFill="1" applyBorder="1" applyAlignment="1">
      <alignment horizontal="right" vertical="center"/>
    </xf>
    <xf numFmtId="164" fontId="0" fillId="3" borderId="27" xfId="0" applyNumberFormat="1" applyFill="1" applyBorder="1" applyAlignment="1">
      <alignment vertical="center"/>
    </xf>
    <xf numFmtId="164" fontId="0" fillId="3" borderId="12" xfId="0" applyNumberFormat="1" applyFill="1" applyBorder="1" applyAlignment="1">
      <alignment vertical="center"/>
    </xf>
    <xf numFmtId="164" fontId="0" fillId="3" borderId="16" xfId="0" applyNumberFormat="1" applyFill="1" applyBorder="1" applyAlignment="1">
      <alignment vertical="center"/>
    </xf>
    <xf numFmtId="164" fontId="0" fillId="3" borderId="27" xfId="0" applyNumberFormat="1" applyFill="1" applyBorder="1" applyAlignment="1">
      <alignment horizontal="right" vertical="center"/>
    </xf>
    <xf numFmtId="2" fontId="0" fillId="3" borderId="16" xfId="0" applyNumberFormat="1" applyFill="1" applyBorder="1" applyAlignment="1">
      <alignment vertical="center"/>
    </xf>
    <xf numFmtId="2" fontId="0" fillId="3" borderId="17" xfId="0" applyNumberFormat="1" applyFill="1" applyBorder="1" applyAlignment="1">
      <alignment vertical="center"/>
    </xf>
    <xf numFmtId="2" fontId="0" fillId="3" borderId="12" xfId="0" applyNumberFormat="1" applyFill="1" applyBorder="1" applyAlignment="1">
      <alignment vertical="center"/>
    </xf>
    <xf numFmtId="0" fontId="0" fillId="3" borderId="29" xfId="0" applyFill="1" applyBorder="1" applyAlignment="1">
      <alignment vertical="center"/>
    </xf>
    <xf numFmtId="0" fontId="0" fillId="3" borderId="7" xfId="0" applyFill="1" applyBorder="1" applyAlignment="1">
      <alignment horizontal="right" vertical="center"/>
    </xf>
    <xf numFmtId="0" fontId="0" fillId="3" borderId="8" xfId="0" applyFill="1" applyBorder="1" applyAlignment="1">
      <alignment horizontal="right" vertical="center"/>
    </xf>
    <xf numFmtId="0" fontId="0" fillId="3" borderId="11" xfId="0" applyFill="1" applyBorder="1" applyAlignment="1">
      <alignment horizontal="right" vertical="center"/>
    </xf>
    <xf numFmtId="0" fontId="0" fillId="3" borderId="8" xfId="0" applyFill="1" applyBorder="1" applyAlignment="1">
      <alignment vertical="center"/>
    </xf>
    <xf numFmtId="164" fontId="0" fillId="3" borderId="7" xfId="0" applyNumberFormat="1" applyFill="1" applyBorder="1" applyAlignment="1">
      <alignment vertical="center"/>
    </xf>
    <xf numFmtId="164" fontId="0" fillId="3" borderId="11" xfId="0" applyNumberFormat="1" applyFill="1" applyBorder="1" applyAlignment="1">
      <alignment vertical="center"/>
    </xf>
    <xf numFmtId="164" fontId="0" fillId="3" borderId="13" xfId="0" applyNumberFormat="1" applyFill="1" applyBorder="1" applyAlignment="1">
      <alignment vertical="center"/>
    </xf>
    <xf numFmtId="164" fontId="0" fillId="3" borderId="8" xfId="0" applyNumberFormat="1" applyFill="1" applyBorder="1" applyAlignment="1">
      <alignment vertical="center"/>
    </xf>
    <xf numFmtId="165" fontId="0" fillId="3" borderId="0" xfId="0" applyNumberFormat="1" applyFill="1" applyBorder="1" applyAlignment="1">
      <alignment horizontal="right" vertical="center"/>
    </xf>
    <xf numFmtId="0" fontId="0" fillId="3" borderId="14" xfId="0" applyFill="1" applyBorder="1" applyAlignment="1">
      <alignment horizontal="right" vertical="center"/>
    </xf>
    <xf numFmtId="0" fontId="2" fillId="3" borderId="14" xfId="0" applyFont="1" applyFill="1" applyBorder="1" applyAlignment="1">
      <alignment vertical="center"/>
    </xf>
    <xf numFmtId="0" fontId="2" fillId="3" borderId="5" xfId="0" applyFont="1" applyFill="1" applyBorder="1" applyAlignment="1">
      <alignment vertical="center"/>
    </xf>
    <xf numFmtId="0" fontId="2" fillId="3" borderId="2" xfId="0" applyFont="1" applyFill="1" applyBorder="1" applyAlignment="1">
      <alignment horizontal="right" vertical="center"/>
    </xf>
    <xf numFmtId="0" fontId="2" fillId="3" borderId="0" xfId="0" applyFont="1" applyFill="1" applyBorder="1" applyAlignment="1">
      <alignment horizontal="right" vertical="center"/>
    </xf>
    <xf numFmtId="0" fontId="2" fillId="3" borderId="14" xfId="0" applyFont="1" applyFill="1" applyBorder="1" applyAlignment="1">
      <alignment horizontal="right" vertical="center"/>
    </xf>
    <xf numFmtId="0" fontId="2" fillId="3" borderId="0" xfId="0" applyFont="1" applyFill="1" applyBorder="1" applyAlignment="1">
      <alignment vertical="center"/>
    </xf>
    <xf numFmtId="164" fontId="21" fillId="3" borderId="2" xfId="0" applyNumberFormat="1" applyFont="1" applyFill="1" applyBorder="1" applyAlignment="1">
      <alignment vertical="center"/>
    </xf>
    <xf numFmtId="164" fontId="21" fillId="3" borderId="14" xfId="0" applyNumberFormat="1" applyFont="1" applyFill="1" applyBorder="1" applyAlignment="1">
      <alignment vertical="center"/>
    </xf>
    <xf numFmtId="0" fontId="2" fillId="3" borderId="15" xfId="0" applyFont="1" applyFill="1" applyBorder="1" applyAlignment="1">
      <alignment vertical="center"/>
    </xf>
    <xf numFmtId="164" fontId="21" fillId="3" borderId="0" xfId="0" applyNumberFormat="1" applyFont="1" applyFill="1" applyBorder="1" applyAlignment="1">
      <alignment vertical="center"/>
    </xf>
    <xf numFmtId="0" fontId="19" fillId="3" borderId="2" xfId="0" applyFont="1" applyFill="1" applyBorder="1" applyAlignment="1">
      <alignment horizontal="right" vertical="center"/>
    </xf>
    <xf numFmtId="0" fontId="19" fillId="3" borderId="15" xfId="0" applyFont="1" applyFill="1" applyBorder="1" applyAlignment="1">
      <alignment vertical="center"/>
    </xf>
    <xf numFmtId="0" fontId="19" fillId="3" borderId="0" xfId="0" applyFont="1" applyFill="1" applyBorder="1" applyAlignment="1">
      <alignment vertical="center"/>
    </xf>
    <xf numFmtId="0" fontId="19" fillId="3" borderId="14" xfId="0" applyFont="1" applyFill="1" applyBorder="1" applyAlignment="1">
      <alignment vertical="center"/>
    </xf>
    <xf numFmtId="2" fontId="0" fillId="3" borderId="14" xfId="0" applyNumberFormat="1" applyFill="1" applyBorder="1" applyAlignment="1">
      <alignment horizontal="right" vertical="center"/>
    </xf>
    <xf numFmtId="2" fontId="0" fillId="3" borderId="0" xfId="0" applyNumberFormat="1" applyFill="1" applyBorder="1" applyAlignment="1">
      <alignment horizontal="right" vertical="center"/>
    </xf>
    <xf numFmtId="167" fontId="0" fillId="3" borderId="0" xfId="0" applyNumberFormat="1" applyFill="1" applyBorder="1" applyAlignment="1">
      <alignment horizontal="right" vertical="center"/>
    </xf>
    <xf numFmtId="167" fontId="0" fillId="3" borderId="15" xfId="0" applyNumberFormat="1" applyFill="1" applyBorder="1" applyAlignment="1">
      <alignment vertical="center"/>
    </xf>
    <xf numFmtId="167" fontId="0" fillId="3" borderId="14" xfId="0" applyNumberFormat="1" applyFill="1" applyBorder="1" applyAlignment="1">
      <alignment horizontal="right" vertical="center"/>
    </xf>
    <xf numFmtId="167" fontId="0" fillId="3" borderId="14" xfId="0" applyNumberFormat="1" applyFill="1" applyBorder="1" applyAlignment="1">
      <alignment vertical="center"/>
    </xf>
    <xf numFmtId="0" fontId="0" fillId="3" borderId="27" xfId="0" applyFill="1" applyBorder="1" applyAlignment="1">
      <alignment horizontal="right" vertical="center"/>
    </xf>
    <xf numFmtId="0" fontId="0" fillId="3" borderId="16" xfId="0" applyFill="1" applyBorder="1" applyAlignment="1">
      <alignment horizontal="right" vertical="center"/>
    </xf>
    <xf numFmtId="0" fontId="0" fillId="3" borderId="12" xfId="0" applyFill="1" applyBorder="1" applyAlignment="1">
      <alignment horizontal="right" vertical="center"/>
    </xf>
    <xf numFmtId="2" fontId="0" fillId="3" borderId="27" xfId="0" applyNumberFormat="1" applyFill="1" applyBorder="1" applyAlignment="1">
      <alignment horizontal="right" vertical="center"/>
    </xf>
    <xf numFmtId="2" fontId="0" fillId="3" borderId="12" xfId="0" applyNumberFormat="1" applyFill="1" applyBorder="1" applyAlignment="1">
      <alignment horizontal="right" vertical="center"/>
    </xf>
    <xf numFmtId="2" fontId="0" fillId="3" borderId="16" xfId="0" applyNumberFormat="1" applyFill="1" applyBorder="1" applyAlignment="1">
      <alignment horizontal="right" vertical="center"/>
    </xf>
    <xf numFmtId="167" fontId="0" fillId="3" borderId="16" xfId="0" applyNumberFormat="1" applyFill="1" applyBorder="1" applyAlignment="1">
      <alignment horizontal="right" vertical="center"/>
    </xf>
    <xf numFmtId="167" fontId="0" fillId="3" borderId="17" xfId="0" applyNumberFormat="1" applyFill="1" applyBorder="1" applyAlignment="1">
      <alignment vertical="center"/>
    </xf>
    <xf numFmtId="4" fontId="4" fillId="3" borderId="2" xfId="0" applyNumberFormat="1" applyFont="1" applyFill="1" applyBorder="1" applyAlignment="1">
      <alignment vertical="center"/>
    </xf>
    <xf numFmtId="4" fontId="4" fillId="3" borderId="14" xfId="0" applyNumberFormat="1" applyFont="1" applyFill="1" applyBorder="1" applyAlignment="1">
      <alignment vertical="center"/>
    </xf>
    <xf numFmtId="4" fontId="4" fillId="3" borderId="0" xfId="0" applyNumberFormat="1" applyFont="1" applyFill="1" applyBorder="1" applyAlignment="1">
      <alignment vertical="center"/>
    </xf>
    <xf numFmtId="4" fontId="4" fillId="3" borderId="2" xfId="0" applyNumberFormat="1" applyFont="1" applyFill="1" applyBorder="1" applyAlignment="1">
      <alignment horizontal="right" vertical="center"/>
    </xf>
    <xf numFmtId="3" fontId="0" fillId="3" borderId="2" xfId="0" applyNumberFormat="1" applyFill="1" applyBorder="1" applyAlignment="1">
      <alignment vertical="center"/>
    </xf>
    <xf numFmtId="3" fontId="0" fillId="3" borderId="2" xfId="0" applyNumberFormat="1" applyFill="1" applyBorder="1" applyAlignment="1">
      <alignment horizontal="right" vertical="center"/>
    </xf>
    <xf numFmtId="3" fontId="0" fillId="3" borderId="16" xfId="0" applyNumberFormat="1" applyFill="1" applyBorder="1" applyAlignment="1">
      <alignment vertical="center"/>
    </xf>
    <xf numFmtId="3" fontId="0" fillId="3" borderId="12" xfId="0" applyNumberFormat="1" applyFill="1" applyBorder="1" applyAlignment="1">
      <alignment vertical="center"/>
    </xf>
    <xf numFmtId="3" fontId="0" fillId="3" borderId="27" xfId="0" applyNumberFormat="1" applyFill="1" applyBorder="1" applyAlignment="1">
      <alignment vertical="center"/>
    </xf>
    <xf numFmtId="3" fontId="0" fillId="3" borderId="27" xfId="0" applyNumberFormat="1" applyFill="1" applyBorder="1" applyAlignment="1">
      <alignment horizontal="right" vertical="center"/>
    </xf>
    <xf numFmtId="171" fontId="7" fillId="3" borderId="29" xfId="0" applyNumberFormat="1" applyFont="1" applyFill="1" applyBorder="1" applyAlignment="1">
      <alignment horizontal="left" vertical="top" wrapText="1"/>
    </xf>
    <xf numFmtId="165" fontId="0" fillId="3" borderId="14" xfId="0" applyNumberFormat="1" applyFill="1" applyBorder="1" applyAlignment="1">
      <alignment vertical="center"/>
    </xf>
    <xf numFmtId="4" fontId="0" fillId="3" borderId="7" xfId="0" applyNumberFormat="1" applyFill="1" applyBorder="1" applyAlignment="1">
      <alignment horizontal="right" vertical="center"/>
    </xf>
    <xf numFmtId="4" fontId="0" fillId="3" borderId="11" xfId="0" applyNumberFormat="1" applyFill="1" applyBorder="1" applyAlignment="1">
      <alignment horizontal="right" vertical="center"/>
    </xf>
    <xf numFmtId="4" fontId="0" fillId="3" borderId="8" xfId="0" applyNumberFormat="1" applyFill="1" applyBorder="1" applyAlignment="1">
      <alignment horizontal="right" vertical="center"/>
    </xf>
    <xf numFmtId="165" fontId="0" fillId="3" borderId="14" xfId="0" applyNumberFormat="1" applyFill="1" applyBorder="1" applyAlignment="1">
      <alignment horizontal="right" vertical="center"/>
    </xf>
    <xf numFmtId="3" fontId="0" fillId="3" borderId="14" xfId="0" applyNumberFormat="1" applyFill="1" applyBorder="1" applyAlignment="1">
      <alignment horizontal="right" vertical="center"/>
    </xf>
    <xf numFmtId="164" fontId="19" fillId="3" borderId="0" xfId="0" applyNumberFormat="1" applyFont="1" applyFill="1" applyBorder="1" applyAlignment="1">
      <alignment vertical="center"/>
    </xf>
    <xf numFmtId="164" fontId="19" fillId="3" borderId="14" xfId="0" applyNumberFormat="1" applyFont="1" applyFill="1" applyBorder="1" applyAlignment="1">
      <alignment vertical="center"/>
    </xf>
    <xf numFmtId="164" fontId="19" fillId="3" borderId="2" xfId="0" applyNumberFormat="1" applyFont="1" applyFill="1" applyBorder="1" applyAlignment="1">
      <alignment vertical="center"/>
    </xf>
    <xf numFmtId="164" fontId="19" fillId="3" borderId="2" xfId="0" applyNumberFormat="1" applyFont="1" applyFill="1" applyBorder="1" applyAlignment="1">
      <alignment horizontal="right" vertical="center"/>
    </xf>
    <xf numFmtId="167" fontId="0" fillId="3" borderId="2" xfId="0" applyNumberFormat="1" applyFill="1" applyBorder="1" applyAlignment="1">
      <alignment vertical="center"/>
    </xf>
    <xf numFmtId="167" fontId="0" fillId="3" borderId="0" xfId="0" applyNumberFormat="1" applyFill="1" applyBorder="1" applyAlignment="1">
      <alignment vertical="center"/>
    </xf>
    <xf numFmtId="168" fontId="0" fillId="3" borderId="2" xfId="0" applyNumberFormat="1" applyFill="1" applyBorder="1" applyAlignment="1">
      <alignment horizontal="right" vertical="center"/>
    </xf>
    <xf numFmtId="1" fontId="0" fillId="3" borderId="14" xfId="0" applyNumberFormat="1" applyFill="1" applyBorder="1" applyAlignment="1">
      <alignment vertical="center"/>
    </xf>
    <xf numFmtId="167" fontId="0" fillId="3" borderId="27" xfId="0" applyNumberFormat="1" applyFill="1" applyBorder="1" applyAlignment="1">
      <alignment vertical="center"/>
    </xf>
    <xf numFmtId="167" fontId="0" fillId="3" borderId="12" xfId="0" applyNumberFormat="1" applyFill="1" applyBorder="1" applyAlignment="1">
      <alignment vertical="center"/>
    </xf>
    <xf numFmtId="167" fontId="0" fillId="3" borderId="16" xfId="0" applyNumberFormat="1" applyFill="1" applyBorder="1" applyAlignment="1">
      <alignment vertical="center"/>
    </xf>
    <xf numFmtId="173" fontId="19" fillId="3" borderId="0" xfId="0" applyNumberFormat="1" applyFont="1" applyFill="1" applyBorder="1" applyAlignment="1">
      <alignment vertical="center"/>
    </xf>
    <xf numFmtId="173" fontId="0" fillId="3" borderId="15" xfId="0" applyNumberFormat="1" applyFill="1" applyBorder="1" applyAlignment="1">
      <alignment vertical="center"/>
    </xf>
    <xf numFmtId="173" fontId="19" fillId="3" borderId="14" xfId="0" applyNumberFormat="1" applyFont="1" applyFill="1" applyBorder="1" applyAlignment="1">
      <alignment vertical="center"/>
    </xf>
    <xf numFmtId="173" fontId="0" fillId="3" borderId="14" xfId="0" applyNumberFormat="1" applyFill="1" applyBorder="1" applyAlignment="1">
      <alignment horizontal="right" vertical="center"/>
    </xf>
    <xf numFmtId="173" fontId="4" fillId="3" borderId="14" xfId="0" applyNumberFormat="1" applyFont="1" applyFill="1" applyBorder="1" applyAlignment="1">
      <alignment vertical="center"/>
    </xf>
    <xf numFmtId="167" fontId="0" fillId="3" borderId="2" xfId="0" applyNumberFormat="1" applyFill="1" applyBorder="1" applyAlignment="1">
      <alignment horizontal="right" vertical="center"/>
    </xf>
    <xf numFmtId="0" fontId="0" fillId="3" borderId="27" xfId="0" applyFill="1" applyBorder="1" applyAlignment="1">
      <alignment vertical="center"/>
    </xf>
    <xf numFmtId="167" fontId="0" fillId="3" borderId="27" xfId="0" applyNumberFormat="1" applyFill="1" applyBorder="1" applyAlignment="1">
      <alignment horizontal="right" vertical="center"/>
    </xf>
    <xf numFmtId="167" fontId="0" fillId="3" borderId="12" xfId="0" applyNumberFormat="1" applyFill="1" applyBorder="1" applyAlignment="1">
      <alignment horizontal="right" vertical="center"/>
    </xf>
    <xf numFmtId="0" fontId="0" fillId="3" borderId="7" xfId="0" applyFill="1" applyBorder="1" applyAlignment="1">
      <alignment vertical="center"/>
    </xf>
    <xf numFmtId="0" fontId="0" fillId="3" borderId="37" xfId="0" applyFill="1" applyBorder="1" applyAlignment="1">
      <alignment vertical="center"/>
    </xf>
    <xf numFmtId="0" fontId="0" fillId="3" borderId="36" xfId="0" applyFill="1" applyBorder="1" applyAlignment="1">
      <alignment vertical="center"/>
    </xf>
    <xf numFmtId="0" fontId="0" fillId="3" borderId="35" xfId="0" applyFill="1" applyBorder="1" applyAlignment="1">
      <alignment vertical="center"/>
    </xf>
    <xf numFmtId="0" fontId="0" fillId="3" borderId="38" xfId="0" applyFill="1" applyBorder="1" applyAlignment="1">
      <alignment vertical="center"/>
    </xf>
    <xf numFmtId="0" fontId="0" fillId="3" borderId="31" xfId="0" applyFill="1" applyBorder="1" applyAlignment="1">
      <alignment vertical="center"/>
    </xf>
    <xf numFmtId="4" fontId="0" fillId="3" borderId="1" xfId="0" applyNumberFormat="1" applyFill="1" applyBorder="1" applyAlignment="1">
      <alignment vertical="center"/>
    </xf>
    <xf numFmtId="0" fontId="0" fillId="3" borderId="24" xfId="0" applyFill="1" applyBorder="1" applyAlignment="1">
      <alignment vertical="center"/>
    </xf>
    <xf numFmtId="4" fontId="0" fillId="3" borderId="31" xfId="0" applyNumberFormat="1" applyFill="1" applyBorder="1" applyAlignment="1">
      <alignment vertical="center"/>
    </xf>
    <xf numFmtId="0" fontId="0" fillId="3" borderId="30" xfId="0" applyFill="1" applyBorder="1" applyAlignment="1">
      <alignment vertical="center"/>
    </xf>
    <xf numFmtId="0" fontId="0" fillId="3" borderId="4" xfId="0" applyFill="1" applyBorder="1" applyAlignment="1">
      <alignment vertical="center"/>
    </xf>
    <xf numFmtId="4" fontId="0" fillId="3" borderId="1" xfId="0" applyNumberFormat="1" applyFill="1" applyBorder="1" applyAlignment="1">
      <alignment horizontal="right" vertical="center"/>
    </xf>
    <xf numFmtId="4" fontId="0" fillId="3" borderId="24" xfId="0" applyNumberFormat="1" applyFill="1" applyBorder="1" applyAlignment="1">
      <alignment vertical="center"/>
    </xf>
    <xf numFmtId="168" fontId="0" fillId="3" borderId="2" xfId="0" applyNumberFormat="1" applyFill="1" applyBorder="1" applyAlignment="1">
      <alignment vertical="center"/>
    </xf>
    <xf numFmtId="168" fontId="0" fillId="3" borderId="0" xfId="0" applyNumberFormat="1" applyFill="1" applyBorder="1" applyAlignment="1">
      <alignment vertical="center"/>
    </xf>
    <xf numFmtId="168" fontId="0" fillId="3" borderId="15" xfId="0" applyNumberFormat="1" applyFill="1" applyBorder="1" applyAlignment="1">
      <alignment vertical="center"/>
    </xf>
    <xf numFmtId="168" fontId="0" fillId="3" borderId="5" xfId="0" applyNumberFormat="1" applyFill="1" applyBorder="1" applyAlignment="1">
      <alignment vertical="center"/>
    </xf>
    <xf numFmtId="3" fontId="0" fillId="3" borderId="5" xfId="0" applyNumberFormat="1" applyFill="1" applyBorder="1" applyAlignment="1">
      <alignment vertical="center"/>
    </xf>
    <xf numFmtId="0" fontId="0" fillId="3" borderId="32" xfId="0" applyFill="1" applyBorder="1" applyAlignment="1">
      <alignment vertical="center"/>
    </xf>
    <xf numFmtId="2" fontId="0" fillId="3" borderId="3" xfId="0" applyNumberFormat="1" applyFill="1" applyBorder="1" applyAlignment="1">
      <alignment horizontal="right" vertical="center" indent="1"/>
    </xf>
    <xf numFmtId="2" fontId="0" fillId="3" borderId="25" xfId="0" applyNumberFormat="1" applyFill="1" applyBorder="1" applyAlignment="1">
      <alignment vertical="center"/>
    </xf>
    <xf numFmtId="2" fontId="0" fillId="3" borderId="32" xfId="0" applyNumberFormat="1" applyFill="1" applyBorder="1" applyAlignment="1">
      <alignment horizontal="right" vertical="center" indent="1"/>
    </xf>
    <xf numFmtId="2" fontId="0" fillId="3" borderId="3" xfId="0" applyNumberFormat="1" applyFill="1" applyBorder="1" applyAlignment="1">
      <alignment vertical="center"/>
    </xf>
    <xf numFmtId="2" fontId="0" fillId="3" borderId="32" xfId="0" applyNumberFormat="1" applyFill="1" applyBorder="1" applyAlignment="1">
      <alignment vertical="center"/>
    </xf>
    <xf numFmtId="2" fontId="0" fillId="3" borderId="23" xfId="0" applyNumberFormat="1" applyFill="1" applyBorder="1" applyAlignment="1">
      <alignment vertical="center"/>
    </xf>
    <xf numFmtId="2" fontId="0" fillId="3" borderId="6" xfId="0" applyNumberFormat="1" applyFill="1" applyBorder="1" applyAlignment="1">
      <alignment vertical="center"/>
    </xf>
    <xf numFmtId="2" fontId="0" fillId="3" borderId="3" xfId="0" applyNumberFormat="1" applyFill="1" applyBorder="1" applyAlignment="1">
      <alignment horizontal="right" vertical="center"/>
    </xf>
    <xf numFmtId="2" fontId="0" fillId="3" borderId="32" xfId="0" applyNumberFormat="1" applyFill="1" applyBorder="1" applyAlignment="1">
      <alignment horizontal="right" vertical="center"/>
    </xf>
    <xf numFmtId="2" fontId="0" fillId="3" borderId="23" xfId="0" applyNumberFormat="1" applyFill="1" applyBorder="1" applyAlignment="1">
      <alignment horizontal="right" vertical="center"/>
    </xf>
    <xf numFmtId="0" fontId="0" fillId="3" borderId="6" xfId="0" applyFill="1" applyBorder="1" applyAlignment="1">
      <alignment vertical="center"/>
    </xf>
    <xf numFmtId="171" fontId="7" fillId="3" borderId="0" xfId="0" applyNumberFormat="1" applyFont="1" applyFill="1" applyBorder="1" applyAlignment="1">
      <alignment horizontal="left" vertical="top" wrapText="1"/>
    </xf>
    <xf numFmtId="2" fontId="0" fillId="3" borderId="0" xfId="0" applyNumberFormat="1" applyFill="1" applyBorder="1" applyAlignment="1">
      <alignment horizontal="right" vertical="center" indent="1"/>
    </xf>
    <xf numFmtId="3" fontId="0" fillId="3" borderId="0" xfId="0" applyNumberFormat="1" applyFill="1" applyBorder="1" applyAlignment="1">
      <alignment horizontal="right" vertical="center" wrapText="1"/>
    </xf>
    <xf numFmtId="171" fontId="0" fillId="3" borderId="0" xfId="0" applyNumberFormat="1" applyFill="1"/>
    <xf numFmtId="0" fontId="0" fillId="3" borderId="15" xfId="0" applyFill="1" applyBorder="1"/>
    <xf numFmtId="0" fontId="14" fillId="3" borderId="0" xfId="0" applyFont="1" applyFill="1" applyAlignment="1">
      <alignment horizontal="left" indent="1"/>
    </xf>
    <xf numFmtId="0" fontId="22" fillId="3" borderId="0" xfId="1" applyFill="1" applyAlignment="1" applyProtection="1">
      <alignment horizontal="left" indent="1"/>
    </xf>
    <xf numFmtId="0" fontId="0" fillId="3" borderId="0" xfId="0" applyFill="1" applyAlignment="1">
      <alignment horizontal="left" indent="1"/>
    </xf>
    <xf numFmtId="0" fontId="10" fillId="3" borderId="12" xfId="2" applyFill="1" applyBorder="1" applyAlignment="1" applyProtection="1">
      <alignment horizontal="left" vertical="center" wrapText="1" indent="1"/>
    </xf>
    <xf numFmtId="0" fontId="0" fillId="3" borderId="0" xfId="0" applyFill="1" applyBorder="1" applyAlignment="1">
      <alignment horizontal="left" indent="1"/>
    </xf>
    <xf numFmtId="0" fontId="0" fillId="3" borderId="0" xfId="0" applyFill="1" applyBorder="1" applyAlignment="1"/>
    <xf numFmtId="0" fontId="22" fillId="3" borderId="0" xfId="1" applyFill="1" applyBorder="1" applyAlignment="1" applyProtection="1">
      <alignment horizontal="left" wrapText="1" indent="1"/>
    </xf>
    <xf numFmtId="2" fontId="0" fillId="3" borderId="0" xfId="0" applyNumberFormat="1" applyFill="1"/>
    <xf numFmtId="0" fontId="22" fillId="3" borderId="0" xfId="1" applyFill="1" applyAlignment="1" applyProtection="1">
      <alignment horizontal="left"/>
    </xf>
    <xf numFmtId="0" fontId="0" fillId="3" borderId="11" xfId="0" applyFill="1" applyBorder="1" applyAlignment="1">
      <alignment horizontal="left" vertical="center" wrapText="1" indent="1"/>
    </xf>
    <xf numFmtId="0" fontId="22" fillId="3" borderId="0" xfId="1" applyFill="1" applyBorder="1" applyAlignment="1" applyProtection="1">
      <alignment horizontal="left" wrapText="1"/>
    </xf>
    <xf numFmtId="0" fontId="0" fillId="3" borderId="0" xfId="0" applyFill="1" applyAlignment="1"/>
    <xf numFmtId="0" fontId="0" fillId="3" borderId="0" xfId="0" applyFill="1" applyBorder="1" applyAlignment="1">
      <alignment horizontal="left" wrapText="1"/>
    </xf>
    <xf numFmtId="0" fontId="0" fillId="2" borderId="48" xfId="0" applyFill="1" applyBorder="1" applyAlignment="1">
      <alignment vertical="center" wrapText="1"/>
    </xf>
    <xf numFmtId="0" fontId="0" fillId="3" borderId="33" xfId="0" applyFill="1" applyBorder="1" applyAlignment="1">
      <alignment horizontal="left" vertical="center" wrapText="1" indent="1"/>
    </xf>
    <xf numFmtId="0" fontId="0" fillId="3" borderId="40" xfId="0" applyFill="1" applyBorder="1" applyAlignment="1">
      <alignment horizontal="left" vertical="center" wrapText="1" indent="1"/>
    </xf>
    <xf numFmtId="0" fontId="0" fillId="3" borderId="43" xfId="0" applyFill="1" applyBorder="1" applyAlignment="1">
      <alignment vertical="center" wrapText="1"/>
    </xf>
    <xf numFmtId="0" fontId="0" fillId="3" borderId="47" xfId="0" applyFill="1" applyBorder="1" applyAlignment="1">
      <alignment vertical="center"/>
    </xf>
    <xf numFmtId="171" fontId="7" fillId="3" borderId="42" xfId="0" applyNumberFormat="1" applyFont="1" applyFill="1" applyBorder="1" applyAlignment="1">
      <alignment vertical="top" wrapText="1"/>
    </xf>
    <xf numFmtId="4" fontId="0" fillId="3" borderId="40" xfId="0" applyNumberFormat="1" applyFill="1" applyBorder="1" applyAlignment="1">
      <alignment horizontal="right" vertical="center"/>
    </xf>
    <xf numFmtId="0" fontId="0" fillId="3" borderId="41" xfId="0" applyFill="1" applyBorder="1" applyAlignment="1">
      <alignment horizontal="right" vertical="center"/>
    </xf>
    <xf numFmtId="4" fontId="0" fillId="3" borderId="47" xfId="0" applyNumberFormat="1" applyFill="1" applyBorder="1" applyAlignment="1">
      <alignment horizontal="right" vertical="center"/>
    </xf>
    <xf numFmtId="0" fontId="0" fillId="3" borderId="43" xfId="0" applyFill="1" applyBorder="1" applyAlignment="1">
      <alignment horizontal="right" vertical="center"/>
    </xf>
    <xf numFmtId="0" fontId="0" fillId="3" borderId="42" xfId="0" applyFill="1" applyBorder="1" applyAlignment="1">
      <alignment horizontal="right" vertical="center"/>
    </xf>
    <xf numFmtId="4" fontId="0" fillId="3" borderId="41" xfId="0" applyNumberFormat="1" applyFill="1" applyBorder="1" applyAlignment="1">
      <alignment horizontal="right" vertical="center"/>
    </xf>
    <xf numFmtId="0" fontId="0" fillId="3" borderId="19" xfId="0" applyFill="1" applyBorder="1" applyAlignment="1">
      <alignment vertical="center" wrapText="1"/>
    </xf>
    <xf numFmtId="0" fontId="0" fillId="3" borderId="18" xfId="0" applyFill="1" applyBorder="1" applyAlignment="1">
      <alignment horizontal="right" vertical="center"/>
    </xf>
    <xf numFmtId="171" fontId="7" fillId="3" borderId="26" xfId="0" applyNumberFormat="1" applyFont="1" applyFill="1" applyBorder="1" applyAlignment="1">
      <alignment vertical="top" wrapText="1"/>
    </xf>
    <xf numFmtId="168" fontId="0" fillId="3" borderId="33" xfId="0" applyNumberFormat="1" applyFill="1" applyBorder="1" applyAlignment="1">
      <alignment horizontal="right" vertical="center"/>
    </xf>
    <xf numFmtId="168" fontId="0" fillId="3" borderId="9" xfId="0" applyNumberFormat="1" applyFill="1" applyBorder="1" applyAlignment="1">
      <alignment horizontal="right" vertical="center"/>
    </xf>
    <xf numFmtId="168" fontId="0" fillId="3" borderId="18" xfId="0" applyNumberFormat="1" applyFill="1" applyBorder="1" applyAlignment="1">
      <alignment horizontal="right" vertical="center"/>
    </xf>
    <xf numFmtId="168" fontId="0" fillId="3" borderId="19" xfId="0" applyNumberFormat="1" applyFill="1" applyBorder="1" applyAlignment="1">
      <alignment horizontal="right" vertical="center"/>
    </xf>
    <xf numFmtId="168" fontId="0" fillId="3" borderId="26" xfId="0" applyNumberFormat="1" applyFill="1" applyBorder="1" applyAlignment="1">
      <alignment horizontal="right" vertical="center"/>
    </xf>
    <xf numFmtId="0" fontId="0" fillId="3" borderId="26" xfId="0" applyFill="1" applyBorder="1" applyAlignment="1">
      <alignment horizontal="right" vertical="center"/>
    </xf>
    <xf numFmtId="3" fontId="0" fillId="3" borderId="9" xfId="0" applyNumberFormat="1" applyFill="1" applyBorder="1" applyAlignment="1">
      <alignment horizontal="right" vertical="center"/>
    </xf>
    <xf numFmtId="3" fontId="0" fillId="3" borderId="18" xfId="0" applyNumberFormat="1" applyFill="1" applyBorder="1" applyAlignment="1">
      <alignment horizontal="right" vertical="center"/>
    </xf>
    <xf numFmtId="3" fontId="0" fillId="3" borderId="19" xfId="0" applyNumberFormat="1" applyFill="1" applyBorder="1" applyAlignment="1">
      <alignment horizontal="right" vertical="center"/>
    </xf>
    <xf numFmtId="3" fontId="0" fillId="3" borderId="26" xfId="0" applyNumberFormat="1" applyFill="1" applyBorder="1" applyAlignment="1">
      <alignment horizontal="right" vertical="center"/>
    </xf>
    <xf numFmtId="167" fontId="0" fillId="3" borderId="18" xfId="0" applyNumberFormat="1" applyFill="1" applyBorder="1" applyAlignment="1">
      <alignment vertical="center"/>
    </xf>
    <xf numFmtId="2" fontId="0" fillId="3" borderId="33" xfId="0" applyNumberFormat="1" applyFill="1" applyBorder="1" applyAlignment="1">
      <alignment horizontal="right" vertical="center"/>
    </xf>
    <xf numFmtId="2" fontId="0" fillId="3" borderId="9" xfId="0" applyNumberFormat="1" applyFill="1" applyBorder="1" applyAlignment="1">
      <alignment horizontal="right" vertical="center"/>
    </xf>
    <xf numFmtId="2" fontId="0" fillId="3" borderId="18" xfId="0" applyNumberFormat="1" applyFill="1" applyBorder="1" applyAlignment="1">
      <alignment horizontal="right" vertical="center"/>
    </xf>
    <xf numFmtId="2" fontId="0" fillId="3" borderId="19" xfId="0" applyNumberFormat="1" applyFill="1" applyBorder="1" applyAlignment="1">
      <alignment horizontal="right" vertical="center"/>
    </xf>
    <xf numFmtId="2" fontId="0" fillId="3" borderId="26" xfId="0" applyNumberFormat="1" applyFill="1" applyBorder="1" applyAlignment="1">
      <alignment horizontal="right" vertical="center"/>
    </xf>
    <xf numFmtId="0" fontId="0" fillId="3" borderId="37" xfId="0" applyFill="1" applyBorder="1" applyAlignment="1">
      <alignment horizontal="left" vertical="center" wrapText="1" indent="1"/>
    </xf>
    <xf numFmtId="0" fontId="0" fillId="3" borderId="38" xfId="0" applyFill="1" applyBorder="1" applyAlignment="1">
      <alignment vertical="center" wrapText="1"/>
    </xf>
    <xf numFmtId="0" fontId="0" fillId="3" borderId="35" xfId="0" applyFill="1" applyBorder="1" applyAlignment="1">
      <alignment horizontal="right" vertical="center"/>
    </xf>
    <xf numFmtId="171" fontId="7" fillId="3" borderId="39" xfId="0" applyNumberFormat="1" applyFont="1" applyFill="1" applyBorder="1" applyAlignment="1">
      <alignment vertical="top" wrapText="1"/>
    </xf>
    <xf numFmtId="2" fontId="0" fillId="3" borderId="37" xfId="0" applyNumberFormat="1" applyFill="1" applyBorder="1" applyAlignment="1">
      <alignment horizontal="right" vertical="center"/>
    </xf>
    <xf numFmtId="2" fontId="0" fillId="3" borderId="36" xfId="0" applyNumberFormat="1" applyFill="1" applyBorder="1" applyAlignment="1">
      <alignment horizontal="right" vertical="center"/>
    </xf>
    <xf numFmtId="2" fontId="0" fillId="3" borderId="35" xfId="0" applyNumberFormat="1" applyFill="1" applyBorder="1" applyAlignment="1">
      <alignment horizontal="right" vertical="center"/>
    </xf>
    <xf numFmtId="2" fontId="0" fillId="3" borderId="38" xfId="0" applyNumberFormat="1" applyFill="1" applyBorder="1" applyAlignment="1">
      <alignment horizontal="right" vertical="center"/>
    </xf>
    <xf numFmtId="2" fontId="0" fillId="3" borderId="39" xfId="0" applyNumberFormat="1" applyFill="1" applyBorder="1" applyAlignment="1">
      <alignment horizontal="right" vertical="center"/>
    </xf>
    <xf numFmtId="0" fontId="0" fillId="3" borderId="39" xfId="0" applyFill="1" applyBorder="1" applyAlignment="1">
      <alignment horizontal="right" vertical="center"/>
    </xf>
    <xf numFmtId="168" fontId="0" fillId="4" borderId="33" xfId="0" applyNumberFormat="1" applyFill="1" applyBorder="1" applyAlignment="1">
      <alignment horizontal="right" vertical="center"/>
    </xf>
    <xf numFmtId="168" fontId="0" fillId="4" borderId="9" xfId="0" applyNumberFormat="1" applyFill="1" applyBorder="1" applyAlignment="1">
      <alignment horizontal="right" vertical="center"/>
    </xf>
    <xf numFmtId="168" fontId="0" fillId="4" borderId="18" xfId="0" applyNumberFormat="1" applyFill="1" applyBorder="1" applyAlignment="1">
      <alignment horizontal="right" vertical="center"/>
    </xf>
    <xf numFmtId="168" fontId="0" fillId="4" borderId="19" xfId="0" applyNumberFormat="1" applyFill="1" applyBorder="1" applyAlignment="1">
      <alignment horizontal="right" vertical="center"/>
    </xf>
    <xf numFmtId="168" fontId="0" fillId="4" borderId="26" xfId="0" applyNumberFormat="1" applyFill="1" applyBorder="1" applyAlignment="1">
      <alignment horizontal="right" vertical="center"/>
    </xf>
    <xf numFmtId="0" fontId="0" fillId="4" borderId="26" xfId="0" applyFill="1" applyBorder="1" applyAlignment="1">
      <alignment horizontal="right" vertical="center"/>
    </xf>
    <xf numFmtId="0" fontId="5" fillId="3" borderId="0" xfId="0" applyFont="1" applyFill="1" applyAlignment="1">
      <alignment horizontal="left"/>
    </xf>
    <xf numFmtId="170" fontId="5" fillId="2" borderId="0" xfId="0" applyNumberFormat="1" applyFont="1" applyFill="1" applyAlignment="1">
      <alignment horizontal="left"/>
    </xf>
    <xf numFmtId="0" fontId="0" fillId="3" borderId="0" xfId="0" applyFill="1" applyAlignment="1">
      <alignment horizontal="left" vertical="top" wrapText="1"/>
    </xf>
    <xf numFmtId="0" fontId="22" fillId="3" borderId="0" xfId="1" applyFill="1" applyAlignment="1" applyProtection="1">
      <alignment horizontal="left" wrapText="1"/>
    </xf>
    <xf numFmtId="0" fontId="0" fillId="3" borderId="0" xfId="0" applyFill="1" applyAlignment="1">
      <alignment horizontal="left" wrapText="1"/>
    </xf>
    <xf numFmtId="0" fontId="0" fillId="3" borderId="0" xfId="0" applyFill="1" applyAlignment="1">
      <alignment horizontal="center"/>
    </xf>
    <xf numFmtId="0" fontId="0" fillId="3" borderId="0" xfId="0" applyFill="1" applyAlignment="1">
      <alignment horizontal="center" vertical="top" wrapText="1"/>
    </xf>
    <xf numFmtId="0" fontId="0" fillId="3" borderId="0" xfId="0" applyFill="1" applyAlignment="1">
      <alignment horizontal="center" wrapText="1"/>
    </xf>
    <xf numFmtId="0" fontId="5" fillId="3" borderId="0" xfId="0" applyFont="1" applyFill="1" applyAlignment="1">
      <alignment horizontal="left"/>
    </xf>
    <xf numFmtId="0" fontId="0" fillId="3" borderId="0" xfId="0" applyFill="1" applyAlignment="1">
      <alignment horizontal="left" wrapText="1" indent="1"/>
    </xf>
    <xf numFmtId="0" fontId="22" fillId="3" borderId="0" xfId="1" applyFill="1" applyAlignment="1" applyProtection="1">
      <alignment horizontal="left"/>
    </xf>
    <xf numFmtId="0" fontId="22" fillId="3" borderId="0" xfId="1" applyFill="1" applyBorder="1" applyAlignment="1" applyProtection="1">
      <alignment horizontal="left" wrapText="1"/>
    </xf>
    <xf numFmtId="170" fontId="5" fillId="3" borderId="0" xfId="0" applyNumberFormat="1" applyFont="1" applyFill="1" applyAlignment="1">
      <alignment horizontal="left"/>
    </xf>
    <xf numFmtId="0" fontId="0" fillId="3" borderId="0" xfId="0" applyFill="1" applyAlignment="1"/>
    <xf numFmtId="0" fontId="0" fillId="3" borderId="0" xfId="0" applyFill="1" applyAlignment="1">
      <alignment horizontal="left"/>
    </xf>
    <xf numFmtId="0" fontId="0" fillId="3" borderId="0" xfId="0" applyFill="1" applyAlignment="1">
      <alignment vertical="top" wrapText="1"/>
    </xf>
    <xf numFmtId="0" fontId="0" fillId="3" borderId="0" xfId="0" applyFill="1" applyAlignment="1">
      <alignment wrapText="1"/>
    </xf>
    <xf numFmtId="0" fontId="0" fillId="2" borderId="0" xfId="0" applyFill="1" applyBorder="1" applyAlignment="1">
      <alignment horizontal="center" vertical="center"/>
    </xf>
    <xf numFmtId="0" fontId="0" fillId="2" borderId="25" xfId="0" applyFill="1" applyBorder="1" applyAlignment="1">
      <alignment horizontal="center" vertical="center"/>
    </xf>
    <xf numFmtId="0" fontId="0" fillId="2" borderId="48" xfId="0" applyFill="1" applyBorder="1" applyAlignment="1">
      <alignment horizontal="left" vertical="center" wrapText="1" indent="1"/>
    </xf>
    <xf numFmtId="0" fontId="0" fillId="2" borderId="0" xfId="0" applyFill="1" applyBorder="1" applyAlignment="1">
      <alignment horizontal="left" vertical="center" wrapText="1" indent="1"/>
    </xf>
    <xf numFmtId="0" fontId="0" fillId="2" borderId="25" xfId="0" applyFill="1" applyBorder="1" applyAlignment="1">
      <alignment horizontal="left" vertical="center" wrapText="1" indent="1"/>
    </xf>
    <xf numFmtId="0" fontId="0" fillId="2" borderId="8" xfId="0" applyFill="1" applyBorder="1" applyAlignment="1">
      <alignment horizontal="left" vertical="center" wrapText="1"/>
    </xf>
    <xf numFmtId="0" fontId="0" fillId="2" borderId="0" xfId="0" applyFill="1" applyBorder="1" applyAlignment="1">
      <alignment horizontal="left" vertical="center" wrapText="1"/>
    </xf>
    <xf numFmtId="0" fontId="0" fillId="2" borderId="16" xfId="0" applyFill="1" applyBorder="1" applyAlignment="1">
      <alignment horizontal="left" vertical="center" wrapText="1"/>
    </xf>
    <xf numFmtId="0" fontId="0" fillId="2" borderId="25" xfId="0" applyFill="1" applyBorder="1" applyAlignment="1">
      <alignment horizontal="left" vertical="center" wrapText="1"/>
    </xf>
    <xf numFmtId="0" fontId="15" fillId="2" borderId="24" xfId="0" applyFont="1" applyFill="1" applyBorder="1" applyAlignment="1">
      <alignment horizontal="left" vertical="center" wrapText="1" indent="1"/>
    </xf>
    <xf numFmtId="0" fontId="15" fillId="2" borderId="16" xfId="0" applyFont="1" applyFill="1" applyBorder="1" applyAlignment="1">
      <alignment horizontal="left" vertical="center" wrapText="1" indent="1"/>
    </xf>
    <xf numFmtId="0" fontId="0" fillId="2" borderId="24" xfId="0" applyFill="1" applyBorder="1" applyAlignment="1">
      <alignment horizontal="center" vertical="center" wrapText="1"/>
    </xf>
    <xf numFmtId="0" fontId="0" fillId="2" borderId="16" xfId="0" applyFill="1" applyBorder="1" applyAlignment="1">
      <alignment horizontal="center" vertical="center" wrapText="1"/>
    </xf>
    <xf numFmtId="0" fontId="15" fillId="2" borderId="0" xfId="0" applyFont="1" applyFill="1" applyBorder="1" applyAlignment="1">
      <alignment horizontal="left" vertical="center" wrapText="1" indent="1"/>
    </xf>
    <xf numFmtId="0" fontId="0" fillId="2" borderId="24" xfId="0" applyFill="1" applyBorder="1" applyAlignment="1">
      <alignment horizontal="center" vertical="center"/>
    </xf>
    <xf numFmtId="0" fontId="0" fillId="2" borderId="8" xfId="0" applyFill="1" applyBorder="1" applyAlignment="1">
      <alignment horizontal="center" vertical="center"/>
    </xf>
    <xf numFmtId="0" fontId="0" fillId="2" borderId="16" xfId="0" applyFill="1" applyBorder="1" applyAlignment="1">
      <alignment horizontal="center" vertical="center"/>
    </xf>
    <xf numFmtId="0" fontId="0" fillId="2" borderId="8" xfId="0" applyFont="1" applyFill="1" applyBorder="1" applyAlignment="1">
      <alignment horizontal="left" vertical="center" wrapText="1" indent="1"/>
    </xf>
    <xf numFmtId="0" fontId="0" fillId="2" borderId="16" xfId="0" applyFont="1" applyFill="1" applyBorder="1" applyAlignment="1">
      <alignment horizontal="left" vertical="center" wrapText="1" indent="1"/>
    </xf>
    <xf numFmtId="0" fontId="0" fillId="2" borderId="0" xfId="0" applyFont="1" applyFill="1" applyBorder="1" applyAlignment="1">
      <alignment horizontal="left" wrapText="1" indent="1"/>
    </xf>
    <xf numFmtId="0" fontId="0" fillId="2" borderId="25" xfId="0" applyFont="1" applyFill="1" applyBorder="1" applyAlignment="1">
      <alignment horizontal="left" wrapText="1" indent="1"/>
    </xf>
    <xf numFmtId="0" fontId="15" fillId="2" borderId="24" xfId="0" applyFont="1" applyFill="1" applyBorder="1" applyAlignment="1">
      <alignment horizontal="left" vertical="center" indent="1"/>
    </xf>
    <xf numFmtId="0" fontId="15" fillId="2" borderId="0" xfId="0" applyFont="1" applyFill="1" applyBorder="1" applyAlignment="1">
      <alignment horizontal="left" vertical="center" indent="1"/>
    </xf>
    <xf numFmtId="0" fontId="0" fillId="2" borderId="8" xfId="0" applyFill="1" applyBorder="1" applyAlignment="1">
      <alignment horizontal="left" vertical="center" wrapText="1" indent="1"/>
    </xf>
    <xf numFmtId="0" fontId="0" fillId="2" borderId="0" xfId="0" applyFont="1" applyFill="1" applyBorder="1" applyAlignment="1">
      <alignment horizontal="left" vertical="center" wrapText="1" indent="1"/>
    </xf>
    <xf numFmtId="0" fontId="0" fillId="2" borderId="48" xfId="0" applyFill="1" applyBorder="1" applyAlignment="1">
      <alignment horizontal="center" vertical="center"/>
    </xf>
    <xf numFmtId="0" fontId="0" fillId="2" borderId="48" xfId="0" applyFill="1" applyBorder="1" applyAlignment="1">
      <alignment horizontal="left" vertical="center" wrapText="1"/>
    </xf>
    <xf numFmtId="0" fontId="15" fillId="2" borderId="16" xfId="0" applyFont="1" applyFill="1" applyBorder="1" applyAlignment="1">
      <alignment horizontal="left" vertical="center" indent="1"/>
    </xf>
    <xf numFmtId="0" fontId="0" fillId="2" borderId="16" xfId="0" applyFill="1" applyBorder="1" applyAlignment="1">
      <alignment horizontal="left" vertical="center" wrapText="1" indent="1"/>
    </xf>
    <xf numFmtId="0" fontId="0" fillId="2" borderId="9" xfId="0" applyFill="1" applyBorder="1" applyAlignment="1">
      <alignment horizontal="center" vertical="center"/>
    </xf>
    <xf numFmtId="0" fontId="0" fillId="2" borderId="9" xfId="0" applyFill="1" applyBorder="1" applyAlignment="1">
      <alignment horizontal="left" vertical="center" wrapText="1" indent="1"/>
    </xf>
    <xf numFmtId="0" fontId="0" fillId="2" borderId="9" xfId="0" applyFill="1" applyBorder="1" applyAlignment="1">
      <alignment horizontal="left" vertical="center" wrapText="1"/>
    </xf>
    <xf numFmtId="0" fontId="0" fillId="3" borderId="33" xfId="0" applyFill="1" applyBorder="1" applyAlignment="1">
      <alignment horizontal="left" vertical="center" wrapText="1" indent="1"/>
    </xf>
    <xf numFmtId="0" fontId="0" fillId="3" borderId="19" xfId="0" applyFill="1" applyBorder="1" applyAlignment="1">
      <alignment horizontal="left" vertical="center" wrapText="1" indent="1"/>
    </xf>
    <xf numFmtId="0" fontId="18" fillId="3" borderId="37" xfId="0" applyFont="1" applyFill="1" applyBorder="1" applyAlignment="1">
      <alignment horizontal="center" vertical="center" wrapText="1"/>
    </xf>
    <xf numFmtId="0" fontId="18" fillId="3" borderId="38" xfId="0" applyFont="1" applyFill="1" applyBorder="1" applyAlignment="1">
      <alignment horizontal="center" vertical="center" wrapText="1"/>
    </xf>
    <xf numFmtId="0" fontId="0" fillId="3" borderId="9" xfId="0" applyFill="1" applyBorder="1" applyAlignment="1">
      <alignment horizontal="left" vertical="center" wrapText="1" indent="1"/>
    </xf>
    <xf numFmtId="0" fontId="0" fillId="3" borderId="18" xfId="0" applyFill="1" applyBorder="1" applyAlignment="1">
      <alignment horizontal="left" vertical="center" wrapText="1" indent="1"/>
    </xf>
    <xf numFmtId="0" fontId="18" fillId="3" borderId="35"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38" xfId="0" applyFont="1" applyFill="1" applyBorder="1" applyAlignment="1">
      <alignment horizontal="center" vertical="center" wrapText="1"/>
    </xf>
    <xf numFmtId="0" fontId="0" fillId="3" borderId="31"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1" xfId="0" applyFill="1" applyBorder="1" applyAlignment="1">
      <alignment horizontal="center" vertical="center" wrapText="1"/>
    </xf>
    <xf numFmtId="0" fontId="18" fillId="3" borderId="36" xfId="0" applyFont="1" applyFill="1" applyBorder="1" applyAlignment="1">
      <alignment horizontal="center" vertical="center" wrapText="1"/>
    </xf>
    <xf numFmtId="0" fontId="0" fillId="3" borderId="18" xfId="0" applyFill="1" applyBorder="1" applyAlignment="1">
      <alignment vertical="center" wrapText="1"/>
    </xf>
    <xf numFmtId="0" fontId="0" fillId="3" borderId="26" xfId="0" applyFill="1" applyBorder="1" applyAlignment="1">
      <alignment vertical="center" wrapText="1"/>
    </xf>
    <xf numFmtId="0" fontId="18" fillId="3" borderId="39" xfId="0" applyFont="1" applyFill="1" applyBorder="1" applyAlignment="1">
      <alignment horizontal="center" vertical="center" wrapText="1"/>
    </xf>
    <xf numFmtId="0" fontId="0" fillId="3" borderId="26" xfId="0" applyFill="1" applyBorder="1" applyAlignment="1">
      <alignment horizontal="left" vertical="center" wrapText="1" inden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41" xfId="0" applyFill="1" applyBorder="1"/>
    <xf numFmtId="0" fontId="0" fillId="3" borderId="43" xfId="0" applyFill="1" applyBorder="1"/>
    <xf numFmtId="0" fontId="0" fillId="3" borderId="18"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7" xfId="0" applyFill="1" applyBorder="1" applyAlignment="1">
      <alignment horizontal="left" vertical="top" wrapText="1" indent="1"/>
    </xf>
    <xf numFmtId="0" fontId="0" fillId="3" borderId="13" xfId="0" applyFill="1" applyBorder="1" applyAlignment="1">
      <alignment horizontal="left" vertical="top" wrapText="1" indent="1"/>
    </xf>
    <xf numFmtId="0" fontId="0" fillId="3" borderId="2" xfId="0" applyFill="1" applyBorder="1" applyAlignment="1">
      <alignment horizontal="left" vertical="top" wrapText="1" indent="1"/>
    </xf>
    <xf numFmtId="0" fontId="0" fillId="3" borderId="15" xfId="0" applyFill="1" applyBorder="1" applyAlignment="1">
      <alignment horizontal="left" vertical="top" wrapText="1" indent="1"/>
    </xf>
    <xf numFmtId="0" fontId="0" fillId="3" borderId="27" xfId="0" applyFill="1" applyBorder="1" applyAlignment="1">
      <alignment horizontal="left" vertical="top" wrapText="1" indent="1"/>
    </xf>
    <xf numFmtId="0" fontId="0" fillId="3" borderId="17" xfId="0" applyFill="1" applyBorder="1" applyAlignment="1">
      <alignment horizontal="left" vertical="top" wrapText="1" indent="1"/>
    </xf>
    <xf numFmtId="0" fontId="0" fillId="3" borderId="1" xfId="0" applyFill="1" applyBorder="1" applyAlignment="1">
      <alignment horizontal="left" vertical="center" wrapText="1" indent="1"/>
    </xf>
    <xf numFmtId="0" fontId="0" fillId="3" borderId="30" xfId="0" applyFill="1" applyBorder="1" applyAlignment="1">
      <alignment horizontal="left" vertical="center" wrapText="1" indent="1"/>
    </xf>
    <xf numFmtId="0" fontId="0" fillId="3" borderId="27" xfId="0" applyFill="1" applyBorder="1" applyAlignment="1">
      <alignment horizontal="left" vertical="center" wrapText="1" indent="1"/>
    </xf>
    <xf numFmtId="0" fontId="0" fillId="3" borderId="17" xfId="0" applyFill="1" applyBorder="1" applyAlignment="1">
      <alignment horizontal="left" vertical="center" wrapText="1" indent="1"/>
    </xf>
    <xf numFmtId="0" fontId="0" fillId="3" borderId="7" xfId="0" applyFill="1" applyBorder="1" applyAlignment="1">
      <alignment horizontal="left" vertical="top" indent="1"/>
    </xf>
    <xf numFmtId="0" fontId="0" fillId="3" borderId="13" xfId="0" applyFill="1" applyBorder="1" applyAlignment="1">
      <alignment horizontal="left" vertical="top" indent="1"/>
    </xf>
    <xf numFmtId="0" fontId="0" fillId="3" borderId="2" xfId="0" applyFill="1" applyBorder="1" applyAlignment="1">
      <alignment horizontal="left" vertical="top" indent="1"/>
    </xf>
    <xf numFmtId="0" fontId="0" fillId="3" borderId="15" xfId="0" applyFill="1" applyBorder="1" applyAlignment="1">
      <alignment horizontal="left" vertical="top" indent="1"/>
    </xf>
    <xf numFmtId="0" fontId="0" fillId="3" borderId="27" xfId="0" applyFill="1" applyBorder="1" applyAlignment="1">
      <alignment horizontal="left" vertical="top" indent="1"/>
    </xf>
    <xf numFmtId="0" fontId="0" fillId="3" borderId="17" xfId="0" applyFill="1" applyBorder="1" applyAlignment="1">
      <alignment horizontal="left" vertical="top" indent="1"/>
    </xf>
    <xf numFmtId="171" fontId="7" fillId="3" borderId="4" xfId="0" applyNumberFormat="1" applyFont="1" applyFill="1" applyBorder="1" applyAlignment="1">
      <alignment horizontal="left" vertical="top" wrapText="1"/>
    </xf>
    <xf numFmtId="171" fontId="7" fillId="3" borderId="5" xfId="0" applyNumberFormat="1" applyFont="1" applyFill="1" applyBorder="1" applyAlignment="1">
      <alignment horizontal="left" vertical="top" wrapText="1"/>
    </xf>
    <xf numFmtId="171" fontId="7" fillId="3" borderId="6" xfId="0" applyNumberFormat="1" applyFont="1" applyFill="1" applyBorder="1" applyAlignment="1">
      <alignment horizontal="left" vertical="top" wrapText="1"/>
    </xf>
    <xf numFmtId="171" fontId="7" fillId="3" borderId="28" xfId="0" applyNumberFormat="1" applyFont="1" applyFill="1" applyBorder="1" applyAlignment="1">
      <alignment horizontal="left" vertical="top" wrapText="1"/>
    </xf>
    <xf numFmtId="0" fontId="0" fillId="3" borderId="37" xfId="0" applyFill="1" applyBorder="1" applyAlignment="1">
      <alignment horizontal="left" vertical="center" wrapText="1"/>
    </xf>
    <xf numFmtId="0" fontId="0" fillId="3" borderId="38" xfId="0" applyFill="1" applyBorder="1" applyAlignment="1">
      <alignment horizontal="left" vertical="center" wrapText="1"/>
    </xf>
    <xf numFmtId="0" fontId="18" fillId="0" borderId="39"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0" fillId="3" borderId="13" xfId="0" applyFill="1" applyBorder="1" applyAlignment="1">
      <alignment horizontal="center" vertical="top"/>
    </xf>
    <xf numFmtId="0" fontId="0" fillId="3" borderId="15" xfId="0" applyFill="1" applyBorder="1" applyAlignment="1">
      <alignment horizontal="center" vertical="top"/>
    </xf>
    <xf numFmtId="0" fontId="0" fillId="3" borderId="17" xfId="0" applyFill="1" applyBorder="1" applyAlignment="1">
      <alignment horizontal="center" vertical="top"/>
    </xf>
    <xf numFmtId="0" fontId="0" fillId="3" borderId="3" xfId="0" applyFill="1" applyBorder="1" applyAlignment="1">
      <alignment horizontal="left" vertical="center" wrapText="1" indent="1"/>
    </xf>
    <xf numFmtId="0" fontId="0" fillId="3" borderId="23" xfId="0" applyFill="1" applyBorder="1" applyAlignment="1">
      <alignment horizontal="left" vertical="center" wrapText="1" indent="1"/>
    </xf>
    <xf numFmtId="0" fontId="0" fillId="3" borderId="2" xfId="0" applyFill="1" applyBorder="1" applyAlignment="1">
      <alignment horizontal="left" vertical="center" wrapText="1" indent="1"/>
    </xf>
    <xf numFmtId="0" fontId="0" fillId="3" borderId="15" xfId="0" applyFill="1" applyBorder="1" applyAlignment="1">
      <alignment horizontal="left" vertical="center" wrapText="1" indent="1"/>
    </xf>
    <xf numFmtId="0" fontId="0" fillId="3" borderId="0" xfId="0" applyFill="1" applyAlignment="1">
      <alignment horizontal="left" wrapText="1" indent="1"/>
    </xf>
    <xf numFmtId="0" fontId="22" fillId="3" borderId="0" xfId="1" applyFill="1" applyAlignment="1" applyProtection="1">
      <alignment horizontal="left"/>
    </xf>
    <xf numFmtId="0" fontId="22" fillId="3" borderId="0" xfId="1" applyFill="1" applyAlignment="1" applyProtection="1">
      <alignment horizontal="left" wrapText="1"/>
    </xf>
    <xf numFmtId="0" fontId="0" fillId="3" borderId="0" xfId="0" applyFill="1" applyAlignment="1">
      <alignment horizontal="center"/>
    </xf>
    <xf numFmtId="0" fontId="22" fillId="3" borderId="0" xfId="1" applyFill="1" applyBorder="1" applyAlignment="1" applyProtection="1">
      <alignment horizontal="center" vertical="top" wrapText="1"/>
    </xf>
    <xf numFmtId="0" fontId="0" fillId="3" borderId="0" xfId="0" applyFill="1" applyAlignment="1">
      <alignment horizontal="center" wrapText="1"/>
    </xf>
    <xf numFmtId="0" fontId="0" fillId="3" borderId="0" xfId="0" applyFill="1" applyAlignment="1">
      <alignment horizontal="left" wrapText="1"/>
    </xf>
    <xf numFmtId="0" fontId="0" fillId="3" borderId="0" xfId="0" quotePrefix="1" applyFill="1" applyAlignment="1">
      <alignment horizontal="center"/>
    </xf>
    <xf numFmtId="0" fontId="5" fillId="3" borderId="0" xfId="0" applyFont="1" applyFill="1" applyAlignment="1">
      <alignment horizontal="left"/>
    </xf>
    <xf numFmtId="170" fontId="5" fillId="3" borderId="0" xfId="0" applyNumberFormat="1" applyFont="1" applyFill="1" applyAlignment="1">
      <alignment horizontal="left" wrapText="1"/>
    </xf>
    <xf numFmtId="0" fontId="0" fillId="3" borderId="25" xfId="0" applyFill="1" applyBorder="1" applyAlignment="1">
      <alignment horizontal="center"/>
    </xf>
    <xf numFmtId="0" fontId="0" fillId="3" borderId="46" xfId="0" applyFill="1" applyBorder="1" applyAlignment="1">
      <alignment horizontal="center" vertical="center" wrapText="1"/>
    </xf>
    <xf numFmtId="0" fontId="0" fillId="3" borderId="10" xfId="0" applyFill="1" applyBorder="1" applyAlignment="1">
      <alignment horizontal="center" vertical="center" wrapText="1"/>
    </xf>
    <xf numFmtId="0" fontId="5" fillId="3" borderId="16" xfId="0" applyFont="1" applyFill="1" applyBorder="1" applyAlignment="1">
      <alignment horizontal="right"/>
    </xf>
    <xf numFmtId="0" fontId="0" fillId="3" borderId="0" xfId="0" applyFill="1" applyBorder="1" applyAlignment="1">
      <alignment horizontal="left" vertical="top" wrapText="1"/>
    </xf>
    <xf numFmtId="0" fontId="5" fillId="3" borderId="16" xfId="0" applyFont="1" applyFill="1" applyBorder="1" applyAlignment="1">
      <alignment horizontal="center"/>
    </xf>
    <xf numFmtId="0" fontId="0" fillId="3" borderId="0" xfId="0" applyFill="1" applyBorder="1" applyAlignment="1">
      <alignment horizontal="center"/>
    </xf>
    <xf numFmtId="0" fontId="0" fillId="3" borderId="0" xfId="0" quotePrefix="1" applyFill="1" applyAlignment="1">
      <alignment horizontal="left" wrapText="1" indent="43"/>
    </xf>
    <xf numFmtId="0" fontId="0" fillId="3" borderId="0" xfId="0" applyFill="1" applyAlignment="1">
      <alignment horizontal="left" wrapText="1" indent="43"/>
    </xf>
    <xf numFmtId="165" fontId="0" fillId="3" borderId="31" xfId="0" applyNumberFormat="1" applyFill="1" applyBorder="1" applyAlignment="1">
      <alignment horizontal="right" vertical="center" wrapText="1" indent="1"/>
    </xf>
    <xf numFmtId="165" fontId="0" fillId="3" borderId="12" xfId="0" applyNumberFormat="1" applyFill="1" applyBorder="1" applyAlignment="1">
      <alignment horizontal="right" vertical="center" wrapText="1" indent="1"/>
    </xf>
    <xf numFmtId="171" fontId="7" fillId="3" borderId="30" xfId="0" applyNumberFormat="1" applyFont="1" applyFill="1" applyBorder="1" applyAlignment="1">
      <alignment horizontal="left" vertical="top" wrapText="1"/>
    </xf>
    <xf numFmtId="171" fontId="7" fillId="3" borderId="17" xfId="0" applyNumberFormat="1" applyFont="1" applyFill="1" applyBorder="1" applyAlignment="1">
      <alignment horizontal="left" vertical="top" wrapText="1"/>
    </xf>
    <xf numFmtId="166" fontId="0" fillId="3" borderId="11" xfId="0" applyNumberFormat="1" applyFill="1" applyBorder="1" applyAlignment="1">
      <alignment horizontal="right" vertical="center" wrapText="1" indent="1"/>
    </xf>
    <xf numFmtId="166" fontId="0" fillId="3" borderId="12" xfId="0" applyNumberFormat="1" applyFill="1" applyBorder="1" applyAlignment="1">
      <alignment horizontal="right" vertical="center" wrapText="1" indent="1"/>
    </xf>
    <xf numFmtId="171" fontId="7" fillId="3" borderId="13" xfId="0" applyNumberFormat="1" applyFont="1" applyFill="1" applyBorder="1" applyAlignment="1">
      <alignment horizontal="left" vertical="top" wrapText="1"/>
    </xf>
    <xf numFmtId="165" fontId="0" fillId="3" borderId="11" xfId="0" applyNumberFormat="1" applyFill="1" applyBorder="1" applyAlignment="1">
      <alignment horizontal="right" vertical="center" wrapText="1" indent="1"/>
    </xf>
    <xf numFmtId="171" fontId="7" fillId="3" borderId="30" xfId="0" applyNumberFormat="1" applyFont="1" applyFill="1" applyBorder="1" applyAlignment="1">
      <alignment horizontal="center" vertical="top" wrapText="1"/>
    </xf>
    <xf numFmtId="171" fontId="7" fillId="3" borderId="15" xfId="0" applyNumberFormat="1" applyFont="1" applyFill="1" applyBorder="1" applyAlignment="1">
      <alignment horizontal="center" vertical="top" wrapText="1"/>
    </xf>
    <xf numFmtId="171" fontId="7" fillId="3" borderId="17" xfId="0" applyNumberFormat="1" applyFont="1" applyFill="1" applyBorder="1" applyAlignment="1">
      <alignment horizontal="center" vertical="top" wrapText="1"/>
    </xf>
    <xf numFmtId="0" fontId="0" fillId="3" borderId="13" xfId="0" applyFill="1" applyBorder="1" applyAlignment="1">
      <alignment horizontal="center" vertical="center" wrapText="1"/>
    </xf>
    <xf numFmtId="0" fontId="0" fillId="3" borderId="17" xfId="0" applyFill="1" applyBorder="1" applyAlignment="1">
      <alignment horizontal="center" vertical="center" wrapText="1"/>
    </xf>
    <xf numFmtId="0" fontId="22" fillId="3" borderId="14" xfId="1" applyFill="1" applyBorder="1" applyAlignment="1" applyProtection="1">
      <alignment horizontal="left" vertical="top" wrapText="1" indent="1"/>
    </xf>
    <xf numFmtId="0" fontId="22" fillId="3" borderId="12" xfId="1" applyFill="1" applyBorder="1" applyAlignment="1" applyProtection="1">
      <alignment horizontal="left" vertical="top" wrapText="1" indent="1"/>
    </xf>
    <xf numFmtId="0" fontId="22" fillId="3" borderId="0" xfId="1" applyFill="1" applyBorder="1" applyAlignment="1" applyProtection="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center" wrapText="1" indent="1"/>
    </xf>
    <xf numFmtId="0" fontId="0" fillId="3" borderId="12" xfId="0" applyFill="1" applyBorder="1" applyAlignment="1">
      <alignment horizontal="left" vertical="center" wrapText="1" indent="1"/>
    </xf>
    <xf numFmtId="0" fontId="0" fillId="3" borderId="13" xfId="0" applyFill="1" applyBorder="1" applyAlignment="1">
      <alignment horizontal="left" vertical="center" wrapText="1" indent="1"/>
    </xf>
    <xf numFmtId="0" fontId="0" fillId="3" borderId="20"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14" xfId="0" applyFill="1" applyBorder="1" applyAlignment="1">
      <alignment horizontal="left" vertical="center" wrapText="1" indent="1"/>
    </xf>
    <xf numFmtId="0" fontId="0" fillId="3" borderId="0" xfId="0" applyFill="1" applyAlignment="1">
      <alignment horizontal="center" vertical="top" wrapText="1"/>
    </xf>
    <xf numFmtId="0" fontId="0" fillId="3" borderId="48" xfId="0" applyFill="1" applyBorder="1" applyAlignment="1">
      <alignment horizontal="left" vertical="center" wrapText="1" indent="1"/>
    </xf>
    <xf numFmtId="0" fontId="0" fillId="3" borderId="16" xfId="0" applyFill="1" applyBorder="1" applyAlignment="1">
      <alignment horizontal="left" vertical="center" wrapText="1" indent="1"/>
    </xf>
    <xf numFmtId="0" fontId="0" fillId="3" borderId="15" xfId="0" applyFill="1" applyBorder="1" applyAlignment="1">
      <alignment horizontal="center" vertical="center" wrapText="1"/>
    </xf>
    <xf numFmtId="171" fontId="7" fillId="3" borderId="13" xfId="0" applyNumberFormat="1" applyFont="1" applyFill="1" applyBorder="1" applyAlignment="1">
      <alignment horizontal="center" vertical="top" wrapText="1"/>
    </xf>
    <xf numFmtId="0" fontId="0" fillId="3" borderId="8" xfId="0" applyFill="1" applyBorder="1" applyAlignment="1">
      <alignment horizontal="left"/>
    </xf>
    <xf numFmtId="0" fontId="0" fillId="3" borderId="48" xfId="0" applyFill="1" applyBorder="1" applyAlignment="1">
      <alignment horizontal="left"/>
    </xf>
    <xf numFmtId="0" fontId="0" fillId="3" borderId="31" xfId="0" applyFill="1" applyBorder="1" applyAlignment="1">
      <alignment horizontal="left" vertical="center" wrapText="1" indent="1"/>
    </xf>
    <xf numFmtId="0" fontId="0" fillId="3" borderId="24" xfId="0" applyFill="1" applyBorder="1" applyAlignment="1">
      <alignment horizontal="left" vertical="center" wrapText="1" indent="1"/>
    </xf>
    <xf numFmtId="0" fontId="0" fillId="3" borderId="32" xfId="0" applyFill="1" applyBorder="1" applyAlignment="1">
      <alignment horizontal="left" vertical="center" wrapText="1" indent="1"/>
    </xf>
    <xf numFmtId="0" fontId="0" fillId="3" borderId="25" xfId="0" applyFill="1" applyBorder="1" applyAlignment="1">
      <alignment horizontal="left" vertical="center" wrapText="1" indent="1"/>
    </xf>
    <xf numFmtId="0" fontId="0" fillId="3" borderId="30"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21" xfId="0" applyFill="1" applyBorder="1" applyAlignment="1">
      <alignment horizontal="center" vertical="center" wrapText="1"/>
    </xf>
    <xf numFmtId="0" fontId="5" fillId="3" borderId="16" xfId="0" applyFont="1" applyFill="1" applyBorder="1" applyAlignment="1">
      <alignment horizontal="left"/>
    </xf>
    <xf numFmtId="169" fontId="0" fillId="3" borderId="11" xfId="0" applyNumberFormat="1" applyFill="1" applyBorder="1" applyAlignment="1">
      <alignment horizontal="right" vertical="center" wrapText="1" indent="1"/>
    </xf>
    <xf numFmtId="169" fontId="0" fillId="3" borderId="12" xfId="0" applyNumberFormat="1" applyFill="1" applyBorder="1" applyAlignment="1">
      <alignment horizontal="right" vertical="center" wrapText="1" indent="1"/>
    </xf>
    <xf numFmtId="4" fontId="0" fillId="3" borderId="11" xfId="0" applyNumberFormat="1" applyFill="1" applyBorder="1" applyAlignment="1">
      <alignment horizontal="right" vertical="center" wrapText="1" indent="1"/>
    </xf>
    <xf numFmtId="4" fontId="0" fillId="3" borderId="12" xfId="0" applyNumberFormat="1" applyFill="1" applyBorder="1" applyAlignment="1">
      <alignment horizontal="right" vertical="center" wrapText="1" indent="1"/>
    </xf>
    <xf numFmtId="3" fontId="0" fillId="3" borderId="11" xfId="0" applyNumberFormat="1" applyFill="1" applyBorder="1" applyAlignment="1">
      <alignment horizontal="right" vertical="center" wrapText="1" indent="1"/>
    </xf>
    <xf numFmtId="3" fontId="0" fillId="3" borderId="12" xfId="0" applyNumberFormat="1" applyFill="1" applyBorder="1" applyAlignment="1">
      <alignment horizontal="right" vertical="center" wrapText="1" indent="1"/>
    </xf>
    <xf numFmtId="0" fontId="0" fillId="3" borderId="14" xfId="0" applyFill="1" applyBorder="1"/>
    <xf numFmtId="171" fontId="7" fillId="3" borderId="15" xfId="0" applyNumberFormat="1" applyFont="1" applyFill="1" applyBorder="1" applyAlignment="1">
      <alignment horizontal="left" vertical="top" wrapText="1"/>
    </xf>
    <xf numFmtId="171" fontId="7" fillId="3" borderId="23" xfId="0" applyNumberFormat="1" applyFont="1" applyFill="1" applyBorder="1" applyAlignment="1">
      <alignment horizontal="left" vertical="top" wrapText="1"/>
    </xf>
    <xf numFmtId="0" fontId="0" fillId="3" borderId="23" xfId="0" applyFill="1" applyBorder="1" applyAlignment="1">
      <alignment horizontal="center" vertical="center" wrapText="1"/>
    </xf>
    <xf numFmtId="9" fontId="0" fillId="3" borderId="11" xfId="0" applyNumberFormat="1" applyFill="1" applyBorder="1" applyAlignment="1">
      <alignment horizontal="right" vertical="center" wrapText="1" indent="1"/>
    </xf>
    <xf numFmtId="9" fontId="0" fillId="3" borderId="32" xfId="0" applyNumberFormat="1" applyFill="1" applyBorder="1" applyAlignment="1">
      <alignment horizontal="right" vertical="center" wrapText="1" indent="1"/>
    </xf>
    <xf numFmtId="0" fontId="0" fillId="3" borderId="44" xfId="0" applyFill="1" applyBorder="1" applyAlignment="1">
      <alignment horizontal="center" vertical="center" wrapText="1"/>
    </xf>
    <xf numFmtId="0" fontId="22" fillId="3" borderId="32" xfId="1" applyFill="1" applyBorder="1" applyAlignment="1" applyProtection="1">
      <alignment horizontal="left" vertical="top" wrapText="1" indent="1"/>
    </xf>
    <xf numFmtId="4" fontId="0" fillId="3" borderId="31" xfId="0" applyNumberFormat="1" applyFill="1" applyBorder="1" applyAlignment="1">
      <alignment horizontal="right" vertical="center" wrapText="1" indent="1"/>
    </xf>
    <xf numFmtId="169" fontId="0" fillId="3" borderId="14" xfId="0" applyNumberFormat="1" applyFill="1" applyBorder="1" applyAlignment="1">
      <alignment horizontal="right" vertical="center" wrapText="1" indent="1"/>
    </xf>
    <xf numFmtId="0" fontId="0" fillId="3" borderId="45" xfId="0" applyFill="1" applyBorder="1" applyAlignment="1">
      <alignment horizontal="center" vertical="center" wrapText="1"/>
    </xf>
    <xf numFmtId="0" fontId="0" fillId="3" borderId="49" xfId="0" applyFill="1" applyBorder="1" applyAlignment="1">
      <alignment horizontal="center" vertical="center" wrapText="1"/>
    </xf>
    <xf numFmtId="0" fontId="0" fillId="3" borderId="24" xfId="0" applyFill="1" applyBorder="1" applyAlignment="1">
      <alignment horizontal="center"/>
    </xf>
    <xf numFmtId="0" fontId="5" fillId="3" borderId="0" xfId="0" applyFont="1" applyFill="1" applyBorder="1" applyAlignment="1">
      <alignment horizontal="center"/>
    </xf>
    <xf numFmtId="0" fontId="0" fillId="3" borderId="8" xfId="0" applyFill="1" applyBorder="1" applyAlignment="1">
      <alignment horizontal="left" wrapText="1"/>
    </xf>
    <xf numFmtId="0" fontId="0" fillId="3" borderId="48" xfId="0" applyFill="1" applyBorder="1" applyAlignment="1">
      <alignment horizontal="left" wrapText="1"/>
    </xf>
    <xf numFmtId="0" fontId="0" fillId="3" borderId="0" xfId="0" applyFill="1" applyAlignment="1">
      <alignment horizontal="left"/>
    </xf>
    <xf numFmtId="0" fontId="0" fillId="3" borderId="11" xfId="0" applyFill="1" applyBorder="1" applyAlignment="1">
      <alignment horizontal="center" vertical="center" wrapText="1"/>
    </xf>
    <xf numFmtId="0" fontId="22" fillId="3" borderId="0" xfId="1" applyFill="1" applyAlignment="1" applyProtection="1">
      <alignment horizontal="left" vertical="top" wrapText="1"/>
    </xf>
    <xf numFmtId="0" fontId="0" fillId="3" borderId="13" xfId="0" applyFill="1" applyBorder="1" applyAlignment="1">
      <alignment horizontal="left" vertical="center" wrapText="1"/>
    </xf>
    <xf numFmtId="0" fontId="0" fillId="3" borderId="15" xfId="0" applyFill="1" applyBorder="1" applyAlignment="1">
      <alignment horizontal="left" vertical="center" wrapText="1"/>
    </xf>
    <xf numFmtId="0" fontId="0" fillId="3" borderId="11" xfId="0" applyFill="1" applyBorder="1" applyAlignment="1">
      <alignment horizontal="left" wrapText="1" indent="1"/>
    </xf>
    <xf numFmtId="0" fontId="0" fillId="3" borderId="14" xfId="0" applyFill="1" applyBorder="1" applyAlignment="1">
      <alignment horizontal="left" wrapText="1" indent="1"/>
    </xf>
    <xf numFmtId="0" fontId="0" fillId="3" borderId="11" xfId="0" applyFill="1" applyBorder="1" applyAlignment="1">
      <alignment horizontal="left" vertical="top" wrapText="1" indent="1"/>
    </xf>
    <xf numFmtId="0" fontId="0" fillId="3" borderId="12" xfId="0" applyFill="1" applyBorder="1"/>
    <xf numFmtId="3" fontId="0" fillId="3" borderId="18" xfId="0" applyNumberFormat="1" applyFill="1" applyBorder="1" applyAlignment="1">
      <alignment horizontal="right" vertical="center" wrapText="1" indent="1"/>
    </xf>
    <xf numFmtId="171" fontId="7" fillId="3" borderId="19" xfId="0" applyNumberFormat="1" applyFont="1" applyFill="1" applyBorder="1" applyAlignment="1">
      <alignment horizontal="left" vertical="top" wrapText="1"/>
    </xf>
    <xf numFmtId="164" fontId="0" fillId="3" borderId="11" xfId="0" applyNumberFormat="1" applyFill="1" applyBorder="1" applyAlignment="1">
      <alignment horizontal="right" vertical="center" wrapText="1" indent="1"/>
    </xf>
    <xf numFmtId="164" fontId="0" fillId="3" borderId="12" xfId="0" applyNumberFormat="1" applyFill="1" applyBorder="1" applyAlignment="1">
      <alignment horizontal="right" vertical="center" wrapText="1" indent="1"/>
    </xf>
    <xf numFmtId="2" fontId="0" fillId="3" borderId="11" xfId="0" applyNumberFormat="1" applyFill="1" applyBorder="1" applyAlignment="1">
      <alignment horizontal="right" vertical="center" wrapText="1" indent="1"/>
    </xf>
    <xf numFmtId="2" fontId="0" fillId="3" borderId="14" xfId="0" applyNumberFormat="1" applyFill="1" applyBorder="1" applyAlignment="1">
      <alignment horizontal="right" vertical="center" wrapText="1" indent="1"/>
    </xf>
    <xf numFmtId="2" fontId="0" fillId="3" borderId="12" xfId="0" applyNumberFormat="1" applyFill="1" applyBorder="1" applyAlignment="1">
      <alignment horizontal="right" vertical="center" wrapText="1" indent="1"/>
    </xf>
    <xf numFmtId="0" fontId="0" fillId="3" borderId="0" xfId="0" applyFill="1" applyBorder="1" applyAlignment="1">
      <alignment horizontal="left" vertical="center" wrapText="1" indent="1"/>
    </xf>
    <xf numFmtId="0" fontId="0" fillId="3" borderId="0" xfId="0" applyFill="1" applyAlignment="1">
      <alignment horizontal="center" vertical="center" wrapText="1"/>
    </xf>
    <xf numFmtId="0" fontId="22" fillId="3" borderId="0" xfId="1" applyFill="1" applyBorder="1" applyAlignment="1" applyProtection="1">
      <alignment horizontal="left" wrapText="1"/>
    </xf>
    <xf numFmtId="0" fontId="22" fillId="3" borderId="0" xfId="1" applyFill="1" applyAlignment="1" applyProtection="1">
      <alignment horizontal="center" wrapText="1"/>
    </xf>
    <xf numFmtId="0" fontId="22" fillId="3" borderId="11" xfId="1" applyFill="1" applyBorder="1" applyAlignment="1" applyProtection="1">
      <alignment horizontal="left" vertical="center" wrapText="1" indent="1"/>
    </xf>
    <xf numFmtId="0" fontId="0" fillId="3" borderId="0" xfId="0" applyFill="1" applyAlignment="1"/>
    <xf numFmtId="0" fontId="0" fillId="3" borderId="0" xfId="0" applyFill="1" applyAlignment="1">
      <alignment horizontal="left" vertical="center" wrapText="1"/>
    </xf>
    <xf numFmtId="0" fontId="10" fillId="3" borderId="14" xfId="2" applyFill="1" applyBorder="1" applyAlignment="1" applyProtection="1">
      <alignment horizontal="left" vertical="top" wrapText="1" indent="1"/>
    </xf>
    <xf numFmtId="0" fontId="10" fillId="3" borderId="12" xfId="2" applyFill="1" applyBorder="1" applyAlignment="1" applyProtection="1">
      <alignment horizontal="left" vertical="top" wrapText="1" indent="1"/>
    </xf>
    <xf numFmtId="0" fontId="22" fillId="3" borderId="14" xfId="1" applyFill="1" applyBorder="1" applyAlignment="1" applyProtection="1">
      <alignment horizontal="left" vertical="top" indent="1"/>
    </xf>
    <xf numFmtId="0" fontId="0" fillId="3" borderId="14" xfId="0" applyFill="1" applyBorder="1" applyAlignment="1">
      <alignment horizontal="left" vertical="top" wrapText="1" indent="1"/>
    </xf>
    <xf numFmtId="0" fontId="0" fillId="3" borderId="32" xfId="0" applyFill="1" applyBorder="1" applyAlignment="1">
      <alignment horizontal="left" vertical="top" wrapText="1" indent="1"/>
    </xf>
    <xf numFmtId="0" fontId="0" fillId="3" borderId="47" xfId="0" applyFill="1" applyBorder="1" applyAlignment="1">
      <alignment horizontal="left" vertical="center" wrapText="1" indent="1"/>
    </xf>
    <xf numFmtId="0" fontId="0" fillId="3" borderId="43" xfId="0" applyFill="1" applyBorder="1" applyAlignment="1">
      <alignment horizontal="left" vertical="center" wrapText="1" indent="1"/>
    </xf>
    <xf numFmtId="0" fontId="22" fillId="3" borderId="0" xfId="1" applyFill="1" applyAlignment="1" applyProtection="1">
      <alignment horizontal="center" vertical="top" wrapText="1"/>
    </xf>
    <xf numFmtId="0" fontId="22" fillId="3" borderId="0" xfId="1" applyFill="1" applyBorder="1" applyAlignment="1" applyProtection="1">
      <alignment horizontal="left" wrapText="1" indent="1"/>
    </xf>
    <xf numFmtId="0" fontId="0" fillId="3" borderId="17" xfId="0" applyFill="1" applyBorder="1" applyAlignment="1">
      <alignment horizontal="left" vertical="center" wrapText="1"/>
    </xf>
    <xf numFmtId="0" fontId="0" fillId="3" borderId="0" xfId="0" applyFill="1" applyAlignment="1">
      <alignment vertical="top" wrapText="1"/>
    </xf>
    <xf numFmtId="0" fontId="0" fillId="3" borderId="15" xfId="0" applyFill="1" applyBorder="1"/>
    <xf numFmtId="0" fontId="0" fillId="3" borderId="17" xfId="0" applyFill="1" applyBorder="1"/>
    <xf numFmtId="167" fontId="0" fillId="3" borderId="31" xfId="0" applyNumberFormat="1" applyFill="1" applyBorder="1" applyAlignment="1">
      <alignment horizontal="right" vertical="center" wrapText="1" indent="1"/>
    </xf>
    <xf numFmtId="167" fontId="0" fillId="3" borderId="12" xfId="0" applyNumberFormat="1" applyFill="1" applyBorder="1" applyAlignment="1">
      <alignment horizontal="right" vertical="center" wrapText="1" indent="1"/>
    </xf>
    <xf numFmtId="0" fontId="0" fillId="3" borderId="12" xfId="0" applyFill="1" applyBorder="1" applyAlignment="1">
      <alignment horizontal="left" vertical="top" wrapText="1" indent="1"/>
    </xf>
    <xf numFmtId="171" fontId="7" fillId="3" borderId="23" xfId="0" applyNumberFormat="1" applyFont="1" applyFill="1" applyBorder="1" applyAlignment="1">
      <alignment horizontal="center" vertical="top" wrapText="1"/>
    </xf>
    <xf numFmtId="0" fontId="0" fillId="3" borderId="13" xfId="0" applyFill="1" applyBorder="1" applyAlignment="1">
      <alignment vertical="center" wrapText="1"/>
    </xf>
    <xf numFmtId="0" fontId="0" fillId="3" borderId="15" xfId="0" applyFill="1" applyBorder="1" applyAlignment="1">
      <alignment vertical="center" wrapText="1"/>
    </xf>
    <xf numFmtId="0" fontId="0" fillId="3" borderId="15" xfId="0" applyFill="1" applyBorder="1" applyAlignment="1">
      <alignment horizontal="left"/>
    </xf>
    <xf numFmtId="0" fontId="0" fillId="3" borderId="17" xfId="0" applyFill="1" applyBorder="1" applyAlignment="1">
      <alignment horizontal="left"/>
    </xf>
    <xf numFmtId="167" fontId="0" fillId="3" borderId="14" xfId="0" applyNumberFormat="1" applyFill="1" applyBorder="1" applyAlignment="1">
      <alignment horizontal="right" vertical="center" wrapText="1" indent="1"/>
    </xf>
    <xf numFmtId="172" fontId="0" fillId="3" borderId="11" xfId="0" applyNumberFormat="1" applyFill="1" applyBorder="1" applyAlignment="1">
      <alignment horizontal="right" vertical="center" wrapText="1" indent="1"/>
    </xf>
    <xf numFmtId="172" fontId="0" fillId="3" borderId="32" xfId="0" applyNumberFormat="1" applyFill="1" applyBorder="1" applyAlignment="1">
      <alignment horizontal="right" vertical="center" wrapText="1" indent="1"/>
    </xf>
    <xf numFmtId="2" fontId="0" fillId="3" borderId="31" xfId="0" applyNumberFormat="1" applyFill="1" applyBorder="1" applyAlignment="1">
      <alignment horizontal="right" vertical="center" wrapText="1" indent="1"/>
    </xf>
    <xf numFmtId="9" fontId="0" fillId="3" borderId="12" xfId="0" applyNumberFormat="1" applyFill="1" applyBorder="1" applyAlignment="1">
      <alignment horizontal="right" vertical="center" wrapText="1" indent="1"/>
    </xf>
    <xf numFmtId="0" fontId="0" fillId="3" borderId="31" xfId="0" applyFill="1" applyBorder="1" applyAlignment="1">
      <alignment horizontal="left" wrapText="1" indent="1"/>
    </xf>
    <xf numFmtId="1" fontId="0" fillId="3" borderId="14" xfId="0" applyNumberFormat="1" applyFill="1" applyBorder="1" applyAlignment="1">
      <alignment horizontal="right" vertical="center" wrapText="1" indent="1"/>
    </xf>
    <xf numFmtId="1" fontId="0" fillId="3" borderId="12" xfId="0" applyNumberFormat="1" applyFill="1" applyBorder="1" applyAlignment="1">
      <alignment horizontal="right" vertical="center" wrapText="1" indent="1"/>
    </xf>
    <xf numFmtId="0" fontId="0" fillId="3" borderId="13" xfId="0" applyFill="1" applyBorder="1" applyAlignment="1">
      <alignment horizontal="center"/>
    </xf>
    <xf numFmtId="0" fontId="0" fillId="3" borderId="15" xfId="0" applyFill="1" applyBorder="1" applyAlignment="1">
      <alignment horizontal="center"/>
    </xf>
    <xf numFmtId="0" fontId="0" fillId="3" borderId="23" xfId="0" applyFill="1" applyBorder="1" applyAlignment="1">
      <alignment horizontal="center"/>
    </xf>
    <xf numFmtId="167" fontId="0" fillId="3" borderId="11" xfId="0" applyNumberFormat="1" applyFill="1" applyBorder="1" applyAlignment="1">
      <alignment horizontal="right" vertical="center" wrapText="1" indent="1"/>
    </xf>
    <xf numFmtId="0" fontId="0" fillId="3" borderId="17" xfId="0" applyFill="1" applyBorder="1" applyAlignment="1">
      <alignment vertical="center" wrapText="1"/>
    </xf>
    <xf numFmtId="0" fontId="0" fillId="3" borderId="12" xfId="0" applyFill="1" applyBorder="1" applyAlignment="1">
      <alignment horizontal="left" wrapText="1" indent="1"/>
    </xf>
    <xf numFmtId="0" fontId="0" fillId="3" borderId="0" xfId="0" applyFill="1" applyAlignment="1">
      <alignment horizontal="left" vertical="center" wrapText="1" indent="48"/>
    </xf>
    <xf numFmtId="1" fontId="0" fillId="3" borderId="11" xfId="0" applyNumberFormat="1" applyFill="1" applyBorder="1" applyAlignment="1">
      <alignment horizontal="right" vertical="center" wrapText="1" indent="1"/>
    </xf>
    <xf numFmtId="0" fontId="0" fillId="3" borderId="0" xfId="0" applyFill="1" applyBorder="1" applyAlignment="1">
      <alignment horizontal="left" wrapText="1"/>
    </xf>
    <xf numFmtId="0" fontId="5" fillId="3" borderId="0" xfId="0" applyFont="1" applyFill="1" applyAlignment="1">
      <alignment horizontal="left" wrapText="1"/>
    </xf>
    <xf numFmtId="170" fontId="5" fillId="3" borderId="0" xfId="0" applyNumberFormat="1" applyFont="1" applyFill="1" applyAlignment="1">
      <alignment horizontal="left"/>
    </xf>
    <xf numFmtId="0" fontId="5" fillId="3" borderId="0" xfId="0" applyFont="1" applyFill="1" applyAlignment="1">
      <alignment horizontal="center"/>
    </xf>
    <xf numFmtId="1" fontId="0" fillId="3" borderId="11" xfId="0" quotePrefix="1" applyNumberFormat="1" applyFill="1" applyBorder="1" applyAlignment="1">
      <alignment horizontal="right" vertical="center" wrapText="1" indent="1"/>
    </xf>
    <xf numFmtId="1" fontId="0" fillId="3" borderId="12" xfId="0" quotePrefix="1" applyNumberFormat="1" applyFill="1" applyBorder="1" applyAlignment="1">
      <alignment horizontal="right" vertical="center" wrapText="1" indent="1"/>
    </xf>
    <xf numFmtId="0" fontId="0" fillId="3" borderId="23" xfId="0" applyFill="1" applyBorder="1" applyAlignment="1">
      <alignment horizontal="left" vertical="center" wrapText="1"/>
    </xf>
    <xf numFmtId="3" fontId="0" fillId="3" borderId="14" xfId="0" applyNumberFormat="1" applyFill="1" applyBorder="1" applyAlignment="1">
      <alignment horizontal="right" vertical="center" wrapText="1" indent="1"/>
    </xf>
    <xf numFmtId="0" fontId="0" fillId="3" borderId="30" xfId="0" applyFill="1" applyBorder="1" applyAlignment="1">
      <alignment horizontal="left" vertical="center" wrapText="1"/>
    </xf>
    <xf numFmtId="0" fontId="0" fillId="3" borderId="11" xfId="0" applyFill="1" applyBorder="1" applyAlignment="1">
      <alignment horizontal="right" vertical="center" wrapText="1" indent="1"/>
    </xf>
    <xf numFmtId="0" fontId="0" fillId="3" borderId="12" xfId="0" applyFill="1" applyBorder="1" applyAlignment="1">
      <alignment horizontal="right" vertical="center" wrapText="1" indent="1"/>
    </xf>
    <xf numFmtId="0" fontId="0" fillId="3" borderId="14" xfId="0" applyFill="1" applyBorder="1" applyAlignment="1">
      <alignment horizontal="left" indent="1"/>
    </xf>
    <xf numFmtId="0" fontId="0" fillId="3" borderId="0" xfId="0" applyFill="1" applyAlignment="1">
      <alignment wrapText="1"/>
    </xf>
    <xf numFmtId="0" fontId="22" fillId="3" borderId="14" xfId="1" applyFill="1" applyBorder="1" applyAlignment="1" applyProtection="1">
      <alignment horizontal="left" vertical="center" wrapText="1" indent="1"/>
    </xf>
    <xf numFmtId="0" fontId="22" fillId="3" borderId="0" xfId="1" applyNumberFormat="1" applyFill="1" applyBorder="1" applyAlignment="1" applyProtection="1">
      <alignment horizontal="left" vertical="top" wrapText="1"/>
    </xf>
    <xf numFmtId="0" fontId="22" fillId="3" borderId="0" xfId="1" applyFill="1" applyBorder="1" applyAlignment="1" applyProtection="1">
      <alignment horizontal="left" vertical="center" wrapText="1"/>
    </xf>
    <xf numFmtId="0" fontId="0" fillId="3" borderId="0" xfId="0" applyFill="1" applyBorder="1" applyAlignment="1">
      <alignment horizontal="left" vertical="center" wrapText="1"/>
    </xf>
    <xf numFmtId="0" fontId="0" fillId="3" borderId="0" xfId="0" applyNumberFormat="1" applyFill="1" applyBorder="1" applyAlignment="1">
      <alignment horizontal="left" vertical="top" wrapText="1"/>
    </xf>
    <xf numFmtId="0" fontId="22" fillId="3" borderId="0" xfId="1" applyFill="1" applyBorder="1" applyAlignment="1" applyProtection="1">
      <alignment horizontal="left" vertical="center" indent="2"/>
    </xf>
    <xf numFmtId="0" fontId="22" fillId="3" borderId="0" xfId="1" applyFill="1" applyBorder="1" applyAlignment="1" applyProtection="1">
      <alignment horizontal="left" vertical="center" wrapText="1" indent="2"/>
    </xf>
    <xf numFmtId="0" fontId="0" fillId="3" borderId="14" xfId="0" applyFill="1" applyBorder="1" applyAlignment="1">
      <alignment horizontal="left" vertical="center" indent="1"/>
    </xf>
    <xf numFmtId="1" fontId="0" fillId="3" borderId="31" xfId="0" applyNumberFormat="1" applyFill="1" applyBorder="1" applyAlignment="1">
      <alignment horizontal="right" vertical="center" wrapText="1" indent="1"/>
    </xf>
    <xf numFmtId="0" fontId="22" fillId="3" borderId="0" xfId="1" applyFill="1" applyBorder="1" applyAlignment="1" applyProtection="1">
      <alignment horizontal="left" vertical="center" wrapText="1" indent="3"/>
    </xf>
    <xf numFmtId="0" fontId="0" fillId="3" borderId="20" xfId="0" applyFill="1" applyBorder="1" applyAlignment="1">
      <alignment horizontal="left" vertical="center" wrapText="1" indent="1"/>
    </xf>
    <xf numFmtId="0" fontId="0" fillId="3" borderId="22" xfId="0" applyFill="1" applyBorder="1" applyAlignment="1">
      <alignment horizontal="left" vertical="center" wrapText="1" indent="1"/>
    </xf>
    <xf numFmtId="0" fontId="0" fillId="3" borderId="21" xfId="0" applyFill="1" applyBorder="1" applyAlignment="1">
      <alignment horizontal="left" vertical="center" wrapText="1" indent="1"/>
    </xf>
    <xf numFmtId="171" fontId="6" fillId="3" borderId="13" xfId="0" applyNumberFormat="1" applyFont="1" applyFill="1" applyBorder="1" applyAlignment="1">
      <alignment horizontal="left" vertical="top" wrapText="1"/>
    </xf>
    <xf numFmtId="171" fontId="6" fillId="3" borderId="17" xfId="0" applyNumberFormat="1" applyFont="1" applyFill="1" applyBorder="1" applyAlignment="1">
      <alignment horizontal="left" vertical="top" wrapText="1"/>
    </xf>
    <xf numFmtId="0" fontId="0" fillId="3" borderId="44" xfId="0" applyFill="1" applyBorder="1" applyAlignment="1">
      <alignment horizontal="left" vertical="center" wrapText="1" indent="1"/>
    </xf>
    <xf numFmtId="0" fontId="22" fillId="3" borderId="31" xfId="1" applyFill="1" applyBorder="1" applyAlignment="1" applyProtection="1">
      <alignment horizontal="left" vertical="center" wrapText="1" indent="1"/>
    </xf>
    <xf numFmtId="0" fontId="22" fillId="3" borderId="30" xfId="1" applyFill="1" applyBorder="1" applyAlignment="1" applyProtection="1">
      <alignment horizontal="left" vertical="center" wrapText="1" indent="1"/>
    </xf>
    <xf numFmtId="0" fontId="22" fillId="3" borderId="12" xfId="1" applyFill="1" applyBorder="1" applyAlignment="1" applyProtection="1">
      <alignment horizontal="left" vertical="center" wrapText="1" indent="1"/>
    </xf>
    <xf numFmtId="0" fontId="22" fillId="3" borderId="17" xfId="1" applyFill="1" applyBorder="1" applyAlignment="1" applyProtection="1">
      <alignment horizontal="left" vertical="center" wrapText="1" indent="1"/>
    </xf>
    <xf numFmtId="0" fontId="5" fillId="3" borderId="16" xfId="0" applyFont="1" applyFill="1" applyBorder="1" applyAlignment="1">
      <alignment horizontal="left" wrapText="1"/>
    </xf>
    <xf numFmtId="166" fontId="0" fillId="3" borderId="14" xfId="0" applyNumberFormat="1" applyFill="1" applyBorder="1" applyAlignment="1">
      <alignment horizontal="right" vertical="center" wrapText="1" indent="1"/>
    </xf>
    <xf numFmtId="0" fontId="0" fillId="3" borderId="0" xfId="0" applyFill="1" applyBorder="1" applyAlignment="1">
      <alignment horizontal="left" vertical="top" wrapText="1" indent="1"/>
    </xf>
    <xf numFmtId="0" fontId="23" fillId="3" borderId="0" xfId="0" applyFont="1" applyFill="1" applyAlignment="1">
      <alignment horizontal="center" wrapText="1"/>
    </xf>
    <xf numFmtId="0" fontId="23" fillId="3" borderId="0" xfId="0" applyFont="1" applyFill="1" applyAlignment="1">
      <alignment horizontal="center" wrapText="1"/>
    </xf>
    <xf numFmtId="171" fontId="0" fillId="3" borderId="0" xfId="0" applyNumberFormat="1" applyFont="1" applyFill="1" applyBorder="1" applyAlignment="1">
      <alignment horizontal="left" vertical="center"/>
    </xf>
    <xf numFmtId="0" fontId="9" fillId="3" borderId="0" xfId="0" applyFont="1" applyFill="1" applyAlignment="1">
      <alignment horizontal="left"/>
    </xf>
    <xf numFmtId="0" fontId="8" fillId="3" borderId="0" xfId="0" applyFont="1" applyFill="1" applyAlignment="1">
      <alignment horizontal="left"/>
    </xf>
    <xf numFmtId="0" fontId="23" fillId="3" borderId="0" xfId="0" applyFont="1" applyFill="1" applyAlignment="1">
      <alignment horizontal="left"/>
    </xf>
    <xf numFmtId="0" fontId="8" fillId="3" borderId="0" xfId="0" applyFont="1" applyFill="1" applyAlignment="1">
      <alignment horizontal="left" wrapText="1"/>
    </xf>
    <xf numFmtId="0" fontId="0" fillId="3" borderId="0" xfId="0" applyFill="1" applyAlignment="1">
      <alignment horizontal="left" vertical="top"/>
    </xf>
    <xf numFmtId="0" fontId="0" fillId="3" borderId="0" xfId="0" applyFill="1" applyAlignment="1">
      <alignment horizontal="left" indent="7"/>
    </xf>
    <xf numFmtId="1" fontId="0" fillId="3" borderId="0" xfId="0" applyNumberFormat="1" applyFill="1"/>
    <xf numFmtId="0" fontId="22" fillId="3" borderId="0" xfId="1" applyFill="1" applyBorder="1" applyAlignment="1" applyProtection="1">
      <alignment horizontal="left" vertical="center"/>
    </xf>
    <xf numFmtId="0" fontId="22" fillId="3" borderId="0" xfId="1" applyFill="1" applyBorder="1" applyAlignment="1" applyProtection="1">
      <alignment horizontal="left" vertical="center"/>
    </xf>
    <xf numFmtId="0" fontId="24" fillId="3" borderId="0" xfId="0" applyFont="1" applyFill="1" applyAlignment="1">
      <alignment horizontal="left" wrapText="1"/>
    </xf>
    <xf numFmtId="171" fontId="0" fillId="3" borderId="0" xfId="0" applyNumberFormat="1" applyFill="1" applyAlignment="1">
      <alignment horizontal="left" wrapText="1"/>
    </xf>
    <xf numFmtId="0" fontId="0" fillId="3" borderId="0" xfId="0" applyNumberFormat="1" applyFill="1" applyAlignment="1">
      <alignment horizontal="left" wrapText="1"/>
    </xf>
    <xf numFmtId="171" fontId="0" fillId="3" borderId="0" xfId="0" applyNumberFormat="1" applyFill="1" applyBorder="1" applyAlignment="1">
      <alignment horizontal="left" vertical="center" wrapText="1"/>
    </xf>
    <xf numFmtId="171" fontId="0" fillId="3" borderId="0" xfId="0" applyNumberFormat="1" applyFont="1" applyFill="1" applyBorder="1" applyAlignment="1">
      <alignment horizontal="left" vertical="center" wrapText="1"/>
    </xf>
  </cellXfs>
  <cellStyles count="3">
    <cellStyle name="Hyperlink" xfId="1" builtinId="8"/>
    <cellStyle name="Hyperlink_Tb03-Engines" xfId="2"/>
    <cellStyle name="Normal" xfId="0" builtinId="0"/>
  </cellStyles>
  <dxfs count="0"/>
  <tableStyles count="0" defaultTableStyle="TableStyleMedium9" defaultPivotStyle="PivotStyleLight16"/>
  <colors>
    <mruColors>
      <color rgb="FFFF0000"/>
      <color rgb="FFFBFE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_rels/drawing2.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26.emf"/><Relationship Id="rId16" Type="http://schemas.openxmlformats.org/officeDocument/2006/relationships/image" Target="../media/image40.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3.xml.rels><?xml version="1.0" encoding="UTF-8" standalone="yes"?>
<Relationships xmlns="http://schemas.openxmlformats.org/package/2006/relationships"><Relationship Id="rId13" Type="http://schemas.openxmlformats.org/officeDocument/2006/relationships/image" Target="../media/image53.emf"/><Relationship Id="rId18" Type="http://schemas.openxmlformats.org/officeDocument/2006/relationships/image" Target="../media/image58.emf"/><Relationship Id="rId26" Type="http://schemas.openxmlformats.org/officeDocument/2006/relationships/image" Target="../media/image66.emf"/><Relationship Id="rId39" Type="http://schemas.openxmlformats.org/officeDocument/2006/relationships/image" Target="../media/image79.emf"/><Relationship Id="rId21" Type="http://schemas.openxmlformats.org/officeDocument/2006/relationships/image" Target="../media/image61.emf"/><Relationship Id="rId34" Type="http://schemas.openxmlformats.org/officeDocument/2006/relationships/image" Target="../media/image74.emf"/><Relationship Id="rId42" Type="http://schemas.openxmlformats.org/officeDocument/2006/relationships/image" Target="../media/image82.emf"/><Relationship Id="rId47" Type="http://schemas.openxmlformats.org/officeDocument/2006/relationships/image" Target="../media/image87.emf"/><Relationship Id="rId50" Type="http://schemas.openxmlformats.org/officeDocument/2006/relationships/image" Target="../media/image90.emf"/><Relationship Id="rId55" Type="http://schemas.openxmlformats.org/officeDocument/2006/relationships/image" Target="../media/image95.emf"/><Relationship Id="rId7" Type="http://schemas.openxmlformats.org/officeDocument/2006/relationships/image" Target="../media/image47.emf"/><Relationship Id="rId12" Type="http://schemas.openxmlformats.org/officeDocument/2006/relationships/image" Target="../media/image52.emf"/><Relationship Id="rId17" Type="http://schemas.openxmlformats.org/officeDocument/2006/relationships/image" Target="../media/image57.emf"/><Relationship Id="rId25" Type="http://schemas.openxmlformats.org/officeDocument/2006/relationships/image" Target="../media/image65.emf"/><Relationship Id="rId33" Type="http://schemas.openxmlformats.org/officeDocument/2006/relationships/image" Target="../media/image73.emf"/><Relationship Id="rId38" Type="http://schemas.openxmlformats.org/officeDocument/2006/relationships/image" Target="../media/image78.emf"/><Relationship Id="rId46" Type="http://schemas.openxmlformats.org/officeDocument/2006/relationships/image" Target="../media/image86.emf"/><Relationship Id="rId2" Type="http://schemas.openxmlformats.org/officeDocument/2006/relationships/image" Target="../media/image42.emf"/><Relationship Id="rId16" Type="http://schemas.openxmlformats.org/officeDocument/2006/relationships/image" Target="../media/image56.emf"/><Relationship Id="rId20" Type="http://schemas.openxmlformats.org/officeDocument/2006/relationships/image" Target="../media/image60.emf"/><Relationship Id="rId29" Type="http://schemas.openxmlformats.org/officeDocument/2006/relationships/image" Target="../media/image69.emf"/><Relationship Id="rId41" Type="http://schemas.openxmlformats.org/officeDocument/2006/relationships/image" Target="../media/image81.emf"/><Relationship Id="rId54" Type="http://schemas.openxmlformats.org/officeDocument/2006/relationships/image" Target="../media/image94.emf"/><Relationship Id="rId1" Type="http://schemas.openxmlformats.org/officeDocument/2006/relationships/image" Target="../media/image41.emf"/><Relationship Id="rId6" Type="http://schemas.openxmlformats.org/officeDocument/2006/relationships/image" Target="../media/image46.emf"/><Relationship Id="rId11" Type="http://schemas.openxmlformats.org/officeDocument/2006/relationships/image" Target="../media/image51.emf"/><Relationship Id="rId24" Type="http://schemas.openxmlformats.org/officeDocument/2006/relationships/image" Target="../media/image64.emf"/><Relationship Id="rId32" Type="http://schemas.openxmlformats.org/officeDocument/2006/relationships/image" Target="../media/image72.emf"/><Relationship Id="rId37" Type="http://schemas.openxmlformats.org/officeDocument/2006/relationships/image" Target="../media/image77.emf"/><Relationship Id="rId40" Type="http://schemas.openxmlformats.org/officeDocument/2006/relationships/image" Target="../media/image80.emf"/><Relationship Id="rId45" Type="http://schemas.openxmlformats.org/officeDocument/2006/relationships/image" Target="../media/image85.emf"/><Relationship Id="rId53" Type="http://schemas.openxmlformats.org/officeDocument/2006/relationships/image" Target="../media/image93.emf"/><Relationship Id="rId5" Type="http://schemas.openxmlformats.org/officeDocument/2006/relationships/image" Target="../media/image45.emf"/><Relationship Id="rId15" Type="http://schemas.openxmlformats.org/officeDocument/2006/relationships/image" Target="../media/image55.emf"/><Relationship Id="rId23" Type="http://schemas.openxmlformats.org/officeDocument/2006/relationships/image" Target="../media/image63.emf"/><Relationship Id="rId28" Type="http://schemas.openxmlformats.org/officeDocument/2006/relationships/image" Target="../media/image68.emf"/><Relationship Id="rId36" Type="http://schemas.openxmlformats.org/officeDocument/2006/relationships/image" Target="../media/image76.emf"/><Relationship Id="rId49" Type="http://schemas.openxmlformats.org/officeDocument/2006/relationships/image" Target="../media/image89.emf"/><Relationship Id="rId10" Type="http://schemas.openxmlformats.org/officeDocument/2006/relationships/image" Target="../media/image50.emf"/><Relationship Id="rId19" Type="http://schemas.openxmlformats.org/officeDocument/2006/relationships/image" Target="../media/image59.emf"/><Relationship Id="rId31" Type="http://schemas.openxmlformats.org/officeDocument/2006/relationships/image" Target="../media/image71.emf"/><Relationship Id="rId44" Type="http://schemas.openxmlformats.org/officeDocument/2006/relationships/image" Target="../media/image84.emf"/><Relationship Id="rId52" Type="http://schemas.openxmlformats.org/officeDocument/2006/relationships/image" Target="../media/image92.emf"/><Relationship Id="rId4" Type="http://schemas.openxmlformats.org/officeDocument/2006/relationships/image" Target="../media/image44.emf"/><Relationship Id="rId9" Type="http://schemas.openxmlformats.org/officeDocument/2006/relationships/image" Target="../media/image49.emf"/><Relationship Id="rId14" Type="http://schemas.openxmlformats.org/officeDocument/2006/relationships/image" Target="../media/image54.emf"/><Relationship Id="rId22" Type="http://schemas.openxmlformats.org/officeDocument/2006/relationships/image" Target="../media/image62.emf"/><Relationship Id="rId27" Type="http://schemas.openxmlformats.org/officeDocument/2006/relationships/image" Target="../media/image67.emf"/><Relationship Id="rId30" Type="http://schemas.openxmlformats.org/officeDocument/2006/relationships/image" Target="../media/image70.emf"/><Relationship Id="rId35" Type="http://schemas.openxmlformats.org/officeDocument/2006/relationships/image" Target="../media/image75.emf"/><Relationship Id="rId43" Type="http://schemas.openxmlformats.org/officeDocument/2006/relationships/image" Target="../media/image83.emf"/><Relationship Id="rId48" Type="http://schemas.openxmlformats.org/officeDocument/2006/relationships/image" Target="../media/image88.emf"/><Relationship Id="rId56" Type="http://schemas.openxmlformats.org/officeDocument/2006/relationships/image" Target="../media/image96.emf"/><Relationship Id="rId8" Type="http://schemas.openxmlformats.org/officeDocument/2006/relationships/image" Target="../media/image48.emf"/><Relationship Id="rId51" Type="http://schemas.openxmlformats.org/officeDocument/2006/relationships/image" Target="../media/image91.emf"/><Relationship Id="rId3" Type="http://schemas.openxmlformats.org/officeDocument/2006/relationships/image" Target="../media/image43.emf"/></Relationships>
</file>

<file path=xl/drawings/_rels/drawing4.xml.rels><?xml version="1.0" encoding="UTF-8" standalone="yes"?>
<Relationships xmlns="http://schemas.openxmlformats.org/package/2006/relationships"><Relationship Id="rId8" Type="http://schemas.openxmlformats.org/officeDocument/2006/relationships/image" Target="../media/image104.emf"/><Relationship Id="rId3" Type="http://schemas.openxmlformats.org/officeDocument/2006/relationships/image" Target="../media/image99.emf"/><Relationship Id="rId7" Type="http://schemas.openxmlformats.org/officeDocument/2006/relationships/image" Target="../media/image103.emf"/><Relationship Id="rId12" Type="http://schemas.openxmlformats.org/officeDocument/2006/relationships/image" Target="../media/image108.emf"/><Relationship Id="rId2" Type="http://schemas.openxmlformats.org/officeDocument/2006/relationships/image" Target="../media/image98.emf"/><Relationship Id="rId1" Type="http://schemas.openxmlformats.org/officeDocument/2006/relationships/image" Target="../media/image97.emf"/><Relationship Id="rId6" Type="http://schemas.openxmlformats.org/officeDocument/2006/relationships/image" Target="../media/image102.emf"/><Relationship Id="rId11" Type="http://schemas.openxmlformats.org/officeDocument/2006/relationships/image" Target="../media/image107.emf"/><Relationship Id="rId5" Type="http://schemas.openxmlformats.org/officeDocument/2006/relationships/image" Target="../media/image101.emf"/><Relationship Id="rId10" Type="http://schemas.openxmlformats.org/officeDocument/2006/relationships/image" Target="../media/image106.emf"/><Relationship Id="rId4" Type="http://schemas.openxmlformats.org/officeDocument/2006/relationships/image" Target="../media/image100.emf"/><Relationship Id="rId9" Type="http://schemas.openxmlformats.org/officeDocument/2006/relationships/image" Target="../media/image10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4.emf"/></Relationships>
</file>

<file path=xl/drawings/drawing1.xml><?xml version="1.0" encoding="utf-8"?>
<xdr:wsDr xmlns:xdr="http://schemas.openxmlformats.org/drawingml/2006/spreadsheetDrawing" xmlns:a="http://schemas.openxmlformats.org/drawingml/2006/main">
  <xdr:twoCellAnchor>
    <xdr:from>
      <xdr:col>5</xdr:col>
      <xdr:colOff>16497</xdr:colOff>
      <xdr:row>71</xdr:row>
      <xdr:rowOff>116686</xdr:rowOff>
    </xdr:from>
    <xdr:to>
      <xdr:col>7</xdr:col>
      <xdr:colOff>616104</xdr:colOff>
      <xdr:row>73</xdr:row>
      <xdr:rowOff>149344</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332977" y="11760046"/>
          <a:ext cx="2268387" cy="352698"/>
        </a:xfrm>
        <a:prstGeom prst="rect">
          <a:avLst/>
        </a:prstGeom>
        <a:noFill/>
        <a:ln w="9525">
          <a:noFill/>
          <a:miter lim="800000"/>
          <a:headEnd/>
          <a:tailEnd/>
        </a:ln>
      </xdr:spPr>
    </xdr:pic>
    <xdr:clientData/>
  </xdr:twoCellAnchor>
  <xdr:twoCellAnchor>
    <xdr:from>
      <xdr:col>5</xdr:col>
      <xdr:colOff>4591</xdr:colOff>
      <xdr:row>87</xdr:row>
      <xdr:rowOff>116680</xdr:rowOff>
    </xdr:from>
    <xdr:to>
      <xdr:col>8</xdr:col>
      <xdr:colOff>851724</xdr:colOff>
      <xdr:row>89</xdr:row>
      <xdr:rowOff>149338</xdr:rowOff>
    </xdr:to>
    <xdr:pic>
      <xdr:nvPicPr>
        <xdr:cNvPr id="3"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2321071" y="14320360"/>
          <a:ext cx="3247433" cy="352698"/>
        </a:xfrm>
        <a:prstGeom prst="rect">
          <a:avLst/>
        </a:prstGeom>
        <a:noFill/>
        <a:ln w="9525">
          <a:noFill/>
          <a:miter lim="800000"/>
          <a:headEnd/>
          <a:tailEnd/>
        </a:ln>
      </xdr:spPr>
    </xdr:pic>
    <xdr:clientData/>
  </xdr:twoCellAnchor>
  <xdr:twoCellAnchor>
    <xdr:from>
      <xdr:col>5</xdr:col>
      <xdr:colOff>4591</xdr:colOff>
      <xdr:row>80</xdr:row>
      <xdr:rowOff>69057</xdr:rowOff>
    </xdr:from>
    <xdr:to>
      <xdr:col>8</xdr:col>
      <xdr:colOff>4910779</xdr:colOff>
      <xdr:row>83</xdr:row>
      <xdr:rowOff>25210</xdr:rowOff>
    </xdr:to>
    <xdr:grpSp>
      <xdr:nvGrpSpPr>
        <xdr:cNvPr id="4" name="Group 3"/>
        <xdr:cNvGrpSpPr/>
      </xdr:nvGrpSpPr>
      <xdr:grpSpPr>
        <a:xfrm>
          <a:off x="2338216" y="13375482"/>
          <a:ext cx="7306488" cy="441928"/>
          <a:chOff x="2255044" y="9879808"/>
          <a:chExt cx="7251720" cy="456215"/>
        </a:xfrm>
      </xdr:grpSpPr>
      <xdr:pic>
        <xdr:nvPicPr>
          <xdr:cNvPr id="5" name="Picture 7"/>
          <xdr:cNvPicPr>
            <a:picLocks noChangeAspect="1" noChangeArrowheads="1"/>
          </xdr:cNvPicPr>
        </xdr:nvPicPr>
        <xdr:blipFill>
          <a:blip xmlns:r="http://schemas.openxmlformats.org/officeDocument/2006/relationships" r:embed="rId3" cstate="print"/>
          <a:srcRect/>
          <a:stretch>
            <a:fillRect/>
          </a:stretch>
        </xdr:blipFill>
        <xdr:spPr bwMode="auto">
          <a:xfrm>
            <a:off x="2255044" y="10015538"/>
            <a:ext cx="1671605" cy="180440"/>
          </a:xfrm>
          <a:prstGeom prst="rect">
            <a:avLst/>
          </a:prstGeom>
          <a:noFill/>
          <a:ln w="9525">
            <a:noFill/>
            <a:miter lim="800000"/>
            <a:headEnd/>
            <a:tailEnd/>
          </a:ln>
        </xdr:spPr>
      </xdr:pic>
      <xdr:pic>
        <xdr:nvPicPr>
          <xdr:cNvPr id="6" name="Picture 8"/>
          <xdr:cNvPicPr>
            <a:picLocks noChangeAspect="1" noChangeArrowheads="1"/>
          </xdr:cNvPicPr>
        </xdr:nvPicPr>
        <xdr:blipFill>
          <a:blip xmlns:r="http://schemas.openxmlformats.org/officeDocument/2006/relationships" r:embed="rId4" cstate="print"/>
          <a:srcRect/>
          <a:stretch>
            <a:fillRect/>
          </a:stretch>
        </xdr:blipFill>
        <xdr:spPr bwMode="auto">
          <a:xfrm>
            <a:off x="3945731" y="9879808"/>
            <a:ext cx="5561033" cy="456215"/>
          </a:xfrm>
          <a:prstGeom prst="rect">
            <a:avLst/>
          </a:prstGeom>
          <a:noFill/>
          <a:ln w="9525">
            <a:noFill/>
            <a:miter lim="800000"/>
            <a:headEnd/>
            <a:tailEnd/>
          </a:ln>
        </xdr:spPr>
      </xdr:pic>
    </xdr:grpSp>
    <xdr:clientData/>
  </xdr:twoCellAnchor>
  <xdr:twoCellAnchor>
    <xdr:from>
      <xdr:col>5</xdr:col>
      <xdr:colOff>16497</xdr:colOff>
      <xdr:row>83</xdr:row>
      <xdr:rowOff>95252</xdr:rowOff>
    </xdr:from>
    <xdr:to>
      <xdr:col>8</xdr:col>
      <xdr:colOff>3861798</xdr:colOff>
      <xdr:row>86</xdr:row>
      <xdr:rowOff>3662</xdr:rowOff>
    </xdr:to>
    <xdr:pic>
      <xdr:nvPicPr>
        <xdr:cNvPr id="7" name="Picture 10"/>
        <xdr:cNvPicPr>
          <a:picLocks noChangeAspect="1" noChangeArrowheads="1"/>
        </xdr:cNvPicPr>
      </xdr:nvPicPr>
      <xdr:blipFill>
        <a:blip xmlns:r="http://schemas.openxmlformats.org/officeDocument/2006/relationships" r:embed="rId5" cstate="print"/>
        <a:srcRect/>
        <a:stretch>
          <a:fillRect/>
        </a:stretch>
      </xdr:blipFill>
      <xdr:spPr bwMode="auto">
        <a:xfrm>
          <a:off x="2332977" y="13658852"/>
          <a:ext cx="6245601" cy="388470"/>
        </a:xfrm>
        <a:prstGeom prst="rect">
          <a:avLst/>
        </a:prstGeom>
        <a:noFill/>
        <a:ln w="9525">
          <a:noFill/>
          <a:miter lim="800000"/>
          <a:headEnd/>
          <a:tailEnd/>
        </a:ln>
      </xdr:spPr>
    </xdr:pic>
    <xdr:clientData/>
  </xdr:twoCellAnchor>
  <xdr:twoCellAnchor>
    <xdr:from>
      <xdr:col>4</xdr:col>
      <xdr:colOff>307002</xdr:colOff>
      <xdr:row>44</xdr:row>
      <xdr:rowOff>95254</xdr:rowOff>
    </xdr:from>
    <xdr:to>
      <xdr:col>8</xdr:col>
      <xdr:colOff>802234</xdr:colOff>
      <xdr:row>47</xdr:row>
      <xdr:rowOff>3664</xdr:rowOff>
    </xdr:to>
    <xdr:pic>
      <xdr:nvPicPr>
        <xdr:cNvPr id="8" name="Picture 1"/>
        <xdr:cNvPicPr>
          <a:picLocks noChangeAspect="1" noChangeArrowheads="1"/>
        </xdr:cNvPicPr>
      </xdr:nvPicPr>
      <xdr:blipFill>
        <a:blip xmlns:r="http://schemas.openxmlformats.org/officeDocument/2006/relationships" r:embed="rId6" cstate="print"/>
        <a:srcRect/>
        <a:stretch>
          <a:fillRect/>
        </a:stretch>
      </xdr:blipFill>
      <xdr:spPr bwMode="auto">
        <a:xfrm>
          <a:off x="2303442" y="7418074"/>
          <a:ext cx="3215572" cy="388470"/>
        </a:xfrm>
        <a:prstGeom prst="rect">
          <a:avLst/>
        </a:prstGeom>
        <a:noFill/>
        <a:ln w="9525">
          <a:noFill/>
          <a:miter lim="800000"/>
          <a:headEnd/>
          <a:tailEnd/>
        </a:ln>
      </xdr:spPr>
    </xdr:pic>
    <xdr:clientData/>
  </xdr:twoCellAnchor>
  <xdr:twoCellAnchor>
    <xdr:from>
      <xdr:col>5</xdr:col>
      <xdr:colOff>4593</xdr:colOff>
      <xdr:row>48</xdr:row>
      <xdr:rowOff>16674</xdr:rowOff>
    </xdr:from>
    <xdr:to>
      <xdr:col>8</xdr:col>
      <xdr:colOff>1349216</xdr:colOff>
      <xdr:row>49</xdr:row>
      <xdr:rowOff>74114</xdr:rowOff>
    </xdr:to>
    <xdr:pic>
      <xdr:nvPicPr>
        <xdr:cNvPr id="9" name="Picture 2"/>
        <xdr:cNvPicPr>
          <a:picLocks noChangeAspect="1" noChangeArrowheads="1"/>
        </xdr:cNvPicPr>
      </xdr:nvPicPr>
      <xdr:blipFill>
        <a:blip xmlns:r="http://schemas.openxmlformats.org/officeDocument/2006/relationships" r:embed="rId7" cstate="print"/>
        <a:srcRect/>
        <a:stretch>
          <a:fillRect/>
        </a:stretch>
      </xdr:blipFill>
      <xdr:spPr bwMode="auto">
        <a:xfrm>
          <a:off x="2321073" y="7979574"/>
          <a:ext cx="3744923" cy="217460"/>
        </a:xfrm>
        <a:prstGeom prst="rect">
          <a:avLst/>
        </a:prstGeom>
        <a:noFill/>
        <a:ln w="9525">
          <a:noFill/>
          <a:miter lim="800000"/>
          <a:headEnd/>
          <a:tailEnd/>
        </a:ln>
      </xdr:spPr>
    </xdr:pic>
    <xdr:clientData/>
  </xdr:twoCellAnchor>
  <xdr:twoCellAnchor>
    <xdr:from>
      <xdr:col>5</xdr:col>
      <xdr:colOff>16669</xdr:colOff>
      <xdr:row>98</xdr:row>
      <xdr:rowOff>76203</xdr:rowOff>
    </xdr:from>
    <xdr:to>
      <xdr:col>10</xdr:col>
      <xdr:colOff>3855244</xdr:colOff>
      <xdr:row>99</xdr:row>
      <xdr:rowOff>66677</xdr:rowOff>
    </xdr:to>
    <xdr:pic>
      <xdr:nvPicPr>
        <xdr:cNvPr id="10" name="Picture 3"/>
        <xdr:cNvPicPr>
          <a:picLocks noChangeAspect="1" noChangeArrowheads="1"/>
        </xdr:cNvPicPr>
      </xdr:nvPicPr>
      <xdr:blipFill>
        <a:blip xmlns:r="http://schemas.openxmlformats.org/officeDocument/2006/relationships" r:embed="rId8" cstate="print"/>
        <a:srcRect/>
        <a:stretch>
          <a:fillRect/>
        </a:stretch>
      </xdr:blipFill>
      <xdr:spPr bwMode="auto">
        <a:xfrm>
          <a:off x="2333149" y="16040103"/>
          <a:ext cx="11953875" cy="150494"/>
        </a:xfrm>
        <a:prstGeom prst="rect">
          <a:avLst/>
        </a:prstGeom>
        <a:noFill/>
        <a:ln w="9525">
          <a:noFill/>
          <a:miter lim="800000"/>
          <a:headEnd/>
          <a:tailEnd/>
        </a:ln>
      </xdr:spPr>
    </xdr:pic>
    <xdr:clientData/>
  </xdr:twoCellAnchor>
  <xdr:twoCellAnchor>
    <xdr:from>
      <xdr:col>5</xdr:col>
      <xdr:colOff>16669</xdr:colOff>
      <xdr:row>99</xdr:row>
      <xdr:rowOff>152399</xdr:rowOff>
    </xdr:from>
    <xdr:to>
      <xdr:col>8</xdr:col>
      <xdr:colOff>5190417</xdr:colOff>
      <xdr:row>101</xdr:row>
      <xdr:rowOff>45535</xdr:rowOff>
    </xdr:to>
    <xdr:grpSp>
      <xdr:nvGrpSpPr>
        <xdr:cNvPr id="11" name="Group 10"/>
        <xdr:cNvGrpSpPr/>
      </xdr:nvGrpSpPr>
      <xdr:grpSpPr>
        <a:xfrm>
          <a:off x="2350294" y="16535399"/>
          <a:ext cx="7574048" cy="216986"/>
          <a:chOff x="2278856" y="13344525"/>
          <a:chExt cx="7245436" cy="226511"/>
        </a:xfrm>
      </xdr:grpSpPr>
      <xdr:pic>
        <xdr:nvPicPr>
          <xdr:cNvPr id="12" name="Picture 13"/>
          <xdr:cNvPicPr>
            <a:picLocks noChangeAspect="1" noChangeArrowheads="1"/>
          </xdr:cNvPicPr>
        </xdr:nvPicPr>
        <xdr:blipFill>
          <a:blip xmlns:r="http://schemas.openxmlformats.org/officeDocument/2006/relationships" r:embed="rId9" cstate="print"/>
          <a:srcRect/>
          <a:stretch>
            <a:fillRect/>
          </a:stretch>
        </xdr:blipFill>
        <xdr:spPr bwMode="auto">
          <a:xfrm>
            <a:off x="2278856" y="13344525"/>
            <a:ext cx="3025953" cy="190974"/>
          </a:xfrm>
          <a:prstGeom prst="rect">
            <a:avLst/>
          </a:prstGeom>
          <a:noFill/>
          <a:ln w="9525">
            <a:noFill/>
            <a:miter lim="800000"/>
            <a:headEnd/>
            <a:tailEnd/>
          </a:ln>
        </xdr:spPr>
      </xdr:pic>
      <xdr:pic>
        <xdr:nvPicPr>
          <xdr:cNvPr id="13" name="Picture 14"/>
          <xdr:cNvPicPr>
            <a:picLocks noChangeAspect="1" noChangeArrowheads="1"/>
          </xdr:cNvPicPr>
        </xdr:nvPicPr>
        <xdr:blipFill>
          <a:blip xmlns:r="http://schemas.openxmlformats.org/officeDocument/2006/relationships" r:embed="rId10" cstate="print"/>
          <a:srcRect/>
          <a:stretch>
            <a:fillRect/>
          </a:stretch>
        </xdr:blipFill>
        <xdr:spPr bwMode="auto">
          <a:xfrm>
            <a:off x="5322094" y="13346907"/>
            <a:ext cx="4202198" cy="224129"/>
          </a:xfrm>
          <a:prstGeom prst="rect">
            <a:avLst/>
          </a:prstGeom>
          <a:noFill/>
          <a:ln w="9525">
            <a:noFill/>
            <a:miter lim="800000"/>
            <a:headEnd/>
            <a:tailEnd/>
          </a:ln>
        </xdr:spPr>
      </xdr:pic>
    </xdr:grpSp>
    <xdr:clientData/>
  </xdr:twoCellAnchor>
  <xdr:twoCellAnchor>
    <xdr:from>
      <xdr:col>4</xdr:col>
      <xdr:colOff>16496</xdr:colOff>
      <xdr:row>134</xdr:row>
      <xdr:rowOff>140492</xdr:rowOff>
    </xdr:from>
    <xdr:to>
      <xdr:col>8</xdr:col>
      <xdr:colOff>3030931</xdr:colOff>
      <xdr:row>137</xdr:row>
      <xdr:rowOff>82057</xdr:rowOff>
    </xdr:to>
    <xdr:pic>
      <xdr:nvPicPr>
        <xdr:cNvPr id="14" name="Picture 15"/>
        <xdr:cNvPicPr>
          <a:picLocks noChangeAspect="1" noChangeArrowheads="1"/>
        </xdr:cNvPicPr>
      </xdr:nvPicPr>
      <xdr:blipFill>
        <a:blip xmlns:r="http://schemas.openxmlformats.org/officeDocument/2006/relationships" r:embed="rId11" cstate="print"/>
        <a:srcRect/>
        <a:stretch>
          <a:fillRect/>
        </a:stretch>
      </xdr:blipFill>
      <xdr:spPr bwMode="auto">
        <a:xfrm>
          <a:off x="2012936" y="21887972"/>
          <a:ext cx="5734775" cy="444485"/>
        </a:xfrm>
        <a:prstGeom prst="rect">
          <a:avLst/>
        </a:prstGeom>
        <a:noFill/>
        <a:ln w="9525">
          <a:noFill/>
          <a:miter lim="800000"/>
          <a:headEnd/>
          <a:tailEnd/>
        </a:ln>
      </xdr:spPr>
    </xdr:pic>
    <xdr:clientData/>
  </xdr:twoCellAnchor>
  <xdr:twoCellAnchor>
    <xdr:from>
      <xdr:col>5</xdr:col>
      <xdr:colOff>4592</xdr:colOff>
      <xdr:row>141</xdr:row>
      <xdr:rowOff>116683</xdr:rowOff>
    </xdr:from>
    <xdr:to>
      <xdr:col>8</xdr:col>
      <xdr:colOff>2607493</xdr:colOff>
      <xdr:row>143</xdr:row>
      <xdr:rowOff>158624</xdr:rowOff>
    </xdr:to>
    <xdr:pic>
      <xdr:nvPicPr>
        <xdr:cNvPr id="15" name="Picture 16"/>
        <xdr:cNvPicPr>
          <a:picLocks noChangeAspect="1" noChangeArrowheads="1"/>
        </xdr:cNvPicPr>
      </xdr:nvPicPr>
      <xdr:blipFill>
        <a:blip xmlns:r="http://schemas.openxmlformats.org/officeDocument/2006/relationships" r:embed="rId12" cstate="print"/>
        <a:srcRect/>
        <a:stretch>
          <a:fillRect/>
        </a:stretch>
      </xdr:blipFill>
      <xdr:spPr bwMode="auto">
        <a:xfrm>
          <a:off x="2321072" y="23022403"/>
          <a:ext cx="5003201" cy="377221"/>
        </a:xfrm>
        <a:prstGeom prst="rect">
          <a:avLst/>
        </a:prstGeom>
        <a:noFill/>
        <a:ln w="9525">
          <a:noFill/>
          <a:miter lim="800000"/>
          <a:headEnd/>
          <a:tailEnd/>
        </a:ln>
      </xdr:spPr>
    </xdr:pic>
    <xdr:clientData/>
  </xdr:twoCellAnchor>
  <xdr:twoCellAnchor>
    <xdr:from>
      <xdr:col>4</xdr:col>
      <xdr:colOff>295102</xdr:colOff>
      <xdr:row>112</xdr:row>
      <xdr:rowOff>135732</xdr:rowOff>
    </xdr:from>
    <xdr:to>
      <xdr:col>8</xdr:col>
      <xdr:colOff>4137803</xdr:colOff>
      <xdr:row>115</xdr:row>
      <xdr:rowOff>1703</xdr:rowOff>
    </xdr:to>
    <xdr:pic>
      <xdr:nvPicPr>
        <xdr:cNvPr id="16" name="Picture 15"/>
        <xdr:cNvPicPr>
          <a:picLocks noChangeAspect="1" noChangeArrowheads="1"/>
        </xdr:cNvPicPr>
      </xdr:nvPicPr>
      <xdr:blipFill>
        <a:blip xmlns:r="http://schemas.openxmlformats.org/officeDocument/2006/relationships" r:embed="rId13" cstate="print"/>
        <a:srcRect/>
        <a:stretch>
          <a:fillRect/>
        </a:stretch>
      </xdr:blipFill>
      <xdr:spPr bwMode="auto">
        <a:xfrm>
          <a:off x="2291542" y="18339912"/>
          <a:ext cx="6563041" cy="346031"/>
        </a:xfrm>
        <a:prstGeom prst="rect">
          <a:avLst/>
        </a:prstGeom>
        <a:noFill/>
        <a:ln w="9525">
          <a:noFill/>
          <a:miter lim="800000"/>
          <a:headEnd/>
          <a:tailEnd/>
        </a:ln>
      </xdr:spPr>
    </xdr:pic>
    <xdr:clientData/>
  </xdr:twoCellAnchor>
  <xdr:twoCellAnchor>
    <xdr:from>
      <xdr:col>4</xdr:col>
      <xdr:colOff>307009</xdr:colOff>
      <xdr:row>109</xdr:row>
      <xdr:rowOff>121443</xdr:rowOff>
    </xdr:from>
    <xdr:to>
      <xdr:col>8</xdr:col>
      <xdr:colOff>2401881</xdr:colOff>
      <xdr:row>111</xdr:row>
      <xdr:rowOff>154101</xdr:rowOff>
    </xdr:to>
    <xdr:pic>
      <xdr:nvPicPr>
        <xdr:cNvPr id="17" name="Picture 4"/>
        <xdr:cNvPicPr>
          <a:picLocks noChangeAspect="1" noChangeArrowheads="1"/>
        </xdr:cNvPicPr>
      </xdr:nvPicPr>
      <xdr:blipFill>
        <a:blip xmlns:r="http://schemas.openxmlformats.org/officeDocument/2006/relationships" r:embed="rId14" cstate="print"/>
        <a:srcRect/>
        <a:stretch>
          <a:fillRect/>
        </a:stretch>
      </xdr:blipFill>
      <xdr:spPr bwMode="auto">
        <a:xfrm>
          <a:off x="2303449" y="17845563"/>
          <a:ext cx="4815212" cy="352698"/>
        </a:xfrm>
        <a:prstGeom prst="rect">
          <a:avLst/>
        </a:prstGeom>
        <a:noFill/>
        <a:ln w="9525">
          <a:noFill/>
          <a:miter lim="800000"/>
          <a:headEnd/>
          <a:tailEnd/>
        </a:ln>
      </xdr:spPr>
    </xdr:pic>
    <xdr:clientData/>
  </xdr:twoCellAnchor>
  <xdr:twoCellAnchor>
    <xdr:from>
      <xdr:col>4</xdr:col>
      <xdr:colOff>295102</xdr:colOff>
      <xdr:row>115</xdr:row>
      <xdr:rowOff>116681</xdr:rowOff>
    </xdr:from>
    <xdr:to>
      <xdr:col>8</xdr:col>
      <xdr:colOff>3930075</xdr:colOff>
      <xdr:row>117</xdr:row>
      <xdr:rowOff>149339</xdr:rowOff>
    </xdr:to>
    <xdr:pic>
      <xdr:nvPicPr>
        <xdr:cNvPr id="18" name="Picture 5"/>
        <xdr:cNvPicPr>
          <a:picLocks noChangeAspect="1" noChangeArrowheads="1"/>
        </xdr:cNvPicPr>
      </xdr:nvPicPr>
      <xdr:blipFill>
        <a:blip xmlns:r="http://schemas.openxmlformats.org/officeDocument/2006/relationships" r:embed="rId15" cstate="print"/>
        <a:srcRect/>
        <a:stretch>
          <a:fillRect/>
        </a:stretch>
      </xdr:blipFill>
      <xdr:spPr bwMode="auto">
        <a:xfrm>
          <a:off x="2291542" y="18800921"/>
          <a:ext cx="6355313" cy="352698"/>
        </a:xfrm>
        <a:prstGeom prst="rect">
          <a:avLst/>
        </a:prstGeom>
        <a:noFill/>
        <a:ln w="9525">
          <a:noFill/>
          <a:miter lim="800000"/>
          <a:headEnd/>
          <a:tailEnd/>
        </a:ln>
      </xdr:spPr>
    </xdr:pic>
    <xdr:clientData/>
  </xdr:twoCellAnchor>
  <xdr:twoCellAnchor>
    <xdr:from>
      <xdr:col>4</xdr:col>
      <xdr:colOff>302245</xdr:colOff>
      <xdr:row>148</xdr:row>
      <xdr:rowOff>100011</xdr:rowOff>
    </xdr:from>
    <xdr:to>
      <xdr:col>8</xdr:col>
      <xdr:colOff>4885073</xdr:colOff>
      <xdr:row>151</xdr:row>
      <xdr:rowOff>23008</xdr:rowOff>
    </xdr:to>
    <xdr:grpSp>
      <xdr:nvGrpSpPr>
        <xdr:cNvPr id="19" name="Group 18"/>
        <xdr:cNvGrpSpPr/>
      </xdr:nvGrpSpPr>
      <xdr:grpSpPr>
        <a:xfrm>
          <a:off x="2312020" y="24560211"/>
          <a:ext cx="7306978" cy="408772"/>
          <a:chOff x="2255043" y="19245263"/>
          <a:chExt cx="7237922" cy="423060"/>
        </a:xfrm>
      </xdr:grpSpPr>
      <xdr:pic>
        <xdr:nvPicPr>
          <xdr:cNvPr id="20" name="Picture 17"/>
          <xdr:cNvPicPr>
            <a:picLocks noChangeAspect="1" noChangeArrowheads="1"/>
          </xdr:cNvPicPr>
        </xdr:nvPicPr>
        <xdr:blipFill>
          <a:blip xmlns:r="http://schemas.openxmlformats.org/officeDocument/2006/relationships" r:embed="rId16" cstate="print"/>
          <a:srcRect/>
          <a:stretch>
            <a:fillRect/>
          </a:stretch>
        </xdr:blipFill>
        <xdr:spPr bwMode="auto">
          <a:xfrm>
            <a:off x="2255043" y="19330987"/>
            <a:ext cx="1947619" cy="190974"/>
          </a:xfrm>
          <a:prstGeom prst="rect">
            <a:avLst/>
          </a:prstGeom>
          <a:noFill/>
          <a:ln w="9525">
            <a:noFill/>
            <a:miter lim="800000"/>
            <a:headEnd/>
            <a:tailEnd/>
          </a:ln>
        </xdr:spPr>
      </xdr:pic>
      <xdr:pic>
        <xdr:nvPicPr>
          <xdr:cNvPr id="21" name="Picture 18"/>
          <xdr:cNvPicPr>
            <a:picLocks noChangeAspect="1" noChangeArrowheads="1"/>
          </xdr:cNvPicPr>
        </xdr:nvPicPr>
        <xdr:blipFill>
          <a:blip xmlns:r="http://schemas.openxmlformats.org/officeDocument/2006/relationships" r:embed="rId17" cstate="print"/>
          <a:srcRect/>
          <a:stretch>
            <a:fillRect/>
          </a:stretch>
        </xdr:blipFill>
        <xdr:spPr bwMode="auto">
          <a:xfrm>
            <a:off x="4212431" y="19245263"/>
            <a:ext cx="5280534" cy="423060"/>
          </a:xfrm>
          <a:prstGeom prst="rect">
            <a:avLst/>
          </a:prstGeom>
          <a:noFill/>
          <a:ln w="9525">
            <a:noFill/>
            <a:miter lim="800000"/>
            <a:headEnd/>
            <a:tailEnd/>
          </a:ln>
        </xdr:spPr>
      </xdr:pic>
    </xdr:grpSp>
    <xdr:clientData/>
  </xdr:twoCellAnchor>
  <xdr:twoCellAnchor>
    <xdr:from>
      <xdr:col>5</xdr:col>
      <xdr:colOff>9526</xdr:colOff>
      <xdr:row>155</xdr:row>
      <xdr:rowOff>50008</xdr:rowOff>
    </xdr:from>
    <xdr:to>
      <xdr:col>8</xdr:col>
      <xdr:colOff>4095633</xdr:colOff>
      <xdr:row>157</xdr:row>
      <xdr:rowOff>158260</xdr:rowOff>
    </xdr:to>
    <xdr:pic>
      <xdr:nvPicPr>
        <xdr:cNvPr id="22" name="Picture 6"/>
        <xdr:cNvPicPr>
          <a:picLocks noChangeAspect="1" noChangeArrowheads="1"/>
        </xdr:cNvPicPr>
      </xdr:nvPicPr>
      <xdr:blipFill>
        <a:blip xmlns:r="http://schemas.openxmlformats.org/officeDocument/2006/relationships" r:embed="rId18" cstate="print"/>
        <a:srcRect/>
        <a:stretch>
          <a:fillRect/>
        </a:stretch>
      </xdr:blipFill>
      <xdr:spPr bwMode="auto">
        <a:xfrm>
          <a:off x="2326006" y="25249348"/>
          <a:ext cx="6486407" cy="428292"/>
        </a:xfrm>
        <a:prstGeom prst="rect">
          <a:avLst/>
        </a:prstGeom>
        <a:noFill/>
        <a:ln w="9525">
          <a:noFill/>
          <a:miter lim="800000"/>
          <a:headEnd/>
          <a:tailEnd/>
        </a:ln>
      </xdr:spPr>
    </xdr:pic>
    <xdr:clientData/>
  </xdr:twoCellAnchor>
  <xdr:twoCellAnchor>
    <xdr:from>
      <xdr:col>5</xdr:col>
      <xdr:colOff>0</xdr:colOff>
      <xdr:row>165</xdr:row>
      <xdr:rowOff>83344</xdr:rowOff>
    </xdr:from>
    <xdr:to>
      <xdr:col>8</xdr:col>
      <xdr:colOff>2305201</xdr:colOff>
      <xdr:row>167</xdr:row>
      <xdr:rowOff>125285</xdr:rowOff>
    </xdr:to>
    <xdr:pic>
      <xdr:nvPicPr>
        <xdr:cNvPr id="23" name="Picture 7"/>
        <xdr:cNvPicPr>
          <a:picLocks noChangeAspect="1" noChangeArrowheads="1"/>
        </xdr:cNvPicPr>
      </xdr:nvPicPr>
      <xdr:blipFill>
        <a:blip xmlns:r="http://schemas.openxmlformats.org/officeDocument/2006/relationships" r:embed="rId19" cstate="print"/>
        <a:srcRect/>
        <a:stretch>
          <a:fillRect/>
        </a:stretch>
      </xdr:blipFill>
      <xdr:spPr bwMode="auto">
        <a:xfrm>
          <a:off x="2316480" y="26882884"/>
          <a:ext cx="4705501" cy="361981"/>
        </a:xfrm>
        <a:prstGeom prst="rect">
          <a:avLst/>
        </a:prstGeom>
        <a:noFill/>
        <a:ln w="9525">
          <a:noFill/>
          <a:miter lim="800000"/>
          <a:headEnd/>
          <a:tailEnd/>
        </a:ln>
      </xdr:spPr>
    </xdr:pic>
    <xdr:clientData/>
  </xdr:twoCellAnchor>
  <xdr:twoCellAnchor>
    <xdr:from>
      <xdr:col>5</xdr:col>
      <xdr:colOff>9524</xdr:colOff>
      <xdr:row>172</xdr:row>
      <xdr:rowOff>47624</xdr:rowOff>
    </xdr:from>
    <xdr:to>
      <xdr:col>10</xdr:col>
      <xdr:colOff>376636</xdr:colOff>
      <xdr:row>174</xdr:row>
      <xdr:rowOff>137309</xdr:rowOff>
    </xdr:to>
    <xdr:grpSp>
      <xdr:nvGrpSpPr>
        <xdr:cNvPr id="24" name="Group 23"/>
        <xdr:cNvGrpSpPr/>
      </xdr:nvGrpSpPr>
      <xdr:grpSpPr>
        <a:xfrm>
          <a:off x="2343149" y="28394024"/>
          <a:ext cx="8482412" cy="413535"/>
          <a:chOff x="2224087" y="27884438"/>
          <a:chExt cx="8272862" cy="423060"/>
        </a:xfrm>
      </xdr:grpSpPr>
      <xdr:pic>
        <xdr:nvPicPr>
          <xdr:cNvPr id="25" name="Picture 9"/>
          <xdr:cNvPicPr>
            <a:picLocks noChangeAspect="1" noChangeArrowheads="1"/>
          </xdr:cNvPicPr>
        </xdr:nvPicPr>
        <xdr:blipFill>
          <a:blip xmlns:r="http://schemas.openxmlformats.org/officeDocument/2006/relationships" r:embed="rId20" cstate="print"/>
          <a:srcRect/>
          <a:stretch>
            <a:fillRect/>
          </a:stretch>
        </xdr:blipFill>
        <xdr:spPr bwMode="auto">
          <a:xfrm>
            <a:off x="2224087" y="27989212"/>
            <a:ext cx="1970005" cy="193169"/>
          </a:xfrm>
          <a:prstGeom prst="rect">
            <a:avLst/>
          </a:prstGeom>
          <a:noFill/>
          <a:ln w="9525">
            <a:noFill/>
            <a:miter lim="800000"/>
            <a:headEnd/>
            <a:tailEnd/>
          </a:ln>
        </xdr:spPr>
      </xdr:pic>
      <xdr:pic>
        <xdr:nvPicPr>
          <xdr:cNvPr id="26" name="Picture 10"/>
          <xdr:cNvPicPr>
            <a:picLocks noChangeAspect="1" noChangeArrowheads="1"/>
          </xdr:cNvPicPr>
        </xdr:nvPicPr>
        <xdr:blipFill>
          <a:blip xmlns:r="http://schemas.openxmlformats.org/officeDocument/2006/relationships" r:embed="rId21" cstate="print"/>
          <a:srcRect/>
          <a:stretch>
            <a:fillRect/>
          </a:stretch>
        </xdr:blipFill>
        <xdr:spPr bwMode="auto">
          <a:xfrm>
            <a:off x="4155281" y="27884438"/>
            <a:ext cx="6341668" cy="423060"/>
          </a:xfrm>
          <a:prstGeom prst="rect">
            <a:avLst/>
          </a:prstGeom>
          <a:noFill/>
          <a:ln w="9525">
            <a:noFill/>
            <a:miter lim="800000"/>
            <a:headEnd/>
            <a:tailEnd/>
          </a:ln>
        </xdr:spPr>
      </xdr:pic>
    </xdr:grpSp>
    <xdr:clientData/>
  </xdr:twoCellAnchor>
  <xdr:twoCellAnchor>
    <xdr:from>
      <xdr:col>5</xdr:col>
      <xdr:colOff>16663</xdr:colOff>
      <xdr:row>78</xdr:row>
      <xdr:rowOff>138116</xdr:rowOff>
    </xdr:from>
    <xdr:to>
      <xdr:col>8</xdr:col>
      <xdr:colOff>2413797</xdr:colOff>
      <xdr:row>79</xdr:row>
      <xdr:rowOff>153896</xdr:rowOff>
    </xdr:to>
    <xdr:pic>
      <xdr:nvPicPr>
        <xdr:cNvPr id="27" name="Picture 1"/>
        <xdr:cNvPicPr>
          <a:picLocks noChangeAspect="1" noChangeArrowheads="1"/>
        </xdr:cNvPicPr>
      </xdr:nvPicPr>
      <xdr:blipFill>
        <a:blip xmlns:r="http://schemas.openxmlformats.org/officeDocument/2006/relationships" r:embed="rId22" cstate="print"/>
        <a:srcRect/>
        <a:stretch>
          <a:fillRect/>
        </a:stretch>
      </xdr:blipFill>
      <xdr:spPr bwMode="auto">
        <a:xfrm>
          <a:off x="2333143" y="12901616"/>
          <a:ext cx="4797434" cy="175800"/>
        </a:xfrm>
        <a:prstGeom prst="rect">
          <a:avLst/>
        </a:prstGeom>
        <a:noFill/>
        <a:ln w="9525">
          <a:noFill/>
          <a:miter lim="800000"/>
          <a:headEnd/>
          <a:tailEnd/>
        </a:ln>
      </xdr:spPr>
    </xdr:pic>
    <xdr:clientData/>
  </xdr:twoCellAnchor>
  <xdr:twoCellAnchor>
    <xdr:from>
      <xdr:col>5</xdr:col>
      <xdr:colOff>16669</xdr:colOff>
      <xdr:row>75</xdr:row>
      <xdr:rowOff>130968</xdr:rowOff>
    </xdr:from>
    <xdr:to>
      <xdr:col>8</xdr:col>
      <xdr:colOff>1526680</xdr:colOff>
      <xdr:row>78</xdr:row>
      <xdr:rowOff>39378</xdr:rowOff>
    </xdr:to>
    <xdr:pic>
      <xdr:nvPicPr>
        <xdr:cNvPr id="28" name="Picture 2"/>
        <xdr:cNvPicPr>
          <a:picLocks noChangeAspect="1" noChangeArrowheads="1"/>
        </xdr:cNvPicPr>
      </xdr:nvPicPr>
      <xdr:blipFill>
        <a:blip xmlns:r="http://schemas.openxmlformats.org/officeDocument/2006/relationships" r:embed="rId23" cstate="print"/>
        <a:srcRect/>
        <a:stretch>
          <a:fillRect/>
        </a:stretch>
      </xdr:blipFill>
      <xdr:spPr bwMode="auto">
        <a:xfrm>
          <a:off x="2333149" y="12414408"/>
          <a:ext cx="3910311" cy="38847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557221</xdr:colOff>
      <xdr:row>37</xdr:row>
      <xdr:rowOff>100016</xdr:rowOff>
    </xdr:from>
    <xdr:to>
      <xdr:col>7</xdr:col>
      <xdr:colOff>2713075</xdr:colOff>
      <xdr:row>40</xdr:row>
      <xdr:rowOff>12906</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88377" y="6624641"/>
          <a:ext cx="4751417" cy="412953"/>
        </a:xfrm>
        <a:prstGeom prst="rect">
          <a:avLst/>
        </a:prstGeom>
        <a:noFill/>
        <a:ln w="9525">
          <a:noFill/>
          <a:miter lim="800000"/>
          <a:headEnd/>
          <a:tailEnd/>
        </a:ln>
      </xdr:spPr>
    </xdr:pic>
    <xdr:clientData/>
  </xdr:twoCellAnchor>
  <xdr:twoCellAnchor>
    <xdr:from>
      <xdr:col>3</xdr:col>
      <xdr:colOff>569119</xdr:colOff>
      <xdr:row>41</xdr:row>
      <xdr:rowOff>33338</xdr:rowOff>
    </xdr:from>
    <xdr:to>
      <xdr:col>9</xdr:col>
      <xdr:colOff>1216818</xdr:colOff>
      <xdr:row>43</xdr:row>
      <xdr:rowOff>158591</xdr:rowOff>
    </xdr:to>
    <xdr:grpSp>
      <xdr:nvGrpSpPr>
        <xdr:cNvPr id="1026" name="Group 2"/>
        <xdr:cNvGrpSpPr>
          <a:grpSpLocks noChangeAspect="1"/>
        </xdr:cNvGrpSpPr>
      </xdr:nvGrpSpPr>
      <xdr:grpSpPr bwMode="auto">
        <a:xfrm>
          <a:off x="2255044" y="7148513"/>
          <a:ext cx="9143999" cy="449103"/>
          <a:chOff x="547" y="8136"/>
          <a:chExt cx="15870" cy="780"/>
        </a:xfrm>
      </xdr:grpSpPr>
      <xdr:pic>
        <xdr:nvPicPr>
          <xdr:cNvPr id="102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547" y="8136"/>
            <a:ext cx="12240" cy="780"/>
          </a:xfrm>
          <a:prstGeom prst="rect">
            <a:avLst/>
          </a:prstGeom>
          <a:noFill/>
          <a:ln w="9525">
            <a:noFill/>
            <a:miter lim="800000"/>
            <a:headEnd/>
            <a:tailEnd/>
          </a:ln>
        </xdr:spPr>
      </xdr:pic>
      <xdr:pic>
        <xdr:nvPicPr>
          <xdr:cNvPr id="1028" name="Picture 4"/>
          <xdr:cNvPicPr>
            <a:picLocks noChangeAspect="1" noChangeArrowheads="1"/>
          </xdr:cNvPicPr>
        </xdr:nvPicPr>
        <xdr:blipFill>
          <a:blip xmlns:r="http://schemas.openxmlformats.org/officeDocument/2006/relationships" r:embed="rId3" cstate="print"/>
          <a:srcRect/>
          <a:stretch>
            <a:fillRect/>
          </a:stretch>
        </xdr:blipFill>
        <xdr:spPr bwMode="auto">
          <a:xfrm>
            <a:off x="12607" y="8316"/>
            <a:ext cx="3810" cy="345"/>
          </a:xfrm>
          <a:prstGeom prst="rect">
            <a:avLst/>
          </a:prstGeom>
          <a:noFill/>
          <a:ln w="9525">
            <a:noFill/>
            <a:miter lim="800000"/>
            <a:headEnd/>
            <a:tailEnd/>
          </a:ln>
        </xdr:spPr>
      </xdr:pic>
    </xdr:grpSp>
    <xdr:clientData/>
  </xdr:twoCellAnchor>
  <xdr:twoCellAnchor>
    <xdr:from>
      <xdr:col>3</xdr:col>
      <xdr:colOff>581033</xdr:colOff>
      <xdr:row>50</xdr:row>
      <xdr:rowOff>59531</xdr:rowOff>
    </xdr:from>
    <xdr:to>
      <xdr:col>9</xdr:col>
      <xdr:colOff>901691</xdr:colOff>
      <xdr:row>53</xdr:row>
      <xdr:rowOff>2809</xdr:rowOff>
    </xdr:to>
    <xdr:grpSp>
      <xdr:nvGrpSpPr>
        <xdr:cNvPr id="1032" name="Group 8"/>
        <xdr:cNvGrpSpPr>
          <a:grpSpLocks noChangeAspect="1"/>
        </xdr:cNvGrpSpPr>
      </xdr:nvGrpSpPr>
      <xdr:grpSpPr bwMode="auto">
        <a:xfrm>
          <a:off x="2266958" y="8641556"/>
          <a:ext cx="8816958" cy="429053"/>
          <a:chOff x="547" y="10267"/>
          <a:chExt cx="15825" cy="780"/>
        </a:xfrm>
      </xdr:grpSpPr>
      <xdr:pic>
        <xdr:nvPicPr>
          <xdr:cNvPr id="3" name="Picture 9"/>
          <xdr:cNvPicPr>
            <a:picLocks noChangeAspect="1" noChangeArrowheads="1"/>
          </xdr:cNvPicPr>
        </xdr:nvPicPr>
        <xdr:blipFill>
          <a:blip xmlns:r="http://schemas.openxmlformats.org/officeDocument/2006/relationships" r:embed="rId4" cstate="print"/>
          <a:srcRect/>
          <a:stretch>
            <a:fillRect/>
          </a:stretch>
        </xdr:blipFill>
        <xdr:spPr bwMode="auto">
          <a:xfrm>
            <a:off x="547" y="10267"/>
            <a:ext cx="11910" cy="780"/>
          </a:xfrm>
          <a:prstGeom prst="rect">
            <a:avLst/>
          </a:prstGeom>
          <a:noFill/>
          <a:ln w="9525">
            <a:noFill/>
            <a:miter lim="800000"/>
            <a:headEnd/>
            <a:tailEnd/>
          </a:ln>
        </xdr:spPr>
      </xdr:pic>
      <xdr:pic>
        <xdr:nvPicPr>
          <xdr:cNvPr id="4" name="Picture 10"/>
          <xdr:cNvPicPr>
            <a:picLocks noChangeAspect="1" noChangeArrowheads="1"/>
          </xdr:cNvPicPr>
        </xdr:nvPicPr>
        <xdr:blipFill>
          <a:blip xmlns:r="http://schemas.openxmlformats.org/officeDocument/2006/relationships" r:embed="rId5" cstate="print"/>
          <a:srcRect/>
          <a:stretch>
            <a:fillRect/>
          </a:stretch>
        </xdr:blipFill>
        <xdr:spPr bwMode="auto">
          <a:xfrm>
            <a:off x="12427" y="10462"/>
            <a:ext cx="3945" cy="345"/>
          </a:xfrm>
          <a:prstGeom prst="rect">
            <a:avLst/>
          </a:prstGeom>
          <a:noFill/>
          <a:ln w="9525">
            <a:noFill/>
            <a:miter lim="800000"/>
            <a:headEnd/>
            <a:tailEnd/>
          </a:ln>
        </xdr:spPr>
      </xdr:pic>
    </xdr:grpSp>
    <xdr:clientData/>
  </xdr:twoCellAnchor>
  <xdr:twoCellAnchor>
    <xdr:from>
      <xdr:col>3</xdr:col>
      <xdr:colOff>581030</xdr:colOff>
      <xdr:row>56</xdr:row>
      <xdr:rowOff>50007</xdr:rowOff>
    </xdr:from>
    <xdr:to>
      <xdr:col>7</xdr:col>
      <xdr:colOff>3250728</xdr:colOff>
      <xdr:row>58</xdr:row>
      <xdr:rowOff>129585</xdr:rowOff>
    </xdr:to>
    <xdr:pic>
      <xdr:nvPicPr>
        <xdr:cNvPr id="5" name="Picture 11"/>
        <xdr:cNvPicPr>
          <a:picLocks noChangeAspect="1" noChangeArrowheads="1"/>
        </xdr:cNvPicPr>
      </xdr:nvPicPr>
      <xdr:blipFill>
        <a:blip xmlns:r="http://schemas.openxmlformats.org/officeDocument/2006/relationships" r:embed="rId6" cstate="print"/>
        <a:srcRect/>
        <a:stretch>
          <a:fillRect/>
        </a:stretch>
      </xdr:blipFill>
      <xdr:spPr bwMode="auto">
        <a:xfrm>
          <a:off x="2212186" y="9908382"/>
          <a:ext cx="5265261" cy="412953"/>
        </a:xfrm>
        <a:prstGeom prst="rect">
          <a:avLst/>
        </a:prstGeom>
        <a:noFill/>
        <a:ln w="9525">
          <a:noFill/>
          <a:miter lim="800000"/>
          <a:headEnd/>
          <a:tailEnd/>
        </a:ln>
      </xdr:spPr>
    </xdr:pic>
    <xdr:clientData/>
  </xdr:twoCellAnchor>
  <xdr:twoCellAnchor>
    <xdr:from>
      <xdr:col>3</xdr:col>
      <xdr:colOff>581026</xdr:colOff>
      <xdr:row>100</xdr:row>
      <xdr:rowOff>97631</xdr:rowOff>
    </xdr:from>
    <xdr:to>
      <xdr:col>7</xdr:col>
      <xdr:colOff>4611474</xdr:colOff>
      <xdr:row>102</xdr:row>
      <xdr:rowOff>126082</xdr:rowOff>
    </xdr:to>
    <xdr:pic>
      <xdr:nvPicPr>
        <xdr:cNvPr id="2" name="Picture 2"/>
        <xdr:cNvPicPr>
          <a:picLocks noChangeAspect="1" noChangeArrowheads="1"/>
        </xdr:cNvPicPr>
      </xdr:nvPicPr>
      <xdr:blipFill>
        <a:blip xmlns:r="http://schemas.openxmlformats.org/officeDocument/2006/relationships" r:embed="rId7" cstate="print"/>
        <a:srcRect/>
        <a:stretch>
          <a:fillRect/>
        </a:stretch>
      </xdr:blipFill>
      <xdr:spPr bwMode="auto">
        <a:xfrm>
          <a:off x="2212182" y="17325975"/>
          <a:ext cx="6685542" cy="361826"/>
        </a:xfrm>
        <a:prstGeom prst="rect">
          <a:avLst/>
        </a:prstGeom>
        <a:noFill/>
        <a:ln w="9525">
          <a:noFill/>
          <a:miter lim="800000"/>
          <a:headEnd/>
          <a:tailEnd/>
        </a:ln>
      </xdr:spPr>
    </xdr:pic>
    <xdr:clientData/>
  </xdr:twoCellAnchor>
  <xdr:twoCellAnchor>
    <xdr:from>
      <xdr:col>3</xdr:col>
      <xdr:colOff>581025</xdr:colOff>
      <xdr:row>103</xdr:row>
      <xdr:rowOff>92869</xdr:rowOff>
    </xdr:from>
    <xdr:to>
      <xdr:col>7</xdr:col>
      <xdr:colOff>2504728</xdr:colOff>
      <xdr:row>105</xdr:row>
      <xdr:rowOff>154094</xdr:rowOff>
    </xdr:to>
    <xdr:pic>
      <xdr:nvPicPr>
        <xdr:cNvPr id="6" name="Picture 3"/>
        <xdr:cNvPicPr>
          <a:picLocks noChangeAspect="1" noChangeArrowheads="1"/>
        </xdr:cNvPicPr>
      </xdr:nvPicPr>
      <xdr:blipFill>
        <a:blip xmlns:r="http://schemas.openxmlformats.org/officeDocument/2006/relationships" r:embed="rId8" cstate="print"/>
        <a:srcRect/>
        <a:stretch>
          <a:fillRect/>
        </a:stretch>
      </xdr:blipFill>
      <xdr:spPr bwMode="auto">
        <a:xfrm>
          <a:off x="2212181" y="17821275"/>
          <a:ext cx="4578797" cy="394600"/>
        </a:xfrm>
        <a:prstGeom prst="rect">
          <a:avLst/>
        </a:prstGeom>
        <a:noFill/>
        <a:ln w="9525">
          <a:noFill/>
          <a:miter lim="800000"/>
          <a:headEnd/>
          <a:tailEnd/>
        </a:ln>
      </xdr:spPr>
    </xdr:pic>
    <xdr:clientData/>
  </xdr:twoCellAnchor>
  <xdr:twoCellAnchor>
    <xdr:from>
      <xdr:col>3</xdr:col>
      <xdr:colOff>581029</xdr:colOff>
      <xdr:row>107</xdr:row>
      <xdr:rowOff>85729</xdr:rowOff>
    </xdr:from>
    <xdr:to>
      <xdr:col>9</xdr:col>
      <xdr:colOff>1970419</xdr:colOff>
      <xdr:row>109</xdr:row>
      <xdr:rowOff>137992</xdr:rowOff>
    </xdr:to>
    <xdr:grpSp>
      <xdr:nvGrpSpPr>
        <xdr:cNvPr id="15" name="Group 14"/>
        <xdr:cNvGrpSpPr/>
      </xdr:nvGrpSpPr>
      <xdr:grpSpPr>
        <a:xfrm>
          <a:off x="2266954" y="18211804"/>
          <a:ext cx="9885690" cy="395163"/>
          <a:chOff x="2224091" y="18468979"/>
          <a:chExt cx="9807109" cy="385638"/>
        </a:xfrm>
      </xdr:grpSpPr>
      <xdr:pic>
        <xdr:nvPicPr>
          <xdr:cNvPr id="1029" name="Picture 5"/>
          <xdr:cNvPicPr>
            <a:picLocks noChangeAspect="1" noChangeArrowheads="1"/>
          </xdr:cNvPicPr>
        </xdr:nvPicPr>
        <xdr:blipFill>
          <a:blip xmlns:r="http://schemas.openxmlformats.org/officeDocument/2006/relationships" r:embed="rId9" cstate="print"/>
          <a:srcRect/>
          <a:stretch>
            <a:fillRect/>
          </a:stretch>
        </xdr:blipFill>
        <xdr:spPr bwMode="auto">
          <a:xfrm>
            <a:off x="2224091" y="18492791"/>
            <a:ext cx="5463918" cy="361826"/>
          </a:xfrm>
          <a:prstGeom prst="rect">
            <a:avLst/>
          </a:prstGeom>
          <a:noFill/>
          <a:ln w="9525">
            <a:noFill/>
            <a:miter lim="800000"/>
            <a:headEnd/>
            <a:tailEnd/>
          </a:ln>
        </xdr:spPr>
      </xdr:pic>
      <xdr:pic>
        <xdr:nvPicPr>
          <xdr:cNvPr id="1030" name="Picture 6"/>
          <xdr:cNvPicPr>
            <a:picLocks noChangeAspect="1" noChangeArrowheads="1"/>
          </xdr:cNvPicPr>
        </xdr:nvPicPr>
        <xdr:blipFill>
          <a:blip xmlns:r="http://schemas.openxmlformats.org/officeDocument/2006/relationships" r:embed="rId10" cstate="print"/>
          <a:srcRect/>
          <a:stretch>
            <a:fillRect/>
          </a:stretch>
        </xdr:blipFill>
        <xdr:spPr bwMode="auto">
          <a:xfrm>
            <a:off x="7695942" y="18468979"/>
            <a:ext cx="4335258" cy="361826"/>
          </a:xfrm>
          <a:prstGeom prst="rect">
            <a:avLst/>
          </a:prstGeom>
          <a:noFill/>
          <a:ln w="9525">
            <a:noFill/>
            <a:miter lim="800000"/>
            <a:headEnd/>
            <a:tailEnd/>
          </a:ln>
        </xdr:spPr>
      </xdr:pic>
    </xdr:grpSp>
    <xdr:clientData/>
  </xdr:twoCellAnchor>
  <xdr:twoCellAnchor>
    <xdr:from>
      <xdr:col>3</xdr:col>
      <xdr:colOff>581034</xdr:colOff>
      <xdr:row>110</xdr:row>
      <xdr:rowOff>9532</xdr:rowOff>
    </xdr:from>
    <xdr:to>
      <xdr:col>7</xdr:col>
      <xdr:colOff>3047935</xdr:colOff>
      <xdr:row>111</xdr:row>
      <xdr:rowOff>55844</xdr:rowOff>
    </xdr:to>
    <xdr:pic>
      <xdr:nvPicPr>
        <xdr:cNvPr id="1031" name="Picture 7"/>
        <xdr:cNvPicPr>
          <a:picLocks noChangeAspect="1" noChangeArrowheads="1"/>
        </xdr:cNvPicPr>
      </xdr:nvPicPr>
      <xdr:blipFill>
        <a:blip xmlns:r="http://schemas.openxmlformats.org/officeDocument/2006/relationships" r:embed="rId11" cstate="print"/>
        <a:srcRect/>
        <a:stretch>
          <a:fillRect/>
        </a:stretch>
      </xdr:blipFill>
      <xdr:spPr bwMode="auto">
        <a:xfrm>
          <a:off x="2212190" y="18904751"/>
          <a:ext cx="5121995" cy="212999"/>
        </a:xfrm>
        <a:prstGeom prst="rect">
          <a:avLst/>
        </a:prstGeom>
        <a:noFill/>
        <a:ln w="9525">
          <a:noFill/>
          <a:miter lim="800000"/>
          <a:headEnd/>
          <a:tailEnd/>
        </a:ln>
      </xdr:spPr>
    </xdr:pic>
    <xdr:clientData/>
  </xdr:twoCellAnchor>
  <xdr:twoCellAnchor>
    <xdr:from>
      <xdr:col>4</xdr:col>
      <xdr:colOff>9526</xdr:colOff>
      <xdr:row>115</xdr:row>
      <xdr:rowOff>64294</xdr:rowOff>
    </xdr:from>
    <xdr:to>
      <xdr:col>9</xdr:col>
      <xdr:colOff>1027245</xdr:colOff>
      <xdr:row>117</xdr:row>
      <xdr:rowOff>153323</xdr:rowOff>
    </xdr:to>
    <xdr:grpSp>
      <xdr:nvGrpSpPr>
        <xdr:cNvPr id="20" name="Group 19"/>
        <xdr:cNvGrpSpPr/>
      </xdr:nvGrpSpPr>
      <xdr:grpSpPr>
        <a:xfrm>
          <a:off x="2286001" y="19514344"/>
          <a:ext cx="8923469" cy="412879"/>
          <a:chOff x="2724152" y="19733419"/>
          <a:chExt cx="8852031" cy="422404"/>
        </a:xfrm>
      </xdr:grpSpPr>
      <xdr:pic>
        <xdr:nvPicPr>
          <xdr:cNvPr id="1033" name="Picture 9"/>
          <xdr:cNvPicPr>
            <a:picLocks noChangeAspect="1" noChangeArrowheads="1"/>
          </xdr:cNvPicPr>
        </xdr:nvPicPr>
        <xdr:blipFill>
          <a:blip xmlns:r="http://schemas.openxmlformats.org/officeDocument/2006/relationships" r:embed="rId12" cstate="print"/>
          <a:srcRect/>
          <a:stretch>
            <a:fillRect/>
          </a:stretch>
        </xdr:blipFill>
        <xdr:spPr bwMode="auto">
          <a:xfrm>
            <a:off x="2724152" y="19733419"/>
            <a:ext cx="6607803" cy="422404"/>
          </a:xfrm>
          <a:prstGeom prst="rect">
            <a:avLst/>
          </a:prstGeom>
          <a:noFill/>
          <a:ln w="9525">
            <a:noFill/>
            <a:miter lim="800000"/>
            <a:headEnd/>
            <a:tailEnd/>
          </a:ln>
        </xdr:spPr>
      </xdr:pic>
      <xdr:pic>
        <xdr:nvPicPr>
          <xdr:cNvPr id="1034" name="Picture 10"/>
          <xdr:cNvPicPr>
            <a:picLocks noChangeAspect="1" noChangeArrowheads="1"/>
          </xdr:cNvPicPr>
        </xdr:nvPicPr>
        <xdr:blipFill>
          <a:blip xmlns:r="http://schemas.openxmlformats.org/officeDocument/2006/relationships" r:embed="rId13" cstate="print"/>
          <a:srcRect/>
          <a:stretch>
            <a:fillRect/>
          </a:stretch>
        </xdr:blipFill>
        <xdr:spPr bwMode="auto">
          <a:xfrm>
            <a:off x="9242875" y="19813191"/>
            <a:ext cx="2333308" cy="186584"/>
          </a:xfrm>
          <a:prstGeom prst="rect">
            <a:avLst/>
          </a:prstGeom>
          <a:noFill/>
          <a:ln w="9525">
            <a:noFill/>
            <a:miter lim="800000"/>
            <a:headEnd/>
            <a:tailEnd/>
          </a:ln>
        </xdr:spPr>
      </xdr:pic>
    </xdr:grpSp>
    <xdr:clientData/>
  </xdr:twoCellAnchor>
  <xdr:twoCellAnchor>
    <xdr:from>
      <xdr:col>3</xdr:col>
      <xdr:colOff>569119</xdr:colOff>
      <xdr:row>119</xdr:row>
      <xdr:rowOff>57152</xdr:rowOff>
    </xdr:from>
    <xdr:to>
      <xdr:col>9</xdr:col>
      <xdr:colOff>1778109</xdr:colOff>
      <xdr:row>121</xdr:row>
      <xdr:rowOff>151151</xdr:rowOff>
    </xdr:to>
    <xdr:grpSp>
      <xdr:nvGrpSpPr>
        <xdr:cNvPr id="24" name="Group 23"/>
        <xdr:cNvGrpSpPr/>
      </xdr:nvGrpSpPr>
      <xdr:grpSpPr>
        <a:xfrm>
          <a:off x="2255044" y="20154902"/>
          <a:ext cx="9705290" cy="436899"/>
          <a:chOff x="2200275" y="20238243"/>
          <a:chExt cx="9626709" cy="427374"/>
        </a:xfrm>
      </xdr:grpSpPr>
      <xdr:pic>
        <xdr:nvPicPr>
          <xdr:cNvPr id="1036" name="Picture 12"/>
          <xdr:cNvPicPr>
            <a:picLocks noChangeAspect="1" noChangeArrowheads="1"/>
          </xdr:cNvPicPr>
        </xdr:nvPicPr>
        <xdr:blipFill>
          <a:blip xmlns:r="http://schemas.openxmlformats.org/officeDocument/2006/relationships" r:embed="rId14" cstate="print"/>
          <a:srcRect/>
          <a:stretch>
            <a:fillRect/>
          </a:stretch>
        </xdr:blipFill>
        <xdr:spPr bwMode="auto">
          <a:xfrm>
            <a:off x="2200275" y="20238243"/>
            <a:ext cx="6685542" cy="427374"/>
          </a:xfrm>
          <a:prstGeom prst="rect">
            <a:avLst/>
          </a:prstGeom>
          <a:noFill/>
          <a:ln w="9525">
            <a:noFill/>
            <a:miter lim="800000"/>
            <a:headEnd/>
            <a:tailEnd/>
          </a:ln>
        </xdr:spPr>
      </xdr:pic>
      <xdr:pic>
        <xdr:nvPicPr>
          <xdr:cNvPr id="1037" name="Picture 13"/>
          <xdr:cNvPicPr>
            <a:picLocks noChangeAspect="1" noChangeArrowheads="1"/>
          </xdr:cNvPicPr>
        </xdr:nvPicPr>
        <xdr:blipFill>
          <a:blip xmlns:r="http://schemas.openxmlformats.org/officeDocument/2006/relationships" r:embed="rId15" cstate="print"/>
          <a:srcRect/>
          <a:stretch>
            <a:fillRect/>
          </a:stretch>
        </xdr:blipFill>
        <xdr:spPr bwMode="auto">
          <a:xfrm>
            <a:off x="8778817" y="20320708"/>
            <a:ext cx="3048167" cy="188779"/>
          </a:xfrm>
          <a:prstGeom prst="rect">
            <a:avLst/>
          </a:prstGeom>
          <a:noFill/>
          <a:ln w="9525">
            <a:noFill/>
            <a:miter lim="800000"/>
            <a:headEnd/>
            <a:tailEnd/>
          </a:ln>
        </xdr:spPr>
      </xdr:pic>
    </xdr:grpSp>
    <xdr:clientData/>
  </xdr:twoCellAnchor>
  <xdr:twoCellAnchor>
    <xdr:from>
      <xdr:col>4</xdr:col>
      <xdr:colOff>9526</xdr:colOff>
      <xdr:row>125</xdr:row>
      <xdr:rowOff>52387</xdr:rowOff>
    </xdr:from>
    <xdr:to>
      <xdr:col>7</xdr:col>
      <xdr:colOff>3164765</xdr:colOff>
      <xdr:row>127</xdr:row>
      <xdr:rowOff>113612</xdr:rowOff>
    </xdr:to>
    <xdr:pic>
      <xdr:nvPicPr>
        <xdr:cNvPr id="1038" name="Picture 14"/>
        <xdr:cNvPicPr>
          <a:picLocks noChangeAspect="1" noChangeArrowheads="1"/>
        </xdr:cNvPicPr>
      </xdr:nvPicPr>
      <xdr:blipFill>
        <a:blip xmlns:r="http://schemas.openxmlformats.org/officeDocument/2006/relationships" r:embed="rId16" cstate="print"/>
        <a:srcRect/>
        <a:stretch>
          <a:fillRect/>
        </a:stretch>
      </xdr:blipFill>
      <xdr:spPr bwMode="auto">
        <a:xfrm>
          <a:off x="2224089" y="21066918"/>
          <a:ext cx="5226926" cy="3946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0</xdr:colOff>
          <xdr:row>92</xdr:row>
          <xdr:rowOff>68580</xdr:rowOff>
        </xdr:from>
        <xdr:to>
          <xdr:col>7</xdr:col>
          <xdr:colOff>2217420</xdr:colOff>
          <xdr:row>95</xdr:row>
          <xdr:rowOff>0</xdr:rowOff>
        </xdr:to>
        <xdr:sp macro="" textlink="">
          <xdr:nvSpPr>
            <xdr:cNvPr id="7"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4000501</xdr:colOff>
      <xdr:row>52</xdr:row>
      <xdr:rowOff>44824</xdr:rowOff>
    </xdr:from>
    <xdr:to>
      <xdr:col>9</xdr:col>
      <xdr:colOff>4968577</xdr:colOff>
      <xdr:row>54</xdr:row>
      <xdr:rowOff>125659</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25119" y="7743265"/>
          <a:ext cx="6660664" cy="39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xdr:colOff>
      <xdr:row>70</xdr:row>
      <xdr:rowOff>74084</xdr:rowOff>
    </xdr:from>
    <xdr:to>
      <xdr:col>7</xdr:col>
      <xdr:colOff>2773533</xdr:colOff>
      <xdr:row>72</xdr:row>
      <xdr:rowOff>118410</xdr:rowOff>
    </xdr:to>
    <xdr:pic>
      <xdr:nvPicPr>
        <xdr:cNvPr id="15" name="Picture 1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33084" y="10710334"/>
          <a:ext cx="4784366" cy="361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75</xdr:row>
      <xdr:rowOff>63500</xdr:rowOff>
    </xdr:from>
    <xdr:to>
      <xdr:col>9</xdr:col>
      <xdr:colOff>1157419</xdr:colOff>
      <xdr:row>78</xdr:row>
      <xdr:rowOff>14624</xdr:rowOff>
    </xdr:to>
    <xdr:grpSp>
      <xdr:nvGrpSpPr>
        <xdr:cNvPr id="18" name="Group 17"/>
        <xdr:cNvGrpSpPr/>
      </xdr:nvGrpSpPr>
      <xdr:grpSpPr>
        <a:xfrm>
          <a:off x="2276475" y="13169900"/>
          <a:ext cx="9063169" cy="465474"/>
          <a:chOff x="2233083" y="11493500"/>
          <a:chExt cx="8862086" cy="427374"/>
        </a:xfrm>
      </xdr:grpSpPr>
      <xdr:pic>
        <xdr:nvPicPr>
          <xdr:cNvPr id="16" name="Picture 1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33083" y="11493500"/>
            <a:ext cx="6685542" cy="42737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Picture 1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784166" y="11588750"/>
            <a:ext cx="2311003" cy="18877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571500</xdr:colOff>
      <xdr:row>84</xdr:row>
      <xdr:rowOff>91284</xdr:rowOff>
    </xdr:from>
    <xdr:to>
      <xdr:col>7</xdr:col>
      <xdr:colOff>4664125</xdr:colOff>
      <xdr:row>85</xdr:row>
      <xdr:rowOff>105581</xdr:rowOff>
    </xdr:to>
    <xdr:pic>
      <xdr:nvPicPr>
        <xdr:cNvPr id="19" name="Picture 18"/>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202656" y="14533565"/>
          <a:ext cx="6688188" cy="180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559593</xdr:colOff>
      <xdr:row>87</xdr:row>
      <xdr:rowOff>119062</xdr:rowOff>
    </xdr:from>
    <xdr:to>
      <xdr:col>9</xdr:col>
      <xdr:colOff>623326</xdr:colOff>
      <xdr:row>89</xdr:row>
      <xdr:rowOff>147513</xdr:rowOff>
    </xdr:to>
    <xdr:grpSp>
      <xdr:nvGrpSpPr>
        <xdr:cNvPr id="23" name="Group 22"/>
        <xdr:cNvGrpSpPr/>
      </xdr:nvGrpSpPr>
      <xdr:grpSpPr>
        <a:xfrm>
          <a:off x="2245518" y="15225712"/>
          <a:ext cx="8560033" cy="352301"/>
          <a:chOff x="2190749" y="15061406"/>
          <a:chExt cx="8350483" cy="361826"/>
        </a:xfrm>
      </xdr:grpSpPr>
      <xdr:pic>
        <xdr:nvPicPr>
          <xdr:cNvPr id="20" name="Picture 19"/>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190749" y="15144750"/>
            <a:ext cx="3336559" cy="16326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2" name="Picture 2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584032" y="15061406"/>
            <a:ext cx="4957200" cy="36182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560917</xdr:colOff>
      <xdr:row>92</xdr:row>
      <xdr:rowOff>84667</xdr:rowOff>
    </xdr:from>
    <xdr:to>
      <xdr:col>7</xdr:col>
      <xdr:colOff>2613575</xdr:colOff>
      <xdr:row>94</xdr:row>
      <xdr:rowOff>128993</xdr:rowOff>
    </xdr:to>
    <xdr:pic>
      <xdr:nvPicPr>
        <xdr:cNvPr id="25" name="Picture 24"/>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211917" y="15165917"/>
          <a:ext cx="4645575" cy="361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571501</xdr:colOff>
      <xdr:row>97</xdr:row>
      <xdr:rowOff>74084</xdr:rowOff>
    </xdr:from>
    <xdr:to>
      <xdr:col>7</xdr:col>
      <xdr:colOff>2624159</xdr:colOff>
      <xdr:row>99</xdr:row>
      <xdr:rowOff>118410</xdr:rowOff>
    </xdr:to>
    <xdr:pic>
      <xdr:nvPicPr>
        <xdr:cNvPr id="27" name="Picture 26"/>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222501" y="15949084"/>
          <a:ext cx="4645575" cy="361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582082</xdr:colOff>
      <xdr:row>102</xdr:row>
      <xdr:rowOff>52915</xdr:rowOff>
    </xdr:from>
    <xdr:to>
      <xdr:col>7</xdr:col>
      <xdr:colOff>3142767</xdr:colOff>
      <xdr:row>104</xdr:row>
      <xdr:rowOff>130015</xdr:rowOff>
    </xdr:to>
    <xdr:pic>
      <xdr:nvPicPr>
        <xdr:cNvPr id="28" name="Picture 27"/>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233082" y="16721665"/>
          <a:ext cx="5153602" cy="39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4015052</xdr:colOff>
      <xdr:row>150</xdr:row>
      <xdr:rowOff>64823</xdr:rowOff>
    </xdr:from>
    <xdr:to>
      <xdr:col>9</xdr:col>
      <xdr:colOff>4979915</xdr:colOff>
      <xdr:row>152</xdr:row>
      <xdr:rowOff>141923</xdr:rowOff>
    </xdr:to>
    <xdr:pic>
      <xdr:nvPicPr>
        <xdr:cNvPr id="30" name="Picture 29"/>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8301302" y="25687073"/>
          <a:ext cx="6596519" cy="410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168</xdr:row>
      <xdr:rowOff>84667</xdr:rowOff>
    </xdr:from>
    <xdr:to>
      <xdr:col>7</xdr:col>
      <xdr:colOff>2691593</xdr:colOff>
      <xdr:row>170</xdr:row>
      <xdr:rowOff>128993</xdr:rowOff>
    </xdr:to>
    <xdr:pic>
      <xdr:nvPicPr>
        <xdr:cNvPr id="37" name="Picture 36"/>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233083" y="26458334"/>
          <a:ext cx="4776510" cy="361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560917</xdr:colOff>
      <xdr:row>172</xdr:row>
      <xdr:rowOff>42333</xdr:rowOff>
    </xdr:from>
    <xdr:to>
      <xdr:col>9</xdr:col>
      <xdr:colOff>1251476</xdr:colOff>
      <xdr:row>174</xdr:row>
      <xdr:rowOff>152207</xdr:rowOff>
    </xdr:to>
    <xdr:grpSp>
      <xdr:nvGrpSpPr>
        <xdr:cNvPr id="41" name="Group 40"/>
        <xdr:cNvGrpSpPr/>
      </xdr:nvGrpSpPr>
      <xdr:grpSpPr>
        <a:xfrm>
          <a:off x="2246842" y="29312658"/>
          <a:ext cx="9186859" cy="452774"/>
          <a:chOff x="2211917" y="27051000"/>
          <a:chExt cx="8987892" cy="427374"/>
        </a:xfrm>
      </xdr:grpSpPr>
      <xdr:pic>
        <xdr:nvPicPr>
          <xdr:cNvPr id="39" name="Picture 38"/>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211917" y="27051000"/>
            <a:ext cx="6685542" cy="42737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0" name="Picture 39"/>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8773583" y="27156835"/>
            <a:ext cx="2426226" cy="18877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xdr:col>
      <xdr:colOff>10584</xdr:colOff>
      <xdr:row>181</xdr:row>
      <xdr:rowOff>74084</xdr:rowOff>
    </xdr:from>
    <xdr:to>
      <xdr:col>7</xdr:col>
      <xdr:colOff>4766687</xdr:colOff>
      <xdr:row>182</xdr:row>
      <xdr:rowOff>92406</xdr:rowOff>
    </xdr:to>
    <xdr:pic>
      <xdr:nvPicPr>
        <xdr:cNvPr id="42" name="Picture 41"/>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2243667" y="28829001"/>
          <a:ext cx="6841020" cy="1770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571500</xdr:colOff>
      <xdr:row>184</xdr:row>
      <xdr:rowOff>95249</xdr:rowOff>
    </xdr:from>
    <xdr:to>
      <xdr:col>9</xdr:col>
      <xdr:colOff>278159</xdr:colOff>
      <xdr:row>186</xdr:row>
      <xdr:rowOff>139575</xdr:rowOff>
    </xdr:to>
    <xdr:grpSp>
      <xdr:nvGrpSpPr>
        <xdr:cNvPr id="47" name="Group 46"/>
        <xdr:cNvGrpSpPr/>
      </xdr:nvGrpSpPr>
      <xdr:grpSpPr>
        <a:xfrm>
          <a:off x="2257425" y="31384874"/>
          <a:ext cx="8202959" cy="387226"/>
          <a:chOff x="1651000" y="33125833"/>
          <a:chExt cx="8003992" cy="361826"/>
        </a:xfrm>
      </xdr:grpSpPr>
      <xdr:pic>
        <xdr:nvPicPr>
          <xdr:cNvPr id="44" name="Picture 43"/>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651000" y="33199918"/>
            <a:ext cx="3188268" cy="15600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6" name="Picture 45"/>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4836583" y="33125833"/>
            <a:ext cx="4818409" cy="36182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xdr:col>
      <xdr:colOff>9527</xdr:colOff>
      <xdr:row>189</xdr:row>
      <xdr:rowOff>83345</xdr:rowOff>
    </xdr:from>
    <xdr:to>
      <xdr:col>7</xdr:col>
      <xdr:colOff>2654729</xdr:colOff>
      <xdr:row>191</xdr:row>
      <xdr:rowOff>116003</xdr:rowOff>
    </xdr:to>
    <xdr:pic>
      <xdr:nvPicPr>
        <xdr:cNvPr id="2049" name="Picture 1"/>
        <xdr:cNvPicPr>
          <a:picLocks noChangeAspect="1" noChangeArrowheads="1"/>
        </xdr:cNvPicPr>
      </xdr:nvPicPr>
      <xdr:blipFill>
        <a:blip xmlns:r="http://schemas.openxmlformats.org/officeDocument/2006/relationships" r:embed="rId18" cstate="print"/>
        <a:srcRect/>
        <a:stretch>
          <a:fillRect/>
        </a:stretch>
      </xdr:blipFill>
      <xdr:spPr bwMode="auto">
        <a:xfrm>
          <a:off x="2224090" y="31873033"/>
          <a:ext cx="4716889" cy="366033"/>
        </a:xfrm>
        <a:prstGeom prst="rect">
          <a:avLst/>
        </a:prstGeom>
        <a:noFill/>
        <a:ln w="9525">
          <a:noFill/>
          <a:miter lim="800000"/>
          <a:headEnd/>
          <a:tailEnd/>
        </a:ln>
      </xdr:spPr>
    </xdr:pic>
    <xdr:clientData/>
  </xdr:twoCellAnchor>
  <xdr:twoCellAnchor>
    <xdr:from>
      <xdr:col>3</xdr:col>
      <xdr:colOff>581025</xdr:colOff>
      <xdr:row>194</xdr:row>
      <xdr:rowOff>83344</xdr:rowOff>
    </xdr:from>
    <xdr:to>
      <xdr:col>7</xdr:col>
      <xdr:colOff>2633558</xdr:colOff>
      <xdr:row>196</xdr:row>
      <xdr:rowOff>116002</xdr:rowOff>
    </xdr:to>
    <xdr:pic>
      <xdr:nvPicPr>
        <xdr:cNvPr id="2050" name="Picture 2"/>
        <xdr:cNvPicPr>
          <a:picLocks noChangeAspect="1" noChangeArrowheads="1"/>
        </xdr:cNvPicPr>
      </xdr:nvPicPr>
      <xdr:blipFill>
        <a:blip xmlns:r="http://schemas.openxmlformats.org/officeDocument/2006/relationships" r:embed="rId19" cstate="print"/>
        <a:srcRect/>
        <a:stretch>
          <a:fillRect/>
        </a:stretch>
      </xdr:blipFill>
      <xdr:spPr bwMode="auto">
        <a:xfrm>
          <a:off x="2212181" y="32706469"/>
          <a:ext cx="4707627" cy="366033"/>
        </a:xfrm>
        <a:prstGeom prst="rect">
          <a:avLst/>
        </a:prstGeom>
        <a:noFill/>
        <a:ln w="9525">
          <a:noFill/>
          <a:miter lim="800000"/>
          <a:headEnd/>
          <a:tailEnd/>
        </a:ln>
      </xdr:spPr>
    </xdr:pic>
    <xdr:clientData/>
  </xdr:twoCellAnchor>
  <xdr:twoCellAnchor>
    <xdr:from>
      <xdr:col>3</xdr:col>
      <xdr:colOff>581026</xdr:colOff>
      <xdr:row>199</xdr:row>
      <xdr:rowOff>11906</xdr:rowOff>
    </xdr:from>
    <xdr:to>
      <xdr:col>7</xdr:col>
      <xdr:colOff>3164125</xdr:colOff>
      <xdr:row>201</xdr:row>
      <xdr:rowOff>101591</xdr:rowOff>
    </xdr:to>
    <xdr:pic>
      <xdr:nvPicPr>
        <xdr:cNvPr id="2051" name="Picture 3"/>
        <xdr:cNvPicPr>
          <a:picLocks noChangeAspect="1" noChangeArrowheads="1"/>
        </xdr:cNvPicPr>
      </xdr:nvPicPr>
      <xdr:blipFill>
        <a:blip xmlns:r="http://schemas.openxmlformats.org/officeDocument/2006/relationships" r:embed="rId20" cstate="print"/>
        <a:srcRect/>
        <a:stretch>
          <a:fillRect/>
        </a:stretch>
      </xdr:blipFill>
      <xdr:spPr bwMode="auto">
        <a:xfrm>
          <a:off x="2212182" y="33801844"/>
          <a:ext cx="5238193" cy="423060"/>
        </a:xfrm>
        <a:prstGeom prst="rect">
          <a:avLst/>
        </a:prstGeom>
        <a:noFill/>
        <a:ln w="9525">
          <a:noFill/>
          <a:miter lim="800000"/>
          <a:headEnd/>
          <a:tailEnd/>
        </a:ln>
      </xdr:spPr>
    </xdr:pic>
    <xdr:clientData/>
  </xdr:twoCellAnchor>
  <xdr:twoCellAnchor>
    <xdr:from>
      <xdr:col>4</xdr:col>
      <xdr:colOff>1</xdr:colOff>
      <xdr:row>239</xdr:row>
      <xdr:rowOff>35723</xdr:rowOff>
    </xdr:from>
    <xdr:to>
      <xdr:col>9</xdr:col>
      <xdr:colOff>2378869</xdr:colOff>
      <xdr:row>241</xdr:row>
      <xdr:rowOff>125407</xdr:rowOff>
    </xdr:to>
    <xdr:grpSp>
      <xdr:nvGrpSpPr>
        <xdr:cNvPr id="43" name="Group 42"/>
        <xdr:cNvGrpSpPr/>
      </xdr:nvGrpSpPr>
      <xdr:grpSpPr>
        <a:xfrm>
          <a:off x="2276476" y="40488398"/>
          <a:ext cx="10284618" cy="432584"/>
          <a:chOff x="2226470" y="40195501"/>
          <a:chExt cx="10082211" cy="423060"/>
        </a:xfrm>
      </xdr:grpSpPr>
      <xdr:pic>
        <xdr:nvPicPr>
          <xdr:cNvPr id="2074" name="Picture 26"/>
          <xdr:cNvPicPr>
            <a:picLocks noChangeAspect="1" noChangeArrowheads="1"/>
          </xdr:cNvPicPr>
        </xdr:nvPicPr>
        <xdr:blipFill>
          <a:blip xmlns:r="http://schemas.openxmlformats.org/officeDocument/2006/relationships" r:embed="rId21" cstate="print"/>
          <a:srcRect/>
          <a:stretch>
            <a:fillRect/>
          </a:stretch>
        </xdr:blipFill>
        <xdr:spPr bwMode="auto">
          <a:xfrm>
            <a:off x="2226470" y="40326469"/>
            <a:ext cx="3084170" cy="176386"/>
          </a:xfrm>
          <a:prstGeom prst="rect">
            <a:avLst/>
          </a:prstGeom>
          <a:noFill/>
          <a:ln w="9525">
            <a:noFill/>
            <a:miter lim="800000"/>
            <a:headEnd/>
            <a:tailEnd/>
          </a:ln>
        </xdr:spPr>
      </xdr:pic>
      <xdr:pic>
        <xdr:nvPicPr>
          <xdr:cNvPr id="2075" name="Picture 27"/>
          <xdr:cNvPicPr>
            <a:picLocks noChangeAspect="1" noChangeArrowheads="1"/>
          </xdr:cNvPicPr>
        </xdr:nvPicPr>
        <xdr:blipFill>
          <a:blip xmlns:r="http://schemas.openxmlformats.org/officeDocument/2006/relationships" r:embed="rId22" cstate="print"/>
          <a:srcRect/>
          <a:stretch>
            <a:fillRect/>
          </a:stretch>
        </xdr:blipFill>
        <xdr:spPr bwMode="auto">
          <a:xfrm>
            <a:off x="5286376" y="40195501"/>
            <a:ext cx="5296410" cy="423060"/>
          </a:xfrm>
          <a:prstGeom prst="rect">
            <a:avLst/>
          </a:prstGeom>
          <a:noFill/>
          <a:ln w="9525">
            <a:noFill/>
            <a:miter lim="800000"/>
            <a:headEnd/>
            <a:tailEnd/>
          </a:ln>
        </xdr:spPr>
      </xdr:pic>
      <xdr:pic>
        <xdr:nvPicPr>
          <xdr:cNvPr id="2076" name="Picture 28"/>
          <xdr:cNvPicPr>
            <a:picLocks noChangeAspect="1" noChangeArrowheads="1"/>
          </xdr:cNvPicPr>
        </xdr:nvPicPr>
        <xdr:blipFill>
          <a:blip xmlns:r="http://schemas.openxmlformats.org/officeDocument/2006/relationships" r:embed="rId23" cstate="print"/>
          <a:srcRect/>
          <a:stretch>
            <a:fillRect/>
          </a:stretch>
        </xdr:blipFill>
        <xdr:spPr bwMode="auto">
          <a:xfrm>
            <a:off x="10501313" y="40314562"/>
            <a:ext cx="1807368" cy="176386"/>
          </a:xfrm>
          <a:prstGeom prst="rect">
            <a:avLst/>
          </a:prstGeom>
          <a:noFill/>
          <a:ln w="9525">
            <a:noFill/>
            <a:miter lim="800000"/>
            <a:headEnd/>
            <a:tailEnd/>
          </a:ln>
        </xdr:spPr>
      </xdr:pic>
    </xdr:grpSp>
    <xdr:clientData/>
  </xdr:twoCellAnchor>
  <xdr:twoCellAnchor>
    <xdr:from>
      <xdr:col>4</xdr:col>
      <xdr:colOff>11907</xdr:colOff>
      <xdr:row>253</xdr:row>
      <xdr:rowOff>83344</xdr:rowOff>
    </xdr:from>
    <xdr:to>
      <xdr:col>7</xdr:col>
      <xdr:colOff>4064897</xdr:colOff>
      <xdr:row>255</xdr:row>
      <xdr:rowOff>116002</xdr:rowOff>
    </xdr:to>
    <xdr:pic>
      <xdr:nvPicPr>
        <xdr:cNvPr id="2104" name="Picture 56"/>
        <xdr:cNvPicPr>
          <a:picLocks noChangeAspect="1" noChangeArrowheads="1"/>
        </xdr:cNvPicPr>
      </xdr:nvPicPr>
      <xdr:blipFill>
        <a:blip xmlns:r="http://schemas.openxmlformats.org/officeDocument/2006/relationships" r:embed="rId24" cstate="print"/>
        <a:srcRect/>
        <a:stretch>
          <a:fillRect/>
        </a:stretch>
      </xdr:blipFill>
      <xdr:spPr bwMode="auto">
        <a:xfrm>
          <a:off x="2226470" y="42552938"/>
          <a:ext cx="6124677" cy="366033"/>
        </a:xfrm>
        <a:prstGeom prst="rect">
          <a:avLst/>
        </a:prstGeom>
        <a:noFill/>
        <a:ln w="9525">
          <a:noFill/>
          <a:miter lim="800000"/>
          <a:headEnd/>
          <a:tailEnd/>
        </a:ln>
      </xdr:spPr>
    </xdr:pic>
    <xdr:clientData/>
  </xdr:twoCellAnchor>
  <xdr:twoCellAnchor>
    <xdr:from>
      <xdr:col>3</xdr:col>
      <xdr:colOff>581025</xdr:colOff>
      <xdr:row>257</xdr:row>
      <xdr:rowOff>92868</xdr:rowOff>
    </xdr:from>
    <xdr:to>
      <xdr:col>7</xdr:col>
      <xdr:colOff>3354653</xdr:colOff>
      <xdr:row>259</xdr:row>
      <xdr:rowOff>134809</xdr:rowOff>
    </xdr:to>
    <xdr:pic>
      <xdr:nvPicPr>
        <xdr:cNvPr id="2105" name="Picture 57"/>
        <xdr:cNvPicPr>
          <a:picLocks noChangeAspect="1" noChangeArrowheads="1"/>
        </xdr:cNvPicPr>
      </xdr:nvPicPr>
      <xdr:blipFill>
        <a:blip xmlns:r="http://schemas.openxmlformats.org/officeDocument/2006/relationships" r:embed="rId25" cstate="print"/>
        <a:srcRect/>
        <a:stretch>
          <a:fillRect/>
        </a:stretch>
      </xdr:blipFill>
      <xdr:spPr bwMode="auto">
        <a:xfrm>
          <a:off x="2212181" y="43229212"/>
          <a:ext cx="5428722" cy="375316"/>
        </a:xfrm>
        <a:prstGeom prst="rect">
          <a:avLst/>
        </a:prstGeom>
        <a:noFill/>
        <a:ln w="9525">
          <a:noFill/>
          <a:miter lim="800000"/>
          <a:headEnd/>
          <a:tailEnd/>
        </a:ln>
      </xdr:spPr>
    </xdr:pic>
    <xdr:clientData/>
  </xdr:twoCellAnchor>
  <xdr:twoCellAnchor>
    <xdr:from>
      <xdr:col>4</xdr:col>
      <xdr:colOff>10584</xdr:colOff>
      <xdr:row>267</xdr:row>
      <xdr:rowOff>74084</xdr:rowOff>
    </xdr:from>
    <xdr:to>
      <xdr:col>7</xdr:col>
      <xdr:colOff>4766687</xdr:colOff>
      <xdr:row>268</xdr:row>
      <xdr:rowOff>92406</xdr:rowOff>
    </xdr:to>
    <xdr:pic>
      <xdr:nvPicPr>
        <xdr:cNvPr id="49" name="Picture 48"/>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2225147" y="30863647"/>
          <a:ext cx="6827790" cy="1850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581024</xdr:colOff>
      <xdr:row>270</xdr:row>
      <xdr:rowOff>78581</xdr:rowOff>
    </xdr:from>
    <xdr:to>
      <xdr:col>9</xdr:col>
      <xdr:colOff>608218</xdr:colOff>
      <xdr:row>272</xdr:row>
      <xdr:rowOff>111239</xdr:rowOff>
    </xdr:to>
    <xdr:grpSp>
      <xdr:nvGrpSpPr>
        <xdr:cNvPr id="56" name="Group 55"/>
        <xdr:cNvGrpSpPr/>
      </xdr:nvGrpSpPr>
      <xdr:grpSpPr>
        <a:xfrm>
          <a:off x="2266949" y="45617606"/>
          <a:ext cx="8523494" cy="375558"/>
          <a:chOff x="2212180" y="45715237"/>
          <a:chExt cx="8313944" cy="366033"/>
        </a:xfrm>
      </xdr:grpSpPr>
      <xdr:pic>
        <xdr:nvPicPr>
          <xdr:cNvPr id="2106" name="Picture 58"/>
          <xdr:cNvPicPr>
            <a:picLocks noChangeAspect="1" noChangeArrowheads="1"/>
          </xdr:cNvPicPr>
        </xdr:nvPicPr>
        <xdr:blipFill>
          <a:blip xmlns:r="http://schemas.openxmlformats.org/officeDocument/2006/relationships" r:embed="rId26" cstate="print"/>
          <a:srcRect/>
          <a:stretch>
            <a:fillRect/>
          </a:stretch>
        </xdr:blipFill>
        <xdr:spPr bwMode="auto">
          <a:xfrm>
            <a:off x="2212180" y="45791438"/>
            <a:ext cx="3299898" cy="161447"/>
          </a:xfrm>
          <a:prstGeom prst="rect">
            <a:avLst/>
          </a:prstGeom>
          <a:noFill/>
          <a:ln w="9525">
            <a:noFill/>
            <a:miter lim="800000"/>
            <a:headEnd/>
            <a:tailEnd/>
          </a:ln>
        </xdr:spPr>
      </xdr:pic>
      <xdr:pic>
        <xdr:nvPicPr>
          <xdr:cNvPr id="2108" name="Picture 60"/>
          <xdr:cNvPicPr>
            <a:picLocks noChangeAspect="1" noChangeArrowheads="1"/>
          </xdr:cNvPicPr>
        </xdr:nvPicPr>
        <xdr:blipFill>
          <a:blip xmlns:r="http://schemas.openxmlformats.org/officeDocument/2006/relationships" r:embed="rId27" cstate="print"/>
          <a:srcRect/>
          <a:stretch>
            <a:fillRect/>
          </a:stretch>
        </xdr:blipFill>
        <xdr:spPr bwMode="auto">
          <a:xfrm>
            <a:off x="5510213" y="45715237"/>
            <a:ext cx="5015911" cy="366033"/>
          </a:xfrm>
          <a:prstGeom prst="rect">
            <a:avLst/>
          </a:prstGeom>
          <a:noFill/>
          <a:ln w="9525">
            <a:noFill/>
            <a:miter lim="800000"/>
            <a:headEnd/>
            <a:tailEnd/>
          </a:ln>
        </xdr:spPr>
      </xdr:pic>
    </xdr:grpSp>
    <xdr:clientData/>
  </xdr:twoCellAnchor>
  <xdr:twoCellAnchor>
    <xdr:from>
      <xdr:col>3</xdr:col>
      <xdr:colOff>571500</xdr:colOff>
      <xdr:row>332</xdr:row>
      <xdr:rowOff>47625</xdr:rowOff>
    </xdr:from>
    <xdr:to>
      <xdr:col>9</xdr:col>
      <xdr:colOff>2474119</xdr:colOff>
      <xdr:row>334</xdr:row>
      <xdr:rowOff>137310</xdr:rowOff>
    </xdr:to>
    <xdr:grpSp>
      <xdr:nvGrpSpPr>
        <xdr:cNvPr id="60" name="Group 59"/>
        <xdr:cNvGrpSpPr/>
      </xdr:nvGrpSpPr>
      <xdr:grpSpPr>
        <a:xfrm>
          <a:off x="2257425" y="56045100"/>
          <a:ext cx="10398919" cy="432585"/>
          <a:chOff x="2178844" y="56030813"/>
          <a:chExt cx="10189369" cy="423060"/>
        </a:xfrm>
      </xdr:grpSpPr>
      <xdr:pic>
        <xdr:nvPicPr>
          <xdr:cNvPr id="2109" name="Picture 61"/>
          <xdr:cNvPicPr>
            <a:picLocks noChangeAspect="1" noChangeArrowheads="1"/>
          </xdr:cNvPicPr>
        </xdr:nvPicPr>
        <xdr:blipFill>
          <a:blip xmlns:r="http://schemas.openxmlformats.org/officeDocument/2006/relationships" r:embed="rId28" cstate="print"/>
          <a:srcRect/>
          <a:stretch>
            <a:fillRect/>
          </a:stretch>
        </xdr:blipFill>
        <xdr:spPr bwMode="auto">
          <a:xfrm>
            <a:off x="2178844" y="56173688"/>
            <a:ext cx="3107986" cy="176386"/>
          </a:xfrm>
          <a:prstGeom prst="rect">
            <a:avLst/>
          </a:prstGeom>
          <a:noFill/>
          <a:ln w="9525">
            <a:noFill/>
            <a:miter lim="800000"/>
            <a:headEnd/>
            <a:tailEnd/>
          </a:ln>
        </xdr:spPr>
      </xdr:pic>
      <xdr:pic>
        <xdr:nvPicPr>
          <xdr:cNvPr id="2110" name="Picture 62"/>
          <xdr:cNvPicPr>
            <a:picLocks noChangeAspect="1" noChangeArrowheads="1"/>
          </xdr:cNvPicPr>
        </xdr:nvPicPr>
        <xdr:blipFill>
          <a:blip xmlns:r="http://schemas.openxmlformats.org/officeDocument/2006/relationships" r:embed="rId29" cstate="print"/>
          <a:srcRect/>
          <a:stretch>
            <a:fillRect/>
          </a:stretch>
        </xdr:blipFill>
        <xdr:spPr bwMode="auto">
          <a:xfrm>
            <a:off x="5274469" y="56030813"/>
            <a:ext cx="5362566" cy="423060"/>
          </a:xfrm>
          <a:prstGeom prst="rect">
            <a:avLst/>
          </a:prstGeom>
          <a:noFill/>
          <a:ln w="9525">
            <a:noFill/>
            <a:miter lim="800000"/>
            <a:headEnd/>
            <a:tailEnd/>
          </a:ln>
        </xdr:spPr>
      </xdr:pic>
      <xdr:pic>
        <xdr:nvPicPr>
          <xdr:cNvPr id="2111" name="Picture 63"/>
          <xdr:cNvPicPr>
            <a:picLocks noChangeAspect="1" noChangeArrowheads="1"/>
          </xdr:cNvPicPr>
        </xdr:nvPicPr>
        <xdr:blipFill>
          <a:blip xmlns:r="http://schemas.openxmlformats.org/officeDocument/2006/relationships" r:embed="rId30" cstate="print"/>
          <a:srcRect/>
          <a:stretch>
            <a:fillRect/>
          </a:stretch>
        </xdr:blipFill>
        <xdr:spPr bwMode="auto">
          <a:xfrm>
            <a:off x="10560845" y="56149875"/>
            <a:ext cx="1807368" cy="176386"/>
          </a:xfrm>
          <a:prstGeom prst="rect">
            <a:avLst/>
          </a:prstGeom>
          <a:noFill/>
          <a:ln w="9525">
            <a:noFill/>
            <a:miter lim="800000"/>
            <a:headEnd/>
            <a:tailEnd/>
          </a:ln>
        </xdr:spPr>
      </xdr:pic>
    </xdr:grpSp>
    <xdr:clientData/>
  </xdr:twoCellAnchor>
  <xdr:twoCellAnchor>
    <xdr:from>
      <xdr:col>3</xdr:col>
      <xdr:colOff>571501</xdr:colOff>
      <xdr:row>340</xdr:row>
      <xdr:rowOff>47625</xdr:rowOff>
    </xdr:from>
    <xdr:to>
      <xdr:col>7</xdr:col>
      <xdr:colOff>4058285</xdr:colOff>
      <xdr:row>342</xdr:row>
      <xdr:rowOff>89566</xdr:rowOff>
    </xdr:to>
    <xdr:pic>
      <xdr:nvPicPr>
        <xdr:cNvPr id="2114" name="Picture 66"/>
        <xdr:cNvPicPr>
          <a:picLocks noChangeAspect="1" noChangeArrowheads="1"/>
        </xdr:cNvPicPr>
      </xdr:nvPicPr>
      <xdr:blipFill>
        <a:blip xmlns:r="http://schemas.openxmlformats.org/officeDocument/2006/relationships" r:embed="rId31" cstate="print"/>
        <a:srcRect/>
        <a:stretch>
          <a:fillRect/>
        </a:stretch>
      </xdr:blipFill>
      <xdr:spPr bwMode="auto">
        <a:xfrm>
          <a:off x="2202657" y="57364313"/>
          <a:ext cx="6141878" cy="375316"/>
        </a:xfrm>
        <a:prstGeom prst="rect">
          <a:avLst/>
        </a:prstGeom>
        <a:noFill/>
        <a:ln w="9525">
          <a:noFill/>
          <a:miter lim="800000"/>
          <a:headEnd/>
          <a:tailEnd/>
        </a:ln>
      </xdr:spPr>
    </xdr:pic>
    <xdr:clientData/>
  </xdr:twoCellAnchor>
  <xdr:twoCellAnchor>
    <xdr:from>
      <xdr:col>3</xdr:col>
      <xdr:colOff>569119</xdr:colOff>
      <xdr:row>344</xdr:row>
      <xdr:rowOff>83343</xdr:rowOff>
    </xdr:from>
    <xdr:to>
      <xdr:col>7</xdr:col>
      <xdr:colOff>3408902</xdr:colOff>
      <xdr:row>346</xdr:row>
      <xdr:rowOff>116001</xdr:rowOff>
    </xdr:to>
    <xdr:pic>
      <xdr:nvPicPr>
        <xdr:cNvPr id="2115" name="Picture 67"/>
        <xdr:cNvPicPr>
          <a:picLocks noChangeAspect="1" noChangeArrowheads="1"/>
        </xdr:cNvPicPr>
      </xdr:nvPicPr>
      <xdr:blipFill>
        <a:blip xmlns:r="http://schemas.openxmlformats.org/officeDocument/2006/relationships" r:embed="rId32" cstate="print"/>
        <a:srcRect/>
        <a:stretch>
          <a:fillRect/>
        </a:stretch>
      </xdr:blipFill>
      <xdr:spPr bwMode="auto">
        <a:xfrm>
          <a:off x="2200275" y="58066781"/>
          <a:ext cx="5494877" cy="366033"/>
        </a:xfrm>
        <a:prstGeom prst="rect">
          <a:avLst/>
        </a:prstGeom>
        <a:noFill/>
        <a:ln w="9525">
          <a:noFill/>
          <a:miter lim="800000"/>
          <a:headEnd/>
          <a:tailEnd/>
        </a:ln>
      </xdr:spPr>
    </xdr:pic>
    <xdr:clientData/>
  </xdr:twoCellAnchor>
  <xdr:twoCellAnchor>
    <xdr:from>
      <xdr:col>3</xdr:col>
      <xdr:colOff>582085</xdr:colOff>
      <xdr:row>352</xdr:row>
      <xdr:rowOff>85990</xdr:rowOff>
    </xdr:from>
    <xdr:to>
      <xdr:col>7</xdr:col>
      <xdr:colOff>4754781</xdr:colOff>
      <xdr:row>353</xdr:row>
      <xdr:rowOff>104312</xdr:rowOff>
    </xdr:to>
    <xdr:pic>
      <xdr:nvPicPr>
        <xdr:cNvPr id="66" name="Picture 65"/>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2213241" y="59402928"/>
          <a:ext cx="6827790" cy="1850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576262</xdr:colOff>
      <xdr:row>355</xdr:row>
      <xdr:rowOff>111920</xdr:rowOff>
    </xdr:from>
    <xdr:to>
      <xdr:col>9</xdr:col>
      <xdr:colOff>703469</xdr:colOff>
      <xdr:row>357</xdr:row>
      <xdr:rowOff>144578</xdr:rowOff>
    </xdr:to>
    <xdr:grpSp>
      <xdr:nvGrpSpPr>
        <xdr:cNvPr id="69" name="Group 68"/>
        <xdr:cNvGrpSpPr/>
      </xdr:nvGrpSpPr>
      <xdr:grpSpPr>
        <a:xfrm>
          <a:off x="2262187" y="59900345"/>
          <a:ext cx="8623507" cy="356508"/>
          <a:chOff x="2231230" y="59940826"/>
          <a:chExt cx="8413957" cy="366033"/>
        </a:xfrm>
      </xdr:grpSpPr>
      <xdr:pic>
        <xdr:nvPicPr>
          <xdr:cNvPr id="2116" name="Picture 68"/>
          <xdr:cNvPicPr>
            <a:picLocks noChangeAspect="1" noChangeArrowheads="1"/>
          </xdr:cNvPicPr>
        </xdr:nvPicPr>
        <xdr:blipFill>
          <a:blip xmlns:r="http://schemas.openxmlformats.org/officeDocument/2006/relationships" r:embed="rId33" cstate="print"/>
          <a:srcRect/>
          <a:stretch>
            <a:fillRect/>
          </a:stretch>
        </xdr:blipFill>
        <xdr:spPr bwMode="auto">
          <a:xfrm>
            <a:off x="2231230" y="60002738"/>
            <a:ext cx="3411131" cy="166889"/>
          </a:xfrm>
          <a:prstGeom prst="rect">
            <a:avLst/>
          </a:prstGeom>
          <a:noFill/>
          <a:ln w="9525">
            <a:noFill/>
            <a:miter lim="800000"/>
            <a:headEnd/>
            <a:tailEnd/>
          </a:ln>
        </xdr:spPr>
      </xdr:pic>
      <xdr:pic>
        <xdr:nvPicPr>
          <xdr:cNvPr id="2117" name="Picture 69"/>
          <xdr:cNvPicPr>
            <a:picLocks noChangeAspect="1" noChangeArrowheads="1"/>
          </xdr:cNvPicPr>
        </xdr:nvPicPr>
        <xdr:blipFill>
          <a:blip xmlns:r="http://schemas.openxmlformats.org/officeDocument/2006/relationships" r:embed="rId34" cstate="print"/>
          <a:srcRect/>
          <a:stretch>
            <a:fillRect/>
          </a:stretch>
        </xdr:blipFill>
        <xdr:spPr bwMode="auto">
          <a:xfrm>
            <a:off x="5629276" y="59940826"/>
            <a:ext cx="5015911" cy="366033"/>
          </a:xfrm>
          <a:prstGeom prst="rect">
            <a:avLst/>
          </a:prstGeom>
          <a:noFill/>
          <a:ln w="9525">
            <a:noFill/>
            <a:miter lim="800000"/>
            <a:headEnd/>
            <a:tailEnd/>
          </a:ln>
        </xdr:spPr>
      </xdr:pic>
    </xdr:grpSp>
    <xdr:clientData/>
  </xdr:twoCellAnchor>
  <xdr:twoCellAnchor>
    <xdr:from>
      <xdr:col>4</xdr:col>
      <xdr:colOff>0</xdr:colOff>
      <xdr:row>52</xdr:row>
      <xdr:rowOff>47625</xdr:rowOff>
    </xdr:from>
    <xdr:to>
      <xdr:col>7</xdr:col>
      <xdr:colOff>3341157</xdr:colOff>
      <xdr:row>54</xdr:row>
      <xdr:rowOff>122722</xdr:rowOff>
    </xdr:to>
    <xdr:pic>
      <xdr:nvPicPr>
        <xdr:cNvPr id="2118" name="Picture 70"/>
        <xdr:cNvPicPr>
          <a:picLocks noChangeAspect="1" noChangeArrowheads="1"/>
        </xdr:cNvPicPr>
      </xdr:nvPicPr>
      <xdr:blipFill>
        <a:blip xmlns:r="http://schemas.openxmlformats.org/officeDocument/2006/relationships" r:embed="rId35" cstate="print"/>
        <a:srcRect/>
        <a:stretch>
          <a:fillRect/>
        </a:stretch>
      </xdr:blipFill>
      <xdr:spPr bwMode="auto">
        <a:xfrm>
          <a:off x="2214563" y="9322594"/>
          <a:ext cx="5412844" cy="408472"/>
        </a:xfrm>
        <a:prstGeom prst="rect">
          <a:avLst/>
        </a:prstGeom>
        <a:noFill/>
        <a:ln w="9525">
          <a:noFill/>
          <a:miter lim="800000"/>
          <a:headEnd/>
          <a:tailEnd/>
        </a:ln>
      </xdr:spPr>
    </xdr:pic>
    <xdr:clientData/>
  </xdr:twoCellAnchor>
  <xdr:twoCellAnchor>
    <xdr:from>
      <xdr:col>3</xdr:col>
      <xdr:colOff>581024</xdr:colOff>
      <xdr:row>150</xdr:row>
      <xdr:rowOff>47626</xdr:rowOff>
    </xdr:from>
    <xdr:to>
      <xdr:col>7</xdr:col>
      <xdr:colOff>3396991</xdr:colOff>
      <xdr:row>152</xdr:row>
      <xdr:rowOff>122723</xdr:rowOff>
    </xdr:to>
    <xdr:pic>
      <xdr:nvPicPr>
        <xdr:cNvPr id="2119" name="Picture 71"/>
        <xdr:cNvPicPr>
          <a:picLocks noChangeAspect="1" noChangeArrowheads="1"/>
        </xdr:cNvPicPr>
      </xdr:nvPicPr>
      <xdr:blipFill>
        <a:blip xmlns:r="http://schemas.openxmlformats.org/officeDocument/2006/relationships" r:embed="rId36" cstate="print"/>
        <a:srcRect/>
        <a:stretch>
          <a:fillRect/>
        </a:stretch>
      </xdr:blipFill>
      <xdr:spPr bwMode="auto">
        <a:xfrm>
          <a:off x="2212180" y="25669876"/>
          <a:ext cx="5471061" cy="408472"/>
        </a:xfrm>
        <a:prstGeom prst="rect">
          <a:avLst/>
        </a:prstGeom>
        <a:noFill/>
        <a:ln w="9525">
          <a:noFill/>
          <a:miter lim="800000"/>
          <a:headEnd/>
          <a:tailEnd/>
        </a:ln>
      </xdr:spPr>
    </xdr:pic>
    <xdr:clientData/>
  </xdr:twoCellAnchor>
  <xdr:twoCellAnchor>
    <xdr:from>
      <xdr:col>4</xdr:col>
      <xdr:colOff>2381</xdr:colOff>
      <xdr:row>425</xdr:row>
      <xdr:rowOff>102394</xdr:rowOff>
    </xdr:from>
    <xdr:to>
      <xdr:col>7</xdr:col>
      <xdr:colOff>3948200</xdr:colOff>
      <xdr:row>427</xdr:row>
      <xdr:rowOff>135052</xdr:rowOff>
    </xdr:to>
    <xdr:pic>
      <xdr:nvPicPr>
        <xdr:cNvPr id="2155" name="Picture 107"/>
        <xdr:cNvPicPr>
          <a:picLocks noChangeAspect="1" noChangeArrowheads="1"/>
        </xdr:cNvPicPr>
      </xdr:nvPicPr>
      <xdr:blipFill>
        <a:blip xmlns:r="http://schemas.openxmlformats.org/officeDocument/2006/relationships" r:embed="rId37" cstate="print"/>
        <a:srcRect/>
        <a:stretch>
          <a:fillRect/>
        </a:stretch>
      </xdr:blipFill>
      <xdr:spPr bwMode="auto">
        <a:xfrm>
          <a:off x="2216944" y="72087582"/>
          <a:ext cx="6017506" cy="366033"/>
        </a:xfrm>
        <a:prstGeom prst="rect">
          <a:avLst/>
        </a:prstGeom>
        <a:noFill/>
        <a:ln w="9525">
          <a:noFill/>
          <a:miter lim="800000"/>
          <a:headEnd/>
          <a:tailEnd/>
        </a:ln>
      </xdr:spPr>
    </xdr:pic>
    <xdr:clientData/>
  </xdr:twoCellAnchor>
  <xdr:twoCellAnchor>
    <xdr:from>
      <xdr:col>3</xdr:col>
      <xdr:colOff>581025</xdr:colOff>
      <xdr:row>433</xdr:row>
      <xdr:rowOff>85725</xdr:rowOff>
    </xdr:from>
    <xdr:to>
      <xdr:col>7</xdr:col>
      <xdr:colOff>1241645</xdr:colOff>
      <xdr:row>435</xdr:row>
      <xdr:rowOff>118383</xdr:rowOff>
    </xdr:to>
    <xdr:pic>
      <xdr:nvPicPr>
        <xdr:cNvPr id="2157" name="Picture 109"/>
        <xdr:cNvPicPr>
          <a:picLocks noChangeAspect="1" noChangeArrowheads="1"/>
        </xdr:cNvPicPr>
      </xdr:nvPicPr>
      <xdr:blipFill>
        <a:blip xmlns:r="http://schemas.openxmlformats.org/officeDocument/2006/relationships" r:embed="rId38" cstate="print"/>
        <a:srcRect/>
        <a:stretch>
          <a:fillRect/>
        </a:stretch>
      </xdr:blipFill>
      <xdr:spPr bwMode="auto">
        <a:xfrm>
          <a:off x="2212181" y="73404413"/>
          <a:ext cx="3315714" cy="366033"/>
        </a:xfrm>
        <a:prstGeom prst="rect">
          <a:avLst/>
        </a:prstGeom>
        <a:noFill/>
        <a:ln w="9525">
          <a:noFill/>
          <a:miter lim="800000"/>
          <a:headEnd/>
          <a:tailEnd/>
        </a:ln>
      </xdr:spPr>
    </xdr:pic>
    <xdr:clientData/>
  </xdr:twoCellAnchor>
  <xdr:twoCellAnchor>
    <xdr:from>
      <xdr:col>4</xdr:col>
      <xdr:colOff>11906</xdr:colOff>
      <xdr:row>477</xdr:row>
      <xdr:rowOff>2</xdr:rowOff>
    </xdr:from>
    <xdr:to>
      <xdr:col>7</xdr:col>
      <xdr:colOff>3964387</xdr:colOff>
      <xdr:row>479</xdr:row>
      <xdr:rowOff>40617</xdr:rowOff>
    </xdr:to>
    <xdr:pic>
      <xdr:nvPicPr>
        <xdr:cNvPr id="76" name="Picture 75"/>
        <xdr:cNvPicPr>
          <a:picLocks noChangeAspect="1" noChangeArrowheads="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2226469" y="80319565"/>
          <a:ext cx="6024168" cy="373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23811</xdr:colOff>
      <xdr:row>483</xdr:row>
      <xdr:rowOff>2</xdr:rowOff>
    </xdr:from>
    <xdr:to>
      <xdr:col>7</xdr:col>
      <xdr:colOff>1201307</xdr:colOff>
      <xdr:row>485</xdr:row>
      <xdr:rowOff>32660</xdr:rowOff>
    </xdr:to>
    <xdr:pic>
      <xdr:nvPicPr>
        <xdr:cNvPr id="79" name="Picture 78"/>
        <xdr:cNvPicPr>
          <a:picLocks noChangeAspect="1" noChangeArrowheads="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2238374" y="81319690"/>
          <a:ext cx="3249183" cy="3660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21431</xdr:colOff>
      <xdr:row>440</xdr:row>
      <xdr:rowOff>40481</xdr:rowOff>
    </xdr:from>
    <xdr:to>
      <xdr:col>7</xdr:col>
      <xdr:colOff>5153921</xdr:colOff>
      <xdr:row>442</xdr:row>
      <xdr:rowOff>130166</xdr:rowOff>
    </xdr:to>
    <xdr:grpSp>
      <xdr:nvGrpSpPr>
        <xdr:cNvPr id="74" name="Group 73"/>
        <xdr:cNvGrpSpPr/>
      </xdr:nvGrpSpPr>
      <xdr:grpSpPr>
        <a:xfrm>
          <a:off x="2297906" y="74059256"/>
          <a:ext cx="7256565" cy="432585"/>
          <a:chOff x="2235994" y="74025919"/>
          <a:chExt cx="7204177" cy="423060"/>
        </a:xfrm>
      </xdr:grpSpPr>
      <xdr:pic>
        <xdr:nvPicPr>
          <xdr:cNvPr id="2" name="Picture 1"/>
          <xdr:cNvPicPr>
            <a:picLocks noChangeAspect="1" noChangeArrowheads="1"/>
          </xdr:cNvPicPr>
        </xdr:nvPicPr>
        <xdr:blipFill>
          <a:blip xmlns:r="http://schemas.openxmlformats.org/officeDocument/2006/relationships" r:embed="rId41" cstate="print"/>
          <a:srcRect/>
          <a:stretch>
            <a:fillRect/>
          </a:stretch>
        </xdr:blipFill>
        <xdr:spPr bwMode="auto">
          <a:xfrm>
            <a:off x="2235994" y="74135457"/>
            <a:ext cx="1062458" cy="190974"/>
          </a:xfrm>
          <a:prstGeom prst="rect">
            <a:avLst/>
          </a:prstGeom>
          <a:noFill/>
          <a:ln w="9525">
            <a:noFill/>
            <a:miter lim="800000"/>
            <a:headEnd/>
            <a:tailEnd/>
          </a:ln>
        </xdr:spPr>
      </xdr:pic>
      <xdr:pic>
        <xdr:nvPicPr>
          <xdr:cNvPr id="3" name="Picture 2"/>
          <xdr:cNvPicPr>
            <a:picLocks noChangeAspect="1" noChangeArrowheads="1"/>
          </xdr:cNvPicPr>
        </xdr:nvPicPr>
        <xdr:blipFill>
          <a:blip xmlns:r="http://schemas.openxmlformats.org/officeDocument/2006/relationships" r:embed="rId42" cstate="print"/>
          <a:srcRect/>
          <a:stretch>
            <a:fillRect/>
          </a:stretch>
        </xdr:blipFill>
        <xdr:spPr bwMode="auto">
          <a:xfrm>
            <a:off x="3331370" y="74025919"/>
            <a:ext cx="6108801" cy="423060"/>
          </a:xfrm>
          <a:prstGeom prst="rect">
            <a:avLst/>
          </a:prstGeom>
          <a:noFill/>
          <a:ln w="9525">
            <a:noFill/>
            <a:miter lim="800000"/>
            <a:headEnd/>
            <a:tailEnd/>
          </a:ln>
        </xdr:spPr>
      </xdr:pic>
    </xdr:grpSp>
    <xdr:clientData/>
  </xdr:twoCellAnchor>
  <xdr:twoCellAnchor>
    <xdr:from>
      <xdr:col>3</xdr:col>
      <xdr:colOff>578646</xdr:colOff>
      <xdr:row>61</xdr:row>
      <xdr:rowOff>83345</xdr:rowOff>
    </xdr:from>
    <xdr:to>
      <xdr:col>7</xdr:col>
      <xdr:colOff>4322113</xdr:colOff>
      <xdr:row>63</xdr:row>
      <xdr:rowOff>116003</xdr:rowOff>
    </xdr:to>
    <xdr:pic>
      <xdr:nvPicPr>
        <xdr:cNvPr id="5" name="Picture 1"/>
        <xdr:cNvPicPr>
          <a:picLocks noChangeAspect="1" noChangeArrowheads="1"/>
        </xdr:cNvPicPr>
      </xdr:nvPicPr>
      <xdr:blipFill>
        <a:blip xmlns:r="http://schemas.openxmlformats.org/officeDocument/2006/relationships" r:embed="rId43" cstate="print"/>
        <a:srcRect/>
        <a:stretch>
          <a:fillRect/>
        </a:stretch>
      </xdr:blipFill>
      <xdr:spPr bwMode="auto">
        <a:xfrm>
          <a:off x="2209802" y="10858501"/>
          <a:ext cx="6398561" cy="366033"/>
        </a:xfrm>
        <a:prstGeom prst="rect">
          <a:avLst/>
        </a:prstGeom>
        <a:noFill/>
        <a:ln w="9525">
          <a:noFill/>
          <a:miter lim="800000"/>
          <a:headEnd/>
          <a:tailEnd/>
        </a:ln>
      </xdr:spPr>
    </xdr:pic>
    <xdr:clientData/>
  </xdr:twoCellAnchor>
  <xdr:twoCellAnchor>
    <xdr:from>
      <xdr:col>3</xdr:col>
      <xdr:colOff>569120</xdr:colOff>
      <xdr:row>64</xdr:row>
      <xdr:rowOff>14554</xdr:rowOff>
    </xdr:from>
    <xdr:to>
      <xdr:col>9</xdr:col>
      <xdr:colOff>826799</xdr:colOff>
      <xdr:row>66</xdr:row>
      <xdr:rowOff>58429</xdr:rowOff>
    </xdr:to>
    <xdr:grpSp>
      <xdr:nvGrpSpPr>
        <xdr:cNvPr id="77" name="Group 76"/>
        <xdr:cNvGrpSpPr/>
      </xdr:nvGrpSpPr>
      <xdr:grpSpPr>
        <a:xfrm>
          <a:off x="2255045" y="11254054"/>
          <a:ext cx="8753979" cy="386775"/>
          <a:chOff x="2200276" y="11289773"/>
          <a:chExt cx="8544429" cy="377250"/>
        </a:xfrm>
      </xdr:grpSpPr>
      <xdr:pic>
        <xdr:nvPicPr>
          <xdr:cNvPr id="11" name="Picture 10"/>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7295097" y="11289773"/>
            <a:ext cx="3449608" cy="3772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2"/>
          <xdr:cNvPicPr>
            <a:picLocks noChangeAspect="1" noChangeArrowheads="1"/>
          </xdr:cNvPicPr>
        </xdr:nvPicPr>
        <xdr:blipFill>
          <a:blip xmlns:r="http://schemas.openxmlformats.org/officeDocument/2006/relationships" r:embed="rId45" cstate="print"/>
          <a:srcRect/>
          <a:stretch>
            <a:fillRect/>
          </a:stretch>
        </xdr:blipFill>
        <xdr:spPr bwMode="auto">
          <a:xfrm>
            <a:off x="2200276" y="11294269"/>
            <a:ext cx="5105883" cy="366033"/>
          </a:xfrm>
          <a:prstGeom prst="rect">
            <a:avLst/>
          </a:prstGeom>
          <a:noFill/>
          <a:ln w="9525">
            <a:noFill/>
            <a:miter lim="800000"/>
            <a:headEnd/>
            <a:tailEnd/>
          </a:ln>
        </xdr:spPr>
      </xdr:pic>
    </xdr:grpSp>
    <xdr:clientData/>
  </xdr:twoCellAnchor>
  <xdr:twoCellAnchor>
    <xdr:from>
      <xdr:col>4</xdr:col>
      <xdr:colOff>9527</xdr:colOff>
      <xdr:row>159</xdr:row>
      <xdr:rowOff>121444</xdr:rowOff>
    </xdr:from>
    <xdr:to>
      <xdr:col>7</xdr:col>
      <xdr:colOff>4336401</xdr:colOff>
      <xdr:row>161</xdr:row>
      <xdr:rowOff>154102</xdr:rowOff>
    </xdr:to>
    <xdr:pic>
      <xdr:nvPicPr>
        <xdr:cNvPr id="7" name="Picture 3"/>
        <xdr:cNvPicPr>
          <a:picLocks noChangeAspect="1" noChangeArrowheads="1"/>
        </xdr:cNvPicPr>
      </xdr:nvPicPr>
      <xdr:blipFill>
        <a:blip xmlns:r="http://schemas.openxmlformats.org/officeDocument/2006/relationships" r:embed="rId46" cstate="print"/>
        <a:srcRect/>
        <a:stretch>
          <a:fillRect/>
        </a:stretch>
      </xdr:blipFill>
      <xdr:spPr bwMode="auto">
        <a:xfrm>
          <a:off x="2224090" y="27243882"/>
          <a:ext cx="6398561" cy="366033"/>
        </a:xfrm>
        <a:prstGeom prst="rect">
          <a:avLst/>
        </a:prstGeom>
        <a:noFill/>
        <a:ln w="9525">
          <a:noFill/>
          <a:miter lim="800000"/>
          <a:headEnd/>
          <a:tailEnd/>
        </a:ln>
      </xdr:spPr>
    </xdr:pic>
    <xdr:clientData/>
  </xdr:twoCellAnchor>
  <xdr:twoCellAnchor>
    <xdr:from>
      <xdr:col>4</xdr:col>
      <xdr:colOff>9525</xdr:colOff>
      <xdr:row>162</xdr:row>
      <xdr:rowOff>71438</xdr:rowOff>
    </xdr:from>
    <xdr:to>
      <xdr:col>9</xdr:col>
      <xdr:colOff>863837</xdr:colOff>
      <xdr:row>164</xdr:row>
      <xdr:rowOff>115764</xdr:rowOff>
    </xdr:to>
    <xdr:grpSp>
      <xdr:nvGrpSpPr>
        <xdr:cNvPr id="80" name="Group 79"/>
        <xdr:cNvGrpSpPr/>
      </xdr:nvGrpSpPr>
      <xdr:grpSpPr>
        <a:xfrm>
          <a:off x="2286000" y="27636788"/>
          <a:ext cx="8760062" cy="387226"/>
          <a:chOff x="2224088" y="27693938"/>
          <a:chExt cx="8557655" cy="377701"/>
        </a:xfrm>
      </xdr:grpSpPr>
      <xdr:pic>
        <xdr:nvPicPr>
          <xdr:cNvPr id="35" name="Picture 34"/>
          <xdr:cNvPicPr>
            <a:picLocks noChangeAspect="1" noChangeArrowheads="1"/>
          </xdr:cNvPicPr>
        </xdr:nvPicPr>
        <xdr:blipFill>
          <a:blip xmlns:r="http://schemas.openxmlformats.org/officeDocument/2006/relationships" r:embed="rId47" cstate="print">
            <a:extLst>
              <a:ext uri="{28A0092B-C50C-407E-A947-70E740481C1C}">
                <a14:useLocalDpi xmlns:a14="http://schemas.microsoft.com/office/drawing/2010/main" val="0"/>
              </a:ext>
            </a:extLst>
          </a:blip>
          <a:srcRect/>
          <a:stretch>
            <a:fillRect/>
          </a:stretch>
        </xdr:blipFill>
        <xdr:spPr bwMode="auto">
          <a:xfrm>
            <a:off x="7336374" y="27693938"/>
            <a:ext cx="3445369" cy="37770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52" name="Picture 4"/>
          <xdr:cNvPicPr>
            <a:picLocks noChangeAspect="1" noChangeArrowheads="1"/>
          </xdr:cNvPicPr>
        </xdr:nvPicPr>
        <xdr:blipFill>
          <a:blip xmlns:r="http://schemas.openxmlformats.org/officeDocument/2006/relationships" r:embed="rId48" cstate="print"/>
          <a:srcRect/>
          <a:stretch>
            <a:fillRect/>
          </a:stretch>
        </xdr:blipFill>
        <xdr:spPr bwMode="auto">
          <a:xfrm>
            <a:off x="2224088" y="27696318"/>
            <a:ext cx="5105883" cy="366033"/>
          </a:xfrm>
          <a:prstGeom prst="rect">
            <a:avLst/>
          </a:prstGeom>
          <a:noFill/>
          <a:ln w="9525">
            <a:noFill/>
            <a:miter lim="800000"/>
            <a:headEnd/>
            <a:tailEnd/>
          </a:ln>
        </xdr:spPr>
      </xdr:pic>
    </xdr:grpSp>
    <xdr:clientData/>
  </xdr:twoCellAnchor>
  <xdr:twoCellAnchor>
    <xdr:from>
      <xdr:col>3</xdr:col>
      <xdr:colOff>581025</xdr:colOff>
      <xdr:row>243</xdr:row>
      <xdr:rowOff>100013</xdr:rowOff>
    </xdr:from>
    <xdr:to>
      <xdr:col>9</xdr:col>
      <xdr:colOff>606318</xdr:colOff>
      <xdr:row>245</xdr:row>
      <xdr:rowOff>132671</xdr:rowOff>
    </xdr:to>
    <xdr:grpSp>
      <xdr:nvGrpSpPr>
        <xdr:cNvPr id="82" name="Group 81"/>
        <xdr:cNvGrpSpPr/>
      </xdr:nvGrpSpPr>
      <xdr:grpSpPr>
        <a:xfrm>
          <a:off x="2266950" y="41228963"/>
          <a:ext cx="8521593" cy="356508"/>
          <a:chOff x="2212181" y="41236107"/>
          <a:chExt cx="8312043" cy="366033"/>
        </a:xfrm>
      </xdr:grpSpPr>
      <xdr:pic>
        <xdr:nvPicPr>
          <xdr:cNvPr id="2101" name="Picture 53"/>
          <xdr:cNvPicPr>
            <a:picLocks noChangeAspect="1" noChangeArrowheads="1"/>
          </xdr:cNvPicPr>
        </xdr:nvPicPr>
        <xdr:blipFill>
          <a:blip xmlns:r="http://schemas.openxmlformats.org/officeDocument/2006/relationships" r:embed="rId49" cstate="print"/>
          <a:srcRect/>
          <a:stretch>
            <a:fillRect/>
          </a:stretch>
        </xdr:blipFill>
        <xdr:spPr bwMode="auto">
          <a:xfrm>
            <a:off x="7655721" y="41314687"/>
            <a:ext cx="2868503" cy="176386"/>
          </a:xfrm>
          <a:prstGeom prst="rect">
            <a:avLst/>
          </a:prstGeom>
          <a:noFill/>
          <a:ln w="9525">
            <a:noFill/>
            <a:miter lim="800000"/>
            <a:headEnd/>
            <a:tailEnd/>
          </a:ln>
        </xdr:spPr>
      </xdr:pic>
      <xdr:pic>
        <xdr:nvPicPr>
          <xdr:cNvPr id="2053" name="Picture 5"/>
          <xdr:cNvPicPr>
            <a:picLocks noChangeAspect="1" noChangeArrowheads="1"/>
          </xdr:cNvPicPr>
        </xdr:nvPicPr>
        <xdr:blipFill>
          <a:blip xmlns:r="http://schemas.openxmlformats.org/officeDocument/2006/relationships" r:embed="rId50" cstate="print"/>
          <a:srcRect/>
          <a:stretch>
            <a:fillRect/>
          </a:stretch>
        </xdr:blipFill>
        <xdr:spPr bwMode="auto">
          <a:xfrm>
            <a:off x="2212181" y="41236107"/>
            <a:ext cx="5445922" cy="366033"/>
          </a:xfrm>
          <a:prstGeom prst="rect">
            <a:avLst/>
          </a:prstGeom>
          <a:noFill/>
          <a:ln w="9525">
            <a:noFill/>
            <a:miter lim="800000"/>
            <a:headEnd/>
            <a:tailEnd/>
          </a:ln>
        </xdr:spPr>
      </xdr:pic>
    </xdr:grpSp>
    <xdr:clientData/>
  </xdr:twoCellAnchor>
  <xdr:twoCellAnchor>
    <xdr:from>
      <xdr:col>4</xdr:col>
      <xdr:colOff>35719</xdr:colOff>
      <xdr:row>249</xdr:row>
      <xdr:rowOff>80964</xdr:rowOff>
    </xdr:from>
    <xdr:to>
      <xdr:col>9</xdr:col>
      <xdr:colOff>495452</xdr:colOff>
      <xdr:row>251</xdr:row>
      <xdr:rowOff>89750</xdr:rowOff>
    </xdr:to>
    <xdr:grpSp>
      <xdr:nvGrpSpPr>
        <xdr:cNvPr id="84" name="Group 83"/>
        <xdr:cNvGrpSpPr/>
      </xdr:nvGrpSpPr>
      <xdr:grpSpPr>
        <a:xfrm>
          <a:off x="2312194" y="42181464"/>
          <a:ext cx="8365483" cy="332636"/>
          <a:chOff x="2309812" y="42217183"/>
          <a:chExt cx="8163076" cy="342161"/>
        </a:xfrm>
      </xdr:grpSpPr>
      <xdr:pic>
        <xdr:nvPicPr>
          <xdr:cNvPr id="2103" name="Picture 55"/>
          <xdr:cNvPicPr>
            <a:picLocks noChangeAspect="1" noChangeArrowheads="1"/>
          </xdr:cNvPicPr>
        </xdr:nvPicPr>
        <xdr:blipFill>
          <a:blip xmlns:r="http://schemas.openxmlformats.org/officeDocument/2006/relationships" r:embed="rId51" cstate="print"/>
          <a:srcRect/>
          <a:stretch>
            <a:fillRect/>
          </a:stretch>
        </xdr:blipFill>
        <xdr:spPr bwMode="auto">
          <a:xfrm>
            <a:off x="7629524" y="42302906"/>
            <a:ext cx="2843364" cy="176386"/>
          </a:xfrm>
          <a:prstGeom prst="rect">
            <a:avLst/>
          </a:prstGeom>
          <a:noFill/>
          <a:ln w="9525">
            <a:noFill/>
            <a:miter lim="800000"/>
            <a:headEnd/>
            <a:tailEnd/>
          </a:ln>
        </xdr:spPr>
      </xdr:pic>
      <xdr:pic>
        <xdr:nvPicPr>
          <xdr:cNvPr id="2054" name="Picture 6"/>
          <xdr:cNvPicPr>
            <a:picLocks noChangeAspect="1" noChangeArrowheads="1"/>
          </xdr:cNvPicPr>
        </xdr:nvPicPr>
        <xdr:blipFill>
          <a:blip xmlns:r="http://schemas.openxmlformats.org/officeDocument/2006/relationships" r:embed="rId52" cstate="print"/>
          <a:srcRect/>
          <a:stretch>
            <a:fillRect/>
          </a:stretch>
        </xdr:blipFill>
        <xdr:spPr bwMode="auto">
          <a:xfrm>
            <a:off x="2309812" y="42217183"/>
            <a:ext cx="5329489" cy="342161"/>
          </a:xfrm>
          <a:prstGeom prst="rect">
            <a:avLst/>
          </a:prstGeom>
          <a:noFill/>
          <a:ln w="9525">
            <a:noFill/>
            <a:miter lim="800000"/>
            <a:headEnd/>
            <a:tailEnd/>
          </a:ln>
        </xdr:spPr>
      </xdr:pic>
    </xdr:grpSp>
    <xdr:clientData/>
  </xdr:twoCellAnchor>
  <xdr:twoCellAnchor>
    <xdr:from>
      <xdr:col>3</xdr:col>
      <xdr:colOff>581025</xdr:colOff>
      <xdr:row>336</xdr:row>
      <xdr:rowOff>109538</xdr:rowOff>
    </xdr:from>
    <xdr:to>
      <xdr:col>9</xdr:col>
      <xdr:colOff>540428</xdr:colOff>
      <xdr:row>338</xdr:row>
      <xdr:rowOff>142196</xdr:rowOff>
    </xdr:to>
    <xdr:grpSp>
      <xdr:nvGrpSpPr>
        <xdr:cNvPr id="86" name="Group 85"/>
        <xdr:cNvGrpSpPr/>
      </xdr:nvGrpSpPr>
      <xdr:grpSpPr>
        <a:xfrm>
          <a:off x="2266950" y="56783288"/>
          <a:ext cx="8455703" cy="356508"/>
          <a:chOff x="2212181" y="56759476"/>
          <a:chExt cx="8246153" cy="366033"/>
        </a:xfrm>
      </xdr:grpSpPr>
      <xdr:pic>
        <xdr:nvPicPr>
          <xdr:cNvPr id="2113" name="Picture 65"/>
          <xdr:cNvPicPr>
            <a:picLocks noChangeAspect="1" noChangeArrowheads="1"/>
          </xdr:cNvPicPr>
        </xdr:nvPicPr>
        <xdr:blipFill>
          <a:blip xmlns:r="http://schemas.openxmlformats.org/officeDocument/2006/relationships" r:embed="rId53" cstate="print"/>
          <a:srcRect/>
          <a:stretch>
            <a:fillRect/>
          </a:stretch>
        </xdr:blipFill>
        <xdr:spPr bwMode="auto">
          <a:xfrm>
            <a:off x="7605708" y="56849961"/>
            <a:ext cx="2852626" cy="176386"/>
          </a:xfrm>
          <a:prstGeom prst="rect">
            <a:avLst/>
          </a:prstGeom>
          <a:noFill/>
          <a:ln w="9525">
            <a:noFill/>
            <a:miter lim="800000"/>
            <a:headEnd/>
            <a:tailEnd/>
          </a:ln>
        </xdr:spPr>
      </xdr:pic>
      <xdr:pic>
        <xdr:nvPicPr>
          <xdr:cNvPr id="2055" name="Picture 7"/>
          <xdr:cNvPicPr>
            <a:picLocks noChangeAspect="1" noChangeArrowheads="1"/>
          </xdr:cNvPicPr>
        </xdr:nvPicPr>
        <xdr:blipFill>
          <a:blip xmlns:r="http://schemas.openxmlformats.org/officeDocument/2006/relationships" r:embed="rId54" cstate="print"/>
          <a:srcRect/>
          <a:stretch>
            <a:fillRect/>
          </a:stretch>
        </xdr:blipFill>
        <xdr:spPr bwMode="auto">
          <a:xfrm>
            <a:off x="2212181" y="56759476"/>
            <a:ext cx="5412844" cy="366033"/>
          </a:xfrm>
          <a:prstGeom prst="rect">
            <a:avLst/>
          </a:prstGeom>
          <a:noFill/>
          <a:ln w="9525">
            <a:noFill/>
            <a:miter lim="800000"/>
            <a:headEnd/>
            <a:tailEnd/>
          </a:ln>
        </xdr:spPr>
      </xdr:pic>
    </xdr:grpSp>
    <xdr:clientData/>
  </xdr:twoCellAnchor>
  <xdr:twoCellAnchor>
    <xdr:from>
      <xdr:col>4</xdr:col>
      <xdr:colOff>2380</xdr:colOff>
      <xdr:row>429</xdr:row>
      <xdr:rowOff>76201</xdr:rowOff>
    </xdr:from>
    <xdr:to>
      <xdr:col>7</xdr:col>
      <xdr:colOff>3252243</xdr:colOff>
      <xdr:row>431</xdr:row>
      <xdr:rowOff>108859</xdr:rowOff>
    </xdr:to>
    <xdr:pic>
      <xdr:nvPicPr>
        <xdr:cNvPr id="2056" name="Picture 8"/>
        <xdr:cNvPicPr>
          <a:picLocks noChangeAspect="1" noChangeArrowheads="1"/>
        </xdr:cNvPicPr>
      </xdr:nvPicPr>
      <xdr:blipFill>
        <a:blip xmlns:r="http://schemas.openxmlformats.org/officeDocument/2006/relationships" r:embed="rId55" cstate="print"/>
        <a:srcRect/>
        <a:stretch>
          <a:fillRect/>
        </a:stretch>
      </xdr:blipFill>
      <xdr:spPr bwMode="auto">
        <a:xfrm>
          <a:off x="2216943" y="72228076"/>
          <a:ext cx="5321550" cy="366033"/>
        </a:xfrm>
        <a:prstGeom prst="rect">
          <a:avLst/>
        </a:prstGeom>
        <a:noFill/>
        <a:ln w="9525">
          <a:noFill/>
          <a:miter lim="800000"/>
          <a:headEnd/>
          <a:tailEnd/>
        </a:ln>
      </xdr:spPr>
    </xdr:pic>
    <xdr:clientData/>
  </xdr:twoCellAnchor>
  <xdr:twoCellAnchor>
    <xdr:from>
      <xdr:col>4</xdr:col>
      <xdr:colOff>9525</xdr:colOff>
      <xdr:row>480</xdr:row>
      <xdr:rowOff>23813</xdr:rowOff>
    </xdr:from>
    <xdr:to>
      <xdr:col>7</xdr:col>
      <xdr:colOff>3152216</xdr:colOff>
      <xdr:row>482</xdr:row>
      <xdr:rowOff>56471</xdr:rowOff>
    </xdr:to>
    <xdr:pic>
      <xdr:nvPicPr>
        <xdr:cNvPr id="2057" name="Picture 9"/>
        <xdr:cNvPicPr>
          <a:picLocks noChangeAspect="1" noChangeArrowheads="1"/>
        </xdr:cNvPicPr>
      </xdr:nvPicPr>
      <xdr:blipFill>
        <a:blip xmlns:r="http://schemas.openxmlformats.org/officeDocument/2006/relationships" r:embed="rId56" cstate="print"/>
        <a:srcRect/>
        <a:stretch>
          <a:fillRect/>
        </a:stretch>
      </xdr:blipFill>
      <xdr:spPr bwMode="auto">
        <a:xfrm>
          <a:off x="2224088" y="80676751"/>
          <a:ext cx="5214378" cy="36603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54</xdr:row>
      <xdr:rowOff>47628</xdr:rowOff>
    </xdr:from>
    <xdr:to>
      <xdr:col>7</xdr:col>
      <xdr:colOff>3252789</xdr:colOff>
      <xdr:row>56</xdr:row>
      <xdr:rowOff>118030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214563" y="8203409"/>
          <a:ext cx="5264945" cy="403777"/>
        </a:xfrm>
        <a:prstGeom prst="rect">
          <a:avLst/>
        </a:prstGeom>
        <a:noFill/>
        <a:ln w="9525">
          <a:noFill/>
          <a:miter lim="800000"/>
          <a:headEnd/>
          <a:tailEnd/>
        </a:ln>
      </xdr:spPr>
    </xdr:pic>
    <xdr:clientData/>
  </xdr:twoCellAnchor>
  <xdr:twoCellAnchor>
    <xdr:from>
      <xdr:col>3</xdr:col>
      <xdr:colOff>581026</xdr:colOff>
      <xdr:row>84</xdr:row>
      <xdr:rowOff>85725</xdr:rowOff>
    </xdr:from>
    <xdr:to>
      <xdr:col>7</xdr:col>
      <xdr:colOff>2702275</xdr:colOff>
      <xdr:row>86</xdr:row>
      <xdr:rowOff>151538</xdr:rowOff>
    </xdr:to>
    <xdr:pic>
      <xdr:nvPicPr>
        <xdr:cNvPr id="205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2212182" y="14909006"/>
          <a:ext cx="4716812" cy="399188"/>
        </a:xfrm>
        <a:prstGeom prst="rect">
          <a:avLst/>
        </a:prstGeom>
        <a:noFill/>
        <a:ln w="9525">
          <a:noFill/>
          <a:miter lim="800000"/>
          <a:headEnd/>
          <a:tailEnd/>
        </a:ln>
      </xdr:spPr>
    </xdr:pic>
    <xdr:clientData/>
  </xdr:twoCellAnchor>
  <xdr:twoCellAnchor>
    <xdr:from>
      <xdr:col>4</xdr:col>
      <xdr:colOff>9533</xdr:colOff>
      <xdr:row>138</xdr:row>
      <xdr:rowOff>80964</xdr:rowOff>
    </xdr:from>
    <xdr:to>
      <xdr:col>7</xdr:col>
      <xdr:colOff>2696970</xdr:colOff>
      <xdr:row>140</xdr:row>
      <xdr:rowOff>146777</xdr:rowOff>
    </xdr:to>
    <xdr:pic>
      <xdr:nvPicPr>
        <xdr:cNvPr id="2051" name="Picture 3"/>
        <xdr:cNvPicPr>
          <a:picLocks noChangeAspect="1" noChangeArrowheads="1"/>
        </xdr:cNvPicPr>
      </xdr:nvPicPr>
      <xdr:blipFill>
        <a:blip xmlns:r="http://schemas.openxmlformats.org/officeDocument/2006/relationships" r:embed="rId3" cstate="print"/>
        <a:stretch>
          <a:fillRect/>
        </a:stretch>
      </xdr:blipFill>
      <xdr:spPr bwMode="auto">
        <a:xfrm>
          <a:off x="2224096" y="22929058"/>
          <a:ext cx="4699593" cy="399188"/>
        </a:xfrm>
        <a:prstGeom prst="rect">
          <a:avLst/>
        </a:prstGeom>
        <a:noFill/>
        <a:ln w="9525">
          <a:noFill/>
          <a:miter lim="800000"/>
          <a:headEnd/>
          <a:tailEnd/>
        </a:ln>
      </xdr:spPr>
    </xdr:pic>
    <xdr:clientData/>
  </xdr:twoCellAnchor>
  <xdr:twoCellAnchor>
    <xdr:from>
      <xdr:col>4</xdr:col>
      <xdr:colOff>3</xdr:colOff>
      <xdr:row>35</xdr:row>
      <xdr:rowOff>95251</xdr:rowOff>
    </xdr:from>
    <xdr:to>
      <xdr:col>7</xdr:col>
      <xdr:colOff>2489116</xdr:colOff>
      <xdr:row>37</xdr:row>
      <xdr:rowOff>158586</xdr:rowOff>
    </xdr:to>
    <xdr:pic>
      <xdr:nvPicPr>
        <xdr:cNvPr id="6" name="Picture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14566" y="6429376"/>
          <a:ext cx="4501269" cy="396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21432</xdr:colOff>
      <xdr:row>154</xdr:row>
      <xdr:rowOff>64294</xdr:rowOff>
    </xdr:from>
    <xdr:to>
      <xdr:col>7</xdr:col>
      <xdr:colOff>3289033</xdr:colOff>
      <xdr:row>156</xdr:row>
      <xdr:rowOff>130107</xdr:rowOff>
    </xdr:to>
    <xdr:pic>
      <xdr:nvPicPr>
        <xdr:cNvPr id="3" name="Picture 2"/>
        <xdr:cNvPicPr>
          <a:picLocks noChangeAspect="1" noChangeArrowheads="1"/>
        </xdr:cNvPicPr>
      </xdr:nvPicPr>
      <xdr:blipFill>
        <a:blip xmlns:r="http://schemas.openxmlformats.org/officeDocument/2006/relationships" r:embed="rId5" cstate="print"/>
        <a:srcRect/>
        <a:stretch>
          <a:fillRect/>
        </a:stretch>
      </xdr:blipFill>
      <xdr:spPr bwMode="auto">
        <a:xfrm>
          <a:off x="2235995" y="25912763"/>
          <a:ext cx="5279757" cy="399188"/>
        </a:xfrm>
        <a:prstGeom prst="rect">
          <a:avLst/>
        </a:prstGeom>
        <a:noFill/>
        <a:ln w="9525">
          <a:noFill/>
          <a:miter lim="800000"/>
          <a:headEnd/>
          <a:tailEnd/>
        </a:ln>
      </xdr:spPr>
    </xdr:pic>
    <xdr:clientData/>
  </xdr:twoCellAnchor>
  <xdr:twoCellAnchor>
    <xdr:from>
      <xdr:col>3</xdr:col>
      <xdr:colOff>569118</xdr:colOff>
      <xdr:row>188</xdr:row>
      <xdr:rowOff>92868</xdr:rowOff>
    </xdr:from>
    <xdr:to>
      <xdr:col>7</xdr:col>
      <xdr:colOff>2681095</xdr:colOff>
      <xdr:row>190</xdr:row>
      <xdr:rowOff>158681</xdr:rowOff>
    </xdr:to>
    <xdr:pic>
      <xdr:nvPicPr>
        <xdr:cNvPr id="5" name="Picture 3"/>
        <xdr:cNvPicPr>
          <a:picLocks noChangeAspect="1" noChangeArrowheads="1"/>
        </xdr:cNvPicPr>
      </xdr:nvPicPr>
      <xdr:blipFill>
        <a:blip xmlns:r="http://schemas.openxmlformats.org/officeDocument/2006/relationships" r:embed="rId6" cstate="print"/>
        <a:srcRect/>
        <a:stretch>
          <a:fillRect/>
        </a:stretch>
      </xdr:blipFill>
      <xdr:spPr bwMode="auto">
        <a:xfrm>
          <a:off x="2200274" y="30953868"/>
          <a:ext cx="4707540" cy="399188"/>
        </a:xfrm>
        <a:prstGeom prst="rect">
          <a:avLst/>
        </a:prstGeom>
        <a:noFill/>
        <a:ln w="9525">
          <a:noFill/>
          <a:miter lim="800000"/>
          <a:headEnd/>
          <a:tailEnd/>
        </a:ln>
      </xdr:spPr>
    </xdr:pic>
    <xdr:clientData/>
  </xdr:twoCellAnchor>
  <xdr:twoCellAnchor>
    <xdr:from>
      <xdr:col>4</xdr:col>
      <xdr:colOff>14287</xdr:colOff>
      <xdr:row>204</xdr:row>
      <xdr:rowOff>59532</xdr:rowOff>
    </xdr:from>
    <xdr:to>
      <xdr:col>7</xdr:col>
      <xdr:colOff>3256720</xdr:colOff>
      <xdr:row>206</xdr:row>
      <xdr:rowOff>125345</xdr:rowOff>
    </xdr:to>
    <xdr:pic>
      <xdr:nvPicPr>
        <xdr:cNvPr id="2052" name="Picture 4"/>
        <xdr:cNvPicPr>
          <a:picLocks noChangeAspect="1" noChangeArrowheads="1"/>
        </xdr:cNvPicPr>
      </xdr:nvPicPr>
      <xdr:blipFill>
        <a:blip xmlns:r="http://schemas.openxmlformats.org/officeDocument/2006/relationships" r:embed="rId7" cstate="print"/>
        <a:srcRect/>
        <a:stretch>
          <a:fillRect/>
        </a:stretch>
      </xdr:blipFill>
      <xdr:spPr bwMode="auto">
        <a:xfrm>
          <a:off x="2228850" y="33420845"/>
          <a:ext cx="5254589" cy="399188"/>
        </a:xfrm>
        <a:prstGeom prst="rect">
          <a:avLst/>
        </a:prstGeom>
        <a:noFill/>
        <a:ln w="9525">
          <a:noFill/>
          <a:miter lim="800000"/>
          <a:headEnd/>
          <a:tailEnd/>
        </a:ln>
      </xdr:spPr>
    </xdr:pic>
    <xdr:clientData/>
  </xdr:twoCellAnchor>
  <xdr:twoCellAnchor>
    <xdr:from>
      <xdr:col>4</xdr:col>
      <xdr:colOff>9527</xdr:colOff>
      <xdr:row>236</xdr:row>
      <xdr:rowOff>92870</xdr:rowOff>
    </xdr:from>
    <xdr:to>
      <xdr:col>7</xdr:col>
      <xdr:colOff>2714183</xdr:colOff>
      <xdr:row>238</xdr:row>
      <xdr:rowOff>158683</xdr:rowOff>
    </xdr:to>
    <xdr:pic>
      <xdr:nvPicPr>
        <xdr:cNvPr id="2053" name="Picture 5"/>
        <xdr:cNvPicPr>
          <a:picLocks noChangeAspect="1" noChangeArrowheads="1"/>
        </xdr:cNvPicPr>
      </xdr:nvPicPr>
      <xdr:blipFill>
        <a:blip xmlns:r="http://schemas.openxmlformats.org/officeDocument/2006/relationships" r:embed="rId8" cstate="print"/>
        <a:srcRect/>
        <a:stretch>
          <a:fillRect/>
        </a:stretch>
      </xdr:blipFill>
      <xdr:spPr bwMode="auto">
        <a:xfrm>
          <a:off x="2224090" y="38800089"/>
          <a:ext cx="4716812" cy="399188"/>
        </a:xfrm>
        <a:prstGeom prst="rect">
          <a:avLst/>
        </a:prstGeom>
        <a:noFill/>
        <a:ln w="9525">
          <a:noFill/>
          <a:miter lim="800000"/>
          <a:headEnd/>
          <a:tailEnd/>
        </a:ln>
      </xdr:spPr>
    </xdr:pic>
    <xdr:clientData/>
  </xdr:twoCellAnchor>
  <xdr:twoCellAnchor>
    <xdr:from>
      <xdr:col>4</xdr:col>
      <xdr:colOff>9525</xdr:colOff>
      <xdr:row>286</xdr:row>
      <xdr:rowOff>73818</xdr:rowOff>
    </xdr:from>
    <xdr:to>
      <xdr:col>7</xdr:col>
      <xdr:colOff>2714181</xdr:colOff>
      <xdr:row>288</xdr:row>
      <xdr:rowOff>139631</xdr:rowOff>
    </xdr:to>
    <xdr:pic>
      <xdr:nvPicPr>
        <xdr:cNvPr id="2054" name="Picture 6"/>
        <xdr:cNvPicPr>
          <a:picLocks noChangeAspect="1" noChangeArrowheads="1"/>
        </xdr:cNvPicPr>
      </xdr:nvPicPr>
      <xdr:blipFill>
        <a:blip xmlns:r="http://schemas.openxmlformats.org/officeDocument/2006/relationships" r:embed="rId9" cstate="print"/>
        <a:srcRect/>
        <a:stretch>
          <a:fillRect/>
        </a:stretch>
      </xdr:blipFill>
      <xdr:spPr bwMode="auto">
        <a:xfrm>
          <a:off x="2224088" y="46627256"/>
          <a:ext cx="4716812" cy="399188"/>
        </a:xfrm>
        <a:prstGeom prst="rect">
          <a:avLst/>
        </a:prstGeom>
        <a:noFill/>
        <a:ln w="9525">
          <a:noFill/>
          <a:miter lim="800000"/>
          <a:headEnd/>
          <a:tailEnd/>
        </a:ln>
      </xdr:spPr>
    </xdr:pic>
    <xdr:clientData/>
  </xdr:twoCellAnchor>
  <xdr:twoCellAnchor>
    <xdr:from>
      <xdr:col>4</xdr:col>
      <xdr:colOff>9520</xdr:colOff>
      <xdr:row>336</xdr:row>
      <xdr:rowOff>95252</xdr:rowOff>
    </xdr:from>
    <xdr:to>
      <xdr:col>7</xdr:col>
      <xdr:colOff>2647947</xdr:colOff>
      <xdr:row>338</xdr:row>
      <xdr:rowOff>161065</xdr:rowOff>
    </xdr:to>
    <xdr:pic>
      <xdr:nvPicPr>
        <xdr:cNvPr id="2055" name="Picture 7"/>
        <xdr:cNvPicPr>
          <a:picLocks noChangeAspect="1" noChangeArrowheads="1"/>
        </xdr:cNvPicPr>
      </xdr:nvPicPr>
      <xdr:blipFill>
        <a:blip xmlns:r="http://schemas.openxmlformats.org/officeDocument/2006/relationships" r:embed="rId10" cstate="print"/>
        <a:srcRect/>
        <a:stretch>
          <a:fillRect/>
        </a:stretch>
      </xdr:blipFill>
      <xdr:spPr bwMode="auto">
        <a:xfrm>
          <a:off x="2224083" y="56316565"/>
          <a:ext cx="4650583" cy="399188"/>
        </a:xfrm>
        <a:prstGeom prst="rect">
          <a:avLst/>
        </a:prstGeom>
        <a:noFill/>
        <a:ln w="9525">
          <a:noFill/>
          <a:miter lim="800000"/>
          <a:headEnd/>
          <a:tailEnd/>
        </a:ln>
      </xdr:spPr>
    </xdr:pic>
    <xdr:clientData/>
  </xdr:twoCellAnchor>
  <xdr:twoCellAnchor>
    <xdr:from>
      <xdr:col>4</xdr:col>
      <xdr:colOff>9519</xdr:colOff>
      <xdr:row>388</xdr:row>
      <xdr:rowOff>95253</xdr:rowOff>
    </xdr:from>
    <xdr:to>
      <xdr:col>7</xdr:col>
      <xdr:colOff>2714175</xdr:colOff>
      <xdr:row>390</xdr:row>
      <xdr:rowOff>161066</xdr:rowOff>
    </xdr:to>
    <xdr:pic>
      <xdr:nvPicPr>
        <xdr:cNvPr id="2056" name="Picture 8"/>
        <xdr:cNvPicPr>
          <a:picLocks noChangeAspect="1" noChangeArrowheads="1"/>
        </xdr:cNvPicPr>
      </xdr:nvPicPr>
      <xdr:blipFill>
        <a:blip xmlns:r="http://schemas.openxmlformats.org/officeDocument/2006/relationships" r:embed="rId11" cstate="print"/>
        <a:srcRect/>
        <a:stretch>
          <a:fillRect/>
        </a:stretch>
      </xdr:blipFill>
      <xdr:spPr bwMode="auto">
        <a:xfrm>
          <a:off x="2224082" y="65817753"/>
          <a:ext cx="4716812" cy="399188"/>
        </a:xfrm>
        <a:prstGeom prst="rect">
          <a:avLst/>
        </a:prstGeom>
        <a:noFill/>
        <a:ln w="9525">
          <a:noFill/>
          <a:miter lim="800000"/>
          <a:headEnd/>
          <a:tailEnd/>
        </a:ln>
      </xdr:spPr>
    </xdr:pic>
    <xdr:clientData/>
  </xdr:twoCellAnchor>
  <xdr:twoCellAnchor>
    <xdr:from>
      <xdr:col>4</xdr:col>
      <xdr:colOff>9520</xdr:colOff>
      <xdr:row>427</xdr:row>
      <xdr:rowOff>102398</xdr:rowOff>
    </xdr:from>
    <xdr:to>
      <xdr:col>7</xdr:col>
      <xdr:colOff>2647947</xdr:colOff>
      <xdr:row>430</xdr:row>
      <xdr:rowOff>1523</xdr:rowOff>
    </xdr:to>
    <xdr:pic>
      <xdr:nvPicPr>
        <xdr:cNvPr id="2057" name="Picture 9"/>
        <xdr:cNvPicPr>
          <a:picLocks noChangeAspect="1" noChangeArrowheads="1"/>
        </xdr:cNvPicPr>
      </xdr:nvPicPr>
      <xdr:blipFill>
        <a:blip xmlns:r="http://schemas.openxmlformats.org/officeDocument/2006/relationships" r:embed="rId12" cstate="print"/>
        <a:srcRect/>
        <a:stretch>
          <a:fillRect/>
        </a:stretch>
      </xdr:blipFill>
      <xdr:spPr bwMode="auto">
        <a:xfrm>
          <a:off x="2224083" y="72825773"/>
          <a:ext cx="4650583" cy="3991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pa.gov/climateleadership/documents/emission-factors.pdf" TargetMode="External"/><Relationship Id="rId13" Type="http://schemas.openxmlformats.org/officeDocument/2006/relationships/hyperlink" Target="http://www.epa.gov/ttn/chief/ap42/ch03/final/c03s02.pdf" TargetMode="External"/><Relationship Id="rId18" Type="http://schemas.openxmlformats.org/officeDocument/2006/relationships/hyperlink" Target="http://www.epa.gov/climatechange/Downloads/ghgemissions/US-GHG-Inventory-2012-Annexes.pdf" TargetMode="External"/><Relationship Id="rId3" Type="http://schemas.openxmlformats.org/officeDocument/2006/relationships/hyperlink" Target="http://infohouse.p2ric.org/ref/17/ttn/volume08/viii01.pdf" TargetMode="External"/><Relationship Id="rId21" Type="http://schemas.openxmlformats.org/officeDocument/2006/relationships/hyperlink" Target="http://www.fossil.energy.gov/programs/powersystems/fuelcells/index.html" TargetMode="External"/><Relationship Id="rId7" Type="http://schemas.openxmlformats.org/officeDocument/2006/relationships/hyperlink" Target="http://www.epa.gov/chp/documents/catalog_chptech_full.pdf" TargetMode="External"/><Relationship Id="rId12" Type="http://schemas.openxmlformats.org/officeDocument/2006/relationships/hyperlink" Target="http://www.epa.gov/chp/documents/catalog_chptech_fuel_cells.pdf" TargetMode="External"/><Relationship Id="rId17" Type="http://schemas.openxmlformats.org/officeDocument/2006/relationships/hyperlink" Target="http://www.epa.gov/climatechange/ghgemissions/usinventoryreport/archive.html" TargetMode="External"/><Relationship Id="rId25" Type="http://schemas.openxmlformats.org/officeDocument/2006/relationships/drawing" Target="../drawings/drawing1.xml"/><Relationship Id="rId2" Type="http://schemas.openxmlformats.org/officeDocument/2006/relationships/hyperlink" Target="http://www.epa.gov/ttn/chief/eiip/techreport/volume08/index.html" TargetMode="External"/><Relationship Id="rId16" Type="http://schemas.openxmlformats.org/officeDocument/2006/relationships/hyperlink" Target="http://www.epa.gov/climateleadership/documents/emission-factors.pdf" TargetMode="External"/><Relationship Id="rId20" Type="http://schemas.openxmlformats.org/officeDocument/2006/relationships/hyperlink" Target="http://www.epa.gov/ttnchie1/ap42/ch01/final/c01s04.pdf" TargetMode="External"/><Relationship Id="rId1" Type="http://schemas.openxmlformats.org/officeDocument/2006/relationships/hyperlink" Target="http://www.epa.gov/ttn/chief/eiip/index.html" TargetMode="External"/><Relationship Id="rId6" Type="http://schemas.openxmlformats.org/officeDocument/2006/relationships/hyperlink" Target="http://www.epa.gov/chp/documents/catalog_chptech_microturbines.pdf" TargetMode="External"/><Relationship Id="rId11" Type="http://schemas.openxmlformats.org/officeDocument/2006/relationships/hyperlink" Target="http://www.epa.gov/chp/documents/catalog_chptech_reciprocating_engines.pdf" TargetMode="External"/><Relationship Id="rId24" Type="http://schemas.openxmlformats.org/officeDocument/2006/relationships/printerSettings" Target="../printerSettings/printerSettings1.bin"/><Relationship Id="rId5" Type="http://schemas.openxmlformats.org/officeDocument/2006/relationships/hyperlink" Target="https://mysolar.cat.com/cda/layout?x=7&amp;m=301895&amp;id=101773" TargetMode="External"/><Relationship Id="rId15" Type="http://schemas.openxmlformats.org/officeDocument/2006/relationships/hyperlink" Target="http://www.epa.gov/climatechange/Downloads/ghgemissions/US-GHG-Inventory-2012-Annexes.pdf" TargetMode="External"/><Relationship Id="rId23" Type="http://schemas.openxmlformats.org/officeDocument/2006/relationships/hyperlink" Target="http://www.epa.gov/ttn/chief/ap42/ch03/final/c03s01.pdf" TargetMode="External"/><Relationship Id="rId10" Type="http://schemas.openxmlformats.org/officeDocument/2006/relationships/hyperlink" Target="http://www.epa.gov/chp/documents/catalog_chptech_gas_turbines.pdf" TargetMode="External"/><Relationship Id="rId19" Type="http://schemas.openxmlformats.org/officeDocument/2006/relationships/hyperlink" Target="http://www.deq.state.or.us/aq/committees/docs/lcfs/definitions.pdf" TargetMode="External"/><Relationship Id="rId4" Type="http://schemas.openxmlformats.org/officeDocument/2006/relationships/hyperlink" Target="http://cta.ornl.gov/bedb/pdf/BEDB4_Appendices.pdf" TargetMode="External"/><Relationship Id="rId9" Type="http://schemas.openxmlformats.org/officeDocument/2006/relationships/hyperlink" Target="http://www.epa.gov/chp/technologies.html" TargetMode="External"/><Relationship Id="rId14" Type="http://schemas.openxmlformats.org/officeDocument/2006/relationships/hyperlink" Target="http://www.epa.gov/climatechange/ghgemissions/usinventoryreport/archive.html" TargetMode="External"/><Relationship Id="rId22" Type="http://schemas.openxmlformats.org/officeDocument/2006/relationships/hyperlink" Target="http://www.epa.gov/ttn/chief/ap42/ch03/final/c03s0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epa.gov/chp/documents/catalog_chptech_fuel_cells.pdf" TargetMode="External"/><Relationship Id="rId13" Type="http://schemas.openxmlformats.org/officeDocument/2006/relationships/hyperlink" Target="http://www.epa.gov/chp/documents/catalog_chptech_fuel_cells.pdf" TargetMode="External"/><Relationship Id="rId18" Type="http://schemas.openxmlformats.org/officeDocument/2006/relationships/drawing" Target="../drawings/drawing2.xml"/><Relationship Id="rId3" Type="http://schemas.openxmlformats.org/officeDocument/2006/relationships/hyperlink" Target="http://www.epa.gov/chp/documents/catalog_chptech_fuel_cells.pdf" TargetMode="External"/><Relationship Id="rId21" Type="http://schemas.openxmlformats.org/officeDocument/2006/relationships/image" Target="../media/image24.emf"/><Relationship Id="rId7" Type="http://schemas.openxmlformats.org/officeDocument/2006/relationships/hyperlink" Target="http://www.raponline.org/document/download/id/421" TargetMode="External"/><Relationship Id="rId12" Type="http://schemas.openxmlformats.org/officeDocument/2006/relationships/hyperlink" Target="http://www.epa.gov/ttnchie1/ap42/ch01/final/c01s04.pdf" TargetMode="External"/><Relationship Id="rId17" Type="http://schemas.openxmlformats.org/officeDocument/2006/relationships/printerSettings" Target="../printerSettings/printerSettings4.bin"/><Relationship Id="rId2" Type="http://schemas.openxmlformats.org/officeDocument/2006/relationships/hyperlink" Target="http://www.epa.gov/chp/documents/catalog_chptech_fuel_cells.pdf" TargetMode="External"/><Relationship Id="rId16" Type="http://schemas.openxmlformats.org/officeDocument/2006/relationships/hyperlink" Target="http://www.epa.gov/chp/documents/catalog_chptech_full.pdf" TargetMode="External"/><Relationship Id="rId20" Type="http://schemas.openxmlformats.org/officeDocument/2006/relationships/oleObject" Target="../embeddings/oleObject1.bin"/><Relationship Id="rId1" Type="http://schemas.openxmlformats.org/officeDocument/2006/relationships/hyperlink" Target="http://www.epa.gov/chp/documents/catalog_chptech_fuel_cells.pdf" TargetMode="External"/><Relationship Id="rId6" Type="http://schemas.openxmlformats.org/officeDocument/2006/relationships/hyperlink" Target="http://www.epa.gov/chp/documents/catalog_chptech_fuel_cells.pdf" TargetMode="External"/><Relationship Id="rId11" Type="http://schemas.openxmlformats.org/officeDocument/2006/relationships/hyperlink" Target="http://www.epa.gov/chp/documents/catalog_chptech_fuel_cells.pdf" TargetMode="External"/><Relationship Id="rId5" Type="http://schemas.openxmlformats.org/officeDocument/2006/relationships/hyperlink" Target="http://www.epa.gov/ttnchie1/ap42/ch01/final/c01s04.pdf" TargetMode="External"/><Relationship Id="rId15" Type="http://schemas.openxmlformats.org/officeDocument/2006/relationships/hyperlink" Target="http://www.epa.gov/chp/technologies.html" TargetMode="External"/><Relationship Id="rId10" Type="http://schemas.openxmlformats.org/officeDocument/2006/relationships/hyperlink" Target="http://www.osti.gov/bridge/product.biblio.jsp?osti_id=896706" TargetMode="External"/><Relationship Id="rId19" Type="http://schemas.openxmlformats.org/officeDocument/2006/relationships/vmlDrawing" Target="../drawings/vmlDrawing1.vml"/><Relationship Id="rId4" Type="http://schemas.openxmlformats.org/officeDocument/2006/relationships/hyperlink" Target="http://www.fossil.energy.gov/programs/powersystems/fuelcells/index.html" TargetMode="External"/><Relationship Id="rId9" Type="http://schemas.openxmlformats.org/officeDocument/2006/relationships/hyperlink" Target="http://www.epa.gov/chp/documents/catalog_chptech_fuel_cells.pdf" TargetMode="External"/><Relationship Id="rId14" Type="http://schemas.openxmlformats.org/officeDocument/2006/relationships/hyperlink" Target="http://www.raponline.org/document/download/id/42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epa.gov/chp/documents/catalog_chptech_reciprocating_engines.pdf" TargetMode="External"/><Relationship Id="rId13" Type="http://schemas.openxmlformats.org/officeDocument/2006/relationships/hyperlink" Target="http://www.epa.gov/chp/documents/catalog_chptech_reciprocating_engines.pdf" TargetMode="External"/><Relationship Id="rId18" Type="http://schemas.openxmlformats.org/officeDocument/2006/relationships/hyperlink" Target="http://www.cat.com/cda/files/847283/7/3516B%201640%20ekw%20Cont%20Low%20Emissions_EMCP4.pdf" TargetMode="External"/><Relationship Id="rId26" Type="http://schemas.openxmlformats.org/officeDocument/2006/relationships/hyperlink" Target="http://www.cat.com/cda/files/2846880/11/LEHE0331.pdf" TargetMode="External"/><Relationship Id="rId39" Type="http://schemas.openxmlformats.org/officeDocument/2006/relationships/hyperlink" Target="http://www.cat.com/cda/files/3050164/7/3516C%20480V%202050%20kW%20Tier%204%20Continuous.pdf" TargetMode="External"/><Relationship Id="rId3" Type="http://schemas.openxmlformats.org/officeDocument/2006/relationships/hyperlink" Target="http://www.epa.gov/ttnchie1/ap42/ch01/final/c01s04.pdf" TargetMode="External"/><Relationship Id="rId21" Type="http://schemas.openxmlformats.org/officeDocument/2006/relationships/hyperlink" Target="http://www.raponline.org/document/download/id/421" TargetMode="External"/><Relationship Id="rId34" Type="http://schemas.openxmlformats.org/officeDocument/2006/relationships/hyperlink" Target="http://www.cat.com/cda/files/3050164/7/3516C%20480V%202050%20kW%20Tier%204%20Continuous.pdf" TargetMode="External"/><Relationship Id="rId42" Type="http://schemas.openxmlformats.org/officeDocument/2006/relationships/hyperlink" Target="http://www.cat.com/power-generation/generator-sets/emissions" TargetMode="External"/><Relationship Id="rId7" Type="http://schemas.openxmlformats.org/officeDocument/2006/relationships/hyperlink" Target="http://www.epa.gov/ttn/chief/ap42/ch03/final/c03s02.pdf" TargetMode="External"/><Relationship Id="rId12" Type="http://schemas.openxmlformats.org/officeDocument/2006/relationships/hyperlink" Target="http://site.ge-energy.com/prod_serv/products/tech_docs/en/downloads/GER3430G.pdf" TargetMode="External"/><Relationship Id="rId17" Type="http://schemas.openxmlformats.org/officeDocument/2006/relationships/hyperlink" Target="http://www.cat.com/cda/files/2846880/11/LEHE0331.pdf" TargetMode="External"/><Relationship Id="rId25" Type="http://schemas.openxmlformats.org/officeDocument/2006/relationships/hyperlink" Target="http://www.epa.gov/ttnchie1/ap42/ch01/final/c01s04.pdf" TargetMode="External"/><Relationship Id="rId33" Type="http://schemas.openxmlformats.org/officeDocument/2006/relationships/hyperlink" Target="http://www.cat.com/cda/files/847283/7/3516B%201640%20ekw%20Cont%20Low%20Emissions_EMCP4.pdf" TargetMode="External"/><Relationship Id="rId38" Type="http://schemas.openxmlformats.org/officeDocument/2006/relationships/hyperlink" Target="http://www.cat.com/cda/layout?m=39280&amp;x=7&amp;f=444929" TargetMode="External"/><Relationship Id="rId2" Type="http://schemas.openxmlformats.org/officeDocument/2006/relationships/hyperlink" Target="http://www.epa.gov/ttn/chief/ap42/ch03/final/c03s02.pdf" TargetMode="External"/><Relationship Id="rId16" Type="http://schemas.openxmlformats.org/officeDocument/2006/relationships/hyperlink" Target="http://www.cat.com/cda/files/2846880/11/LEHE0331.pdf" TargetMode="External"/><Relationship Id="rId20" Type="http://schemas.openxmlformats.org/officeDocument/2006/relationships/hyperlink" Target="http://www.cat.com/cda/files/2843023/9/LEHE0309-01.pdf" TargetMode="External"/><Relationship Id="rId29" Type="http://schemas.openxmlformats.org/officeDocument/2006/relationships/hyperlink" Target="http://www.epa.gov/ttnchie1/ap42/ch01/final/c01s04.pdf" TargetMode="External"/><Relationship Id="rId41" Type="http://schemas.openxmlformats.org/officeDocument/2006/relationships/hyperlink" Target="http://www.epa.gov/climatechange/Downloads/ghgemissions/US-GHG-Inventory-2012-Annexes.pdf" TargetMode="External"/><Relationship Id="rId1" Type="http://schemas.openxmlformats.org/officeDocument/2006/relationships/hyperlink" Target="http://www.epa.gov/chp/documents/catalog_chptech_reciprocating_engines.pdf" TargetMode="External"/><Relationship Id="rId6" Type="http://schemas.openxmlformats.org/officeDocument/2006/relationships/hyperlink" Target="http://www.ge-energy.com/content/multimedia/_files/downloads/ETS_E_T3_12_screen.pdf" TargetMode="External"/><Relationship Id="rId11" Type="http://schemas.openxmlformats.org/officeDocument/2006/relationships/hyperlink" Target="http://www.ge-energy.com/content/multimedia/_files/downloads/ETS_E_T3_12_screen.pdf" TargetMode="External"/><Relationship Id="rId24" Type="http://schemas.openxmlformats.org/officeDocument/2006/relationships/hyperlink" Target="http://www.epa.gov/chp/documents/catalog_chptech_reciprocating_engines.pdf" TargetMode="External"/><Relationship Id="rId32" Type="http://schemas.openxmlformats.org/officeDocument/2006/relationships/hyperlink" Target="http://www.ecfr.gov/cgi-bin/text-idx?c=ecfr&amp;SID=4fd542ed6b13bb98d6377413201b6ff8&amp;rgn=div8&amp;view=text&amp;node=40:17.0.1.1.9.9.63.10&amp;idno=40" TargetMode="External"/><Relationship Id="rId37" Type="http://schemas.openxmlformats.org/officeDocument/2006/relationships/hyperlink" Target="http://www.cat.com/cda/files/3050164/7/3516C%20480V%202050%20kW%20Tier%204%20Continuous.pdf" TargetMode="External"/><Relationship Id="rId40" Type="http://schemas.openxmlformats.org/officeDocument/2006/relationships/hyperlink" Target="http://www.epa.gov/climatechange/Downloads/ghgemissions/US-GHG-Inventory-2012-Annexes.pdf" TargetMode="External"/><Relationship Id="rId5" Type="http://schemas.openxmlformats.org/officeDocument/2006/relationships/hyperlink" Target="http://www.raponline.org/document/download/id/421" TargetMode="External"/><Relationship Id="rId15" Type="http://schemas.openxmlformats.org/officeDocument/2006/relationships/hyperlink" Target="http://www.epa.gov/ttn/chief/ap42/ch03/final/c03s02.pdf" TargetMode="External"/><Relationship Id="rId23" Type="http://schemas.openxmlformats.org/officeDocument/2006/relationships/hyperlink" Target="http://www.cat.com/cda/files/2843023/9/LEHE0309-01.pdf" TargetMode="External"/><Relationship Id="rId28" Type="http://schemas.openxmlformats.org/officeDocument/2006/relationships/hyperlink" Target="http://www.epa.gov/ttnchie1/ap42/ch01/final/c01s04.pdf" TargetMode="External"/><Relationship Id="rId36" Type="http://schemas.openxmlformats.org/officeDocument/2006/relationships/hyperlink" Target="http://www.ecfr.gov/cgi-bin/text-idx?c=ecfr&amp;SID=4fd542ed6b13bb98d6377413201b6ff8&amp;rgn=div8&amp;view=text&amp;node=40:17.0.1.1.9.9.63.10&amp;idno=40" TargetMode="External"/><Relationship Id="rId10" Type="http://schemas.openxmlformats.org/officeDocument/2006/relationships/hyperlink" Target="http://site.ge-energy.com/prod_serv/products/tech_docs/en/downloads/GER3430G.pdf" TargetMode="External"/><Relationship Id="rId19" Type="http://schemas.openxmlformats.org/officeDocument/2006/relationships/hyperlink" Target="http://www.cat.com/cda/files/2846880/7/LEBE0023-02.pdf" TargetMode="External"/><Relationship Id="rId31" Type="http://schemas.openxmlformats.org/officeDocument/2006/relationships/hyperlink" Target="http://www.epa.gov/otaq/standards/nonroad/nonroadci.htm" TargetMode="External"/><Relationship Id="rId44" Type="http://schemas.openxmlformats.org/officeDocument/2006/relationships/drawing" Target="../drawings/drawing3.xml"/><Relationship Id="rId4" Type="http://schemas.openxmlformats.org/officeDocument/2006/relationships/hyperlink" Target="http://www.epa.gov/chp/documents/catalog_chptech_reciprocating_engines.pdf" TargetMode="External"/><Relationship Id="rId9" Type="http://schemas.openxmlformats.org/officeDocument/2006/relationships/hyperlink" Target="http://www.raponline.org/document/download/id/421" TargetMode="External"/><Relationship Id="rId14" Type="http://schemas.openxmlformats.org/officeDocument/2006/relationships/hyperlink" Target="http://www.raponline.org/document/download/id/421" TargetMode="External"/><Relationship Id="rId22" Type="http://schemas.openxmlformats.org/officeDocument/2006/relationships/hyperlink" Target="http://www.cat.com/cda/files/2843023/9/LEHE0309-01.pdf" TargetMode="External"/><Relationship Id="rId27" Type="http://schemas.openxmlformats.org/officeDocument/2006/relationships/hyperlink" Target="http://www.myfoleyinc.com/foleyinc/files/chp_Datasheet_460-820%20kW_G3516%201200%20RPM_2%20g%20NOx.pdf" TargetMode="External"/><Relationship Id="rId30" Type="http://schemas.openxmlformats.org/officeDocument/2006/relationships/hyperlink" Target="http://www.epa.gov/ttn/chief/ap42/ch03/final/c03s02.pdf" TargetMode="External"/><Relationship Id="rId35" Type="http://schemas.openxmlformats.org/officeDocument/2006/relationships/hyperlink" Target="http://www.gpo.gov/fdsys/pkg/FR-2004-06-29/pdf/04-11293.pdf" TargetMode="External"/><Relationship Id="rId43"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http://site.ge-energy.com/prod_serv/products/tech_docs/en/downloads/ger3574g.pdf" TargetMode="External"/><Relationship Id="rId18" Type="http://schemas.openxmlformats.org/officeDocument/2006/relationships/hyperlink" Target="http://www.ge-energy.com/products_and_services/products/gas_turbines_heavy_duty/6fa_heavy_duty_gas_turbine.jsp" TargetMode="External"/><Relationship Id="rId26" Type="http://schemas.openxmlformats.org/officeDocument/2006/relationships/hyperlink" Target="http://www.raponline.org/document/download/id/421" TargetMode="External"/><Relationship Id="rId39" Type="http://schemas.openxmlformats.org/officeDocument/2006/relationships/hyperlink" Target="http://mysolar.cat.com/cda/files/126904/7/ds60pg.pdf" TargetMode="External"/><Relationship Id="rId3" Type="http://schemas.openxmlformats.org/officeDocument/2006/relationships/hyperlink" Target="http://mysolar.cat.com/cda/files/126899/7/ds130pg.pdf" TargetMode="External"/><Relationship Id="rId21" Type="http://schemas.openxmlformats.org/officeDocument/2006/relationships/hyperlink" Target="http://site.ge-energy.com/prod_serv/products/gas_turbines_cc/en/downloads/GEA12985H.pdf" TargetMode="External"/><Relationship Id="rId34" Type="http://schemas.openxmlformats.org/officeDocument/2006/relationships/hyperlink" Target="http://www.capstoneturbine.com/_docs/datasheets/C30%20NatGas_331031E_lowres.pdf" TargetMode="External"/><Relationship Id="rId42" Type="http://schemas.openxmlformats.org/officeDocument/2006/relationships/hyperlink" Target="http://mysolar.cat.com/cda/files/2050495/7/TPS60GS.pdf" TargetMode="External"/><Relationship Id="rId47" Type="http://schemas.openxmlformats.org/officeDocument/2006/relationships/hyperlink" Target="http://www.epa.gov/ttn/chief/ap42/ch03/final/c03s01.pdf" TargetMode="External"/><Relationship Id="rId50" Type="http://schemas.openxmlformats.org/officeDocument/2006/relationships/hyperlink" Target="http://www.epa.gov/ttn/chief/ap42/ch03/final/c03s01.pdf" TargetMode="External"/><Relationship Id="rId7" Type="http://schemas.openxmlformats.org/officeDocument/2006/relationships/hyperlink" Target="http://site.ge-energy.com/prod_serv/products/tech_docs/en/downloads/ger3574g.pdf" TargetMode="External"/><Relationship Id="rId12" Type="http://schemas.openxmlformats.org/officeDocument/2006/relationships/hyperlink" Target="http://www.ge-energy.com/products_and_services/products/gas_turbines_heavy_duty/7fa_heavy_duty_gas_turbine.jsp" TargetMode="External"/><Relationship Id="rId17" Type="http://schemas.openxmlformats.org/officeDocument/2006/relationships/hyperlink" Target="http://www.muellerenvironmental.com/documents/GER3567H.pdf" TargetMode="External"/><Relationship Id="rId25" Type="http://schemas.openxmlformats.org/officeDocument/2006/relationships/hyperlink" Target="http://mysolar.cat.com/cda/files/126873/7/dsm50pg.pdf" TargetMode="External"/><Relationship Id="rId33" Type="http://schemas.openxmlformats.org/officeDocument/2006/relationships/hyperlink" Target="http://www.epa.gov/chp/documents/catalog_chptech_microturbines.pdf" TargetMode="External"/><Relationship Id="rId38" Type="http://schemas.openxmlformats.org/officeDocument/2006/relationships/hyperlink" Target="http://www.raponline.org/document/download/id/421" TargetMode="External"/><Relationship Id="rId46" Type="http://schemas.openxmlformats.org/officeDocument/2006/relationships/hyperlink" Target="http://www.epa.gov/chp/documents/catalog_chptech_gas_turbines.pdf" TargetMode="External"/><Relationship Id="rId2" Type="http://schemas.openxmlformats.org/officeDocument/2006/relationships/hyperlink" Target="http://mysolar.cat.com/cda/files/2050543/7/TPS130OS-GS.pdf" TargetMode="External"/><Relationship Id="rId16" Type="http://schemas.openxmlformats.org/officeDocument/2006/relationships/hyperlink" Target="http://www.epa.gov/ttn/chief/ap42/ch03/final/c03s01.pdf" TargetMode="External"/><Relationship Id="rId20" Type="http://schemas.openxmlformats.org/officeDocument/2006/relationships/hyperlink" Target="http://site.ge-energy.com/prod_serv/products/gas_turbines_cc/en/f_class/ms6001fa.htm" TargetMode="External"/><Relationship Id="rId29" Type="http://schemas.openxmlformats.org/officeDocument/2006/relationships/hyperlink" Target="http://www.raponline.org/document/download/id/421" TargetMode="External"/><Relationship Id="rId41" Type="http://schemas.openxmlformats.org/officeDocument/2006/relationships/hyperlink" Target="http://www.epa.gov/chp/documents/catalog_chptech_gas_turbines.pdf" TargetMode="External"/><Relationship Id="rId54" Type="http://schemas.openxmlformats.org/officeDocument/2006/relationships/drawing" Target="../drawings/drawing4.xml"/><Relationship Id="rId1" Type="http://schemas.openxmlformats.org/officeDocument/2006/relationships/hyperlink" Target="http://mysolar.cat.com/cda/files/2050499/7/TPS90-100GS.pdf" TargetMode="External"/><Relationship Id="rId6" Type="http://schemas.openxmlformats.org/officeDocument/2006/relationships/hyperlink" Target="http://www.energy.siemens.com/hq/pool/hq/power-generation/gas-turbines/SGT-400/Brochure%20Gas%20Turbine%20SGT-400%20for%20Power%20Generation.pdf" TargetMode="External"/><Relationship Id="rId11" Type="http://schemas.openxmlformats.org/officeDocument/2006/relationships/hyperlink" Target="http://www.epa.gov/ttn/chief/ap42/ch03/final/c03s01.pdf" TargetMode="External"/><Relationship Id="rId24" Type="http://schemas.openxmlformats.org/officeDocument/2006/relationships/hyperlink" Target="http://www.epa.gov/ttn/chief/ap42/ch03/final/c03s01.pdf" TargetMode="External"/><Relationship Id="rId32" Type="http://schemas.openxmlformats.org/officeDocument/2006/relationships/hyperlink" Target="http://www.epa.gov/ttn/chief/ap42/ch03/final/c03s01.pdf" TargetMode="External"/><Relationship Id="rId37" Type="http://schemas.openxmlformats.org/officeDocument/2006/relationships/hyperlink" Target="http://mysolar.cat.com/cda/files/2050523/7/TPS50GS.pdf" TargetMode="External"/><Relationship Id="rId40" Type="http://schemas.openxmlformats.org/officeDocument/2006/relationships/hyperlink" Target="http://www.epa.gov/chp/documents/catalog_chptech_microturbines.pdf" TargetMode="External"/><Relationship Id="rId45" Type="http://schemas.openxmlformats.org/officeDocument/2006/relationships/hyperlink" Target="http://www.epa.gov/chp/documents/catalog_chptech_gas_turbines.pdf" TargetMode="External"/><Relationship Id="rId53" Type="http://schemas.openxmlformats.org/officeDocument/2006/relationships/printerSettings" Target="../printerSettings/printerSettings6.bin"/><Relationship Id="rId5" Type="http://schemas.openxmlformats.org/officeDocument/2006/relationships/hyperlink" Target="http://www.energy.siemens.com/hq/pool/hq/power-generation/gas-turbines/SGT-400/Brochure%20Gas%20Turbine%20SGT-400%20for%20Power%20Generation.pdf" TargetMode="External"/><Relationship Id="rId15" Type="http://schemas.openxmlformats.org/officeDocument/2006/relationships/hyperlink" Target="http://www.epa.gov/ttn/chief/ap42/ch03/final/c03s01.pdf" TargetMode="External"/><Relationship Id="rId23" Type="http://schemas.openxmlformats.org/officeDocument/2006/relationships/hyperlink" Target="http://www.epa.gov/ttn/chief/ap42/ch03/final/c03s01.pdf" TargetMode="External"/><Relationship Id="rId28" Type="http://schemas.openxmlformats.org/officeDocument/2006/relationships/hyperlink" Target="http://www.raponline.org/document/download/id/421" TargetMode="External"/><Relationship Id="rId36" Type="http://schemas.openxmlformats.org/officeDocument/2006/relationships/hyperlink" Target="http://mysolar.cat.com/cda/files/126911/7/ds50pg.pdf" TargetMode="External"/><Relationship Id="rId49" Type="http://schemas.openxmlformats.org/officeDocument/2006/relationships/hyperlink" Target="http://www.epa.gov/ttn/chief/ap42/ch03/final/c03s01.pdf" TargetMode="External"/><Relationship Id="rId10" Type="http://schemas.openxmlformats.org/officeDocument/2006/relationships/hyperlink" Target="http://cfpub.epa.gov/rblc/index.cfm?action=PermitDetail.ProcessInfo&amp;facility_id=4275&amp;PROCESS_ID=1" TargetMode="External"/><Relationship Id="rId19" Type="http://schemas.openxmlformats.org/officeDocument/2006/relationships/hyperlink" Target="http://site.ge-energy.com/prod_serv/products/tech_docs/en/downloads/ger3765b.pdf" TargetMode="External"/><Relationship Id="rId31" Type="http://schemas.openxmlformats.org/officeDocument/2006/relationships/hyperlink" Target="http://www.raponline.org/document/download/id/421" TargetMode="External"/><Relationship Id="rId44" Type="http://schemas.openxmlformats.org/officeDocument/2006/relationships/hyperlink" Target="http://mysolar.cat.com/cda/files/126902/7/ds100pg.pdf" TargetMode="External"/><Relationship Id="rId52" Type="http://schemas.openxmlformats.org/officeDocument/2006/relationships/hyperlink" Target="http://www.epa.gov/ttn/chief/ap42/ch03/final/c03s01.pdf" TargetMode="External"/><Relationship Id="rId4" Type="http://schemas.openxmlformats.org/officeDocument/2006/relationships/hyperlink" Target="http://www.energy.siemens.com/hq/en/power-generation/gas-turbines/sgt-400.htm" TargetMode="External"/><Relationship Id="rId9" Type="http://schemas.openxmlformats.org/officeDocument/2006/relationships/hyperlink" Target="http://site.ge-energy.com/prod_serv/products/gas_turbines_cc/en/f_class/ms7001fa.htm" TargetMode="External"/><Relationship Id="rId14" Type="http://schemas.openxmlformats.org/officeDocument/2006/relationships/hyperlink" Target="http://site.ge-energy.com/prod_serv/products/gas_turbines_cc/en/downloads/GEA12985H.pdf" TargetMode="External"/><Relationship Id="rId22" Type="http://schemas.openxmlformats.org/officeDocument/2006/relationships/hyperlink" Target="http://www.epa.gov/ttn/chief/ap42/ch03/final/c03s01.pdf" TargetMode="External"/><Relationship Id="rId27" Type="http://schemas.openxmlformats.org/officeDocument/2006/relationships/hyperlink" Target="http://www.raponline.org/document/download/id/421" TargetMode="External"/><Relationship Id="rId30" Type="http://schemas.openxmlformats.org/officeDocument/2006/relationships/hyperlink" Target="http://www.epa.gov/ttn/chief/ap42/ch03/final/c03s01.pdf" TargetMode="External"/><Relationship Id="rId35" Type="http://schemas.openxmlformats.org/officeDocument/2006/relationships/hyperlink" Target="http://www.raponline.org/document/download/id/421" TargetMode="External"/><Relationship Id="rId43" Type="http://schemas.openxmlformats.org/officeDocument/2006/relationships/hyperlink" Target="http://www.epa.gov/chp/documents/catalog_chptech_gas_turbines.pdf" TargetMode="External"/><Relationship Id="rId48" Type="http://schemas.openxmlformats.org/officeDocument/2006/relationships/hyperlink" Target="http://www.epa.gov/ttn/chief/ap42/ch03/final/c03s01.pdf" TargetMode="External"/><Relationship Id="rId8" Type="http://schemas.openxmlformats.org/officeDocument/2006/relationships/hyperlink" Target="http://site.ge-energy.com/prod_serv/products/gas_turbines_cc/en/downloads/GEA12985H.pdf" TargetMode="External"/><Relationship Id="rId51" Type="http://schemas.openxmlformats.org/officeDocument/2006/relationships/hyperlink" Target="http://www.epa.gov/ttn/chief/ap42/ch03/final/c03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23"/>
  <sheetViews>
    <sheetView tabSelected="1" zoomScale="80" zoomScaleNormal="80" workbookViewId="0">
      <selection activeCell="D31" sqref="D31"/>
    </sheetView>
  </sheetViews>
  <sheetFormatPr defaultColWidth="0" defaultRowHeight="13.2" customHeight="1" zeroHeight="1" x14ac:dyDescent="0.25"/>
  <cols>
    <col min="1" max="1" width="9.109375" style="11" customWidth="1"/>
    <col min="2" max="2" width="10.6640625" style="11" customWidth="1"/>
    <col min="3" max="5" width="4.6640625" style="11" customWidth="1"/>
    <col min="6" max="6" width="21.6640625" style="11" customWidth="1"/>
    <col min="7" max="7" width="2.6640625" style="11" customWidth="1"/>
    <col min="8" max="8" width="10.6640625" style="11" customWidth="1"/>
    <col min="9" max="9" width="80.6640625" style="11" customWidth="1"/>
    <col min="10" max="10" width="2.6640625" style="11" customWidth="1"/>
    <col min="11" max="11" width="80.6640625" style="11" customWidth="1"/>
    <col min="12" max="12" width="2.6640625" style="11" customWidth="1"/>
    <col min="13" max="13" width="4.6640625" style="11" customWidth="1"/>
    <col min="14" max="16" width="0" style="11" hidden="1" customWidth="1"/>
    <col min="17" max="16384" width="9.109375" style="11" hidden="1"/>
  </cols>
  <sheetData>
    <row r="1" spans="3:12" x14ac:dyDescent="0.25"/>
    <row r="2" spans="3:12" x14ac:dyDescent="0.25"/>
    <row r="3" spans="3:12" x14ac:dyDescent="0.25"/>
    <row r="4" spans="3:12" x14ac:dyDescent="0.25"/>
    <row r="5" spans="3:12" x14ac:dyDescent="0.25">
      <c r="C5" s="58" t="s">
        <v>598</v>
      </c>
      <c r="D5" s="58"/>
      <c r="E5" s="58"/>
      <c r="F5" s="58"/>
    </row>
    <row r="6" spans="3:12" x14ac:dyDescent="0.25">
      <c r="C6" s="396" t="s">
        <v>597</v>
      </c>
      <c r="D6" s="39"/>
      <c r="E6" s="39"/>
      <c r="F6" s="400">
        <v>41397</v>
      </c>
    </row>
    <row r="7" spans="3:12" x14ac:dyDescent="0.25">
      <c r="C7" s="396"/>
      <c r="D7" s="39"/>
      <c r="E7" s="39"/>
      <c r="F7" s="40"/>
    </row>
    <row r="8" spans="3:12" x14ac:dyDescent="0.25">
      <c r="C8" s="673" t="s">
        <v>600</v>
      </c>
      <c r="D8" s="673"/>
      <c r="E8" s="673"/>
      <c r="F8" s="673"/>
      <c r="G8" s="673"/>
      <c r="H8" s="673"/>
      <c r="I8" s="673"/>
      <c r="J8" s="673"/>
      <c r="K8" s="673"/>
      <c r="L8" s="673"/>
    </row>
    <row r="9" spans="3:12" x14ac:dyDescent="0.25">
      <c r="C9" s="674"/>
      <c r="D9" s="402"/>
      <c r="E9" s="674"/>
      <c r="F9" s="674"/>
      <c r="G9" s="674"/>
      <c r="H9" s="674"/>
      <c r="I9" s="674"/>
      <c r="J9" s="674"/>
      <c r="K9" s="674"/>
      <c r="L9" s="674"/>
    </row>
    <row r="10" spans="3:12" x14ac:dyDescent="0.25">
      <c r="C10" s="24">
        <v>1</v>
      </c>
      <c r="D10" s="599" t="s">
        <v>601</v>
      </c>
      <c r="E10" s="599"/>
      <c r="F10" s="599"/>
      <c r="G10" s="599"/>
      <c r="H10" s="599"/>
      <c r="I10" s="599"/>
      <c r="J10" s="599"/>
      <c r="K10" s="599"/>
      <c r="L10" s="599"/>
    </row>
    <row r="11" spans="3:12" x14ac:dyDescent="0.25">
      <c r="C11" s="24"/>
      <c r="D11" s="599"/>
      <c r="E11" s="599"/>
      <c r="F11" s="599"/>
      <c r="G11" s="599"/>
      <c r="H11" s="599"/>
      <c r="I11" s="599"/>
      <c r="J11" s="599"/>
      <c r="K11" s="599"/>
      <c r="L11" s="599"/>
    </row>
    <row r="12" spans="3:12" x14ac:dyDescent="0.25">
      <c r="C12" s="24"/>
    </row>
    <row r="13" spans="3:12" x14ac:dyDescent="0.25">
      <c r="C13" s="24">
        <f>1+C10</f>
        <v>2</v>
      </c>
      <c r="D13" s="504" t="s">
        <v>602</v>
      </c>
      <c r="E13" s="504"/>
      <c r="F13" s="504"/>
      <c r="G13" s="504"/>
      <c r="H13" s="504"/>
      <c r="I13" s="504"/>
      <c r="J13" s="504"/>
      <c r="K13" s="504"/>
      <c r="L13" s="504"/>
    </row>
    <row r="14" spans="3:12" x14ac:dyDescent="0.25">
      <c r="C14" s="24"/>
      <c r="D14" s="504"/>
      <c r="E14" s="504"/>
      <c r="F14" s="504"/>
      <c r="G14" s="504"/>
      <c r="H14" s="504"/>
      <c r="I14" s="504"/>
      <c r="J14" s="504"/>
      <c r="K14" s="504"/>
      <c r="L14" s="504"/>
    </row>
    <row r="15" spans="3:12" x14ac:dyDescent="0.25">
      <c r="C15" s="24"/>
      <c r="D15" s="504"/>
      <c r="E15" s="504"/>
      <c r="F15" s="504"/>
      <c r="G15" s="504"/>
      <c r="H15" s="504"/>
      <c r="I15" s="504"/>
      <c r="J15" s="504"/>
      <c r="K15" s="504"/>
      <c r="L15" s="504"/>
    </row>
    <row r="16" spans="3:12" x14ac:dyDescent="0.25">
      <c r="C16" s="24"/>
      <c r="D16" s="392"/>
      <c r="E16" s="392"/>
      <c r="F16" s="392"/>
      <c r="G16" s="392"/>
      <c r="H16" s="392"/>
      <c r="I16" s="392"/>
      <c r="J16" s="392"/>
      <c r="K16" s="392"/>
      <c r="L16" s="392"/>
    </row>
    <row r="17" spans="3:12" x14ac:dyDescent="0.25">
      <c r="C17" s="24">
        <f>1+C13</f>
        <v>3</v>
      </c>
      <c r="D17" s="533" t="s">
        <v>603</v>
      </c>
      <c r="E17" s="533"/>
      <c r="F17" s="533"/>
      <c r="G17" s="533"/>
      <c r="H17" s="533"/>
      <c r="I17" s="533"/>
      <c r="J17" s="533"/>
      <c r="K17" s="533"/>
      <c r="L17" s="533"/>
    </row>
    <row r="18" spans="3:12" x14ac:dyDescent="0.25">
      <c r="C18" s="24"/>
      <c r="D18" s="533"/>
      <c r="E18" s="533"/>
      <c r="F18" s="533"/>
      <c r="G18" s="533"/>
      <c r="H18" s="533"/>
      <c r="I18" s="533"/>
      <c r="J18" s="533"/>
      <c r="K18" s="533"/>
      <c r="L18" s="533"/>
    </row>
    <row r="19" spans="3:12" x14ac:dyDescent="0.25">
      <c r="C19" s="24"/>
      <c r="D19" s="504" t="s">
        <v>604</v>
      </c>
      <c r="E19" s="504"/>
      <c r="F19" s="504"/>
      <c r="G19" s="504"/>
      <c r="H19" s="504"/>
      <c r="I19" s="504"/>
      <c r="J19" s="504"/>
      <c r="K19" s="504"/>
      <c r="L19" s="504"/>
    </row>
    <row r="20" spans="3:12" s="401" customFormat="1" ht="12.75" customHeight="1" x14ac:dyDescent="0.25">
      <c r="C20" s="675"/>
      <c r="D20" s="402"/>
      <c r="E20" s="504" t="s">
        <v>605</v>
      </c>
      <c r="F20" s="504"/>
      <c r="G20" s="504"/>
      <c r="H20" s="504"/>
      <c r="I20" s="504"/>
      <c r="J20" s="504"/>
      <c r="K20" s="504"/>
      <c r="L20" s="504"/>
    </row>
    <row r="21" spans="3:12" s="401" customFormat="1" ht="12.75" customHeight="1" x14ac:dyDescent="0.25">
      <c r="C21" s="675"/>
      <c r="D21" s="402"/>
      <c r="E21" s="504" t="s">
        <v>606</v>
      </c>
      <c r="F21" s="504"/>
      <c r="G21" s="504"/>
      <c r="H21" s="504"/>
      <c r="I21" s="504"/>
      <c r="J21" s="504"/>
      <c r="K21" s="504"/>
      <c r="L21" s="504"/>
    </row>
    <row r="22" spans="3:12" x14ac:dyDescent="0.25">
      <c r="C22" s="24"/>
      <c r="D22" s="392"/>
      <c r="E22" s="392"/>
      <c r="F22" s="649" t="s">
        <v>607</v>
      </c>
      <c r="G22" s="649"/>
      <c r="H22" s="649"/>
      <c r="I22" s="649"/>
      <c r="J22" s="649"/>
      <c r="K22" s="649"/>
      <c r="L22" s="649"/>
    </row>
    <row r="23" spans="3:12" x14ac:dyDescent="0.25">
      <c r="C23" s="24"/>
      <c r="D23" s="392"/>
      <c r="E23" s="392"/>
      <c r="F23" s="649" t="s">
        <v>608</v>
      </c>
      <c r="G23" s="649"/>
      <c r="H23" s="649"/>
      <c r="I23" s="649"/>
      <c r="J23" s="649"/>
      <c r="K23" s="649"/>
      <c r="L23" s="649"/>
    </row>
    <row r="24" spans="3:12" x14ac:dyDescent="0.25">
      <c r="C24" s="24"/>
      <c r="D24" s="392"/>
      <c r="E24" s="392"/>
      <c r="F24" s="649" t="s">
        <v>609</v>
      </c>
      <c r="G24" s="649"/>
      <c r="H24" s="649"/>
      <c r="I24" s="649"/>
      <c r="J24" s="649"/>
      <c r="K24" s="649"/>
      <c r="L24" s="649"/>
    </row>
    <row r="25" spans="3:12" x14ac:dyDescent="0.25">
      <c r="C25" s="24"/>
      <c r="D25" s="392"/>
      <c r="E25" s="392"/>
      <c r="F25" s="404"/>
      <c r="G25" s="404"/>
      <c r="H25" s="404"/>
      <c r="I25" s="404"/>
      <c r="J25" s="404"/>
      <c r="K25" s="404"/>
      <c r="L25" s="404"/>
    </row>
    <row r="26" spans="3:12" x14ac:dyDescent="0.25">
      <c r="C26" s="24">
        <f>1+C17</f>
        <v>4</v>
      </c>
      <c r="D26" s="533" t="s">
        <v>610</v>
      </c>
      <c r="E26" s="533"/>
      <c r="F26" s="533"/>
      <c r="G26" s="533"/>
      <c r="H26" s="533"/>
      <c r="I26" s="533"/>
      <c r="J26" s="533"/>
      <c r="K26" s="533"/>
      <c r="L26" s="533"/>
    </row>
    <row r="27" spans="3:12" x14ac:dyDescent="0.25">
      <c r="C27" s="24"/>
      <c r="D27" s="533"/>
      <c r="E27" s="533"/>
      <c r="F27" s="533"/>
      <c r="G27" s="533"/>
      <c r="H27" s="533"/>
      <c r="I27" s="533"/>
      <c r="J27" s="533"/>
      <c r="K27" s="533"/>
      <c r="L27" s="533"/>
    </row>
    <row r="28" spans="3:12" x14ac:dyDescent="0.25">
      <c r="C28" s="24"/>
      <c r="D28" s="390"/>
      <c r="E28" s="390"/>
      <c r="F28" s="390"/>
      <c r="G28" s="390"/>
      <c r="H28" s="390"/>
      <c r="I28" s="390"/>
      <c r="J28" s="390"/>
      <c r="K28" s="390"/>
      <c r="L28" s="390"/>
    </row>
    <row r="29" spans="3:12" x14ac:dyDescent="0.25">
      <c r="C29" s="24">
        <f>1+C26</f>
        <v>5</v>
      </c>
      <c r="D29" s="533" t="s">
        <v>611</v>
      </c>
      <c r="E29" s="533"/>
      <c r="F29" s="533"/>
      <c r="G29" s="533"/>
      <c r="H29" s="533"/>
      <c r="I29" s="533"/>
      <c r="J29" s="533"/>
      <c r="K29" s="533"/>
      <c r="L29" s="533"/>
    </row>
    <row r="30" spans="3:12" x14ac:dyDescent="0.25">
      <c r="C30" s="24"/>
      <c r="D30" s="533"/>
      <c r="E30" s="533"/>
      <c r="F30" s="533"/>
      <c r="G30" s="533"/>
      <c r="H30" s="533"/>
      <c r="I30" s="533"/>
      <c r="J30" s="533"/>
      <c r="K30" s="533"/>
      <c r="L30" s="533"/>
    </row>
    <row r="31" spans="3:12" x14ac:dyDescent="0.25">
      <c r="C31" s="24"/>
      <c r="D31" s="390"/>
      <c r="E31" s="390"/>
      <c r="F31" s="390"/>
      <c r="G31" s="390"/>
      <c r="H31" s="390"/>
      <c r="I31" s="390"/>
      <c r="J31" s="390"/>
      <c r="K31" s="390"/>
      <c r="L31" s="390"/>
    </row>
    <row r="32" spans="3:12" x14ac:dyDescent="0.25">
      <c r="C32" s="24">
        <f>1+C29</f>
        <v>6</v>
      </c>
      <c r="D32" s="533" t="s">
        <v>612</v>
      </c>
      <c r="E32" s="533"/>
      <c r="F32" s="533"/>
      <c r="G32" s="533"/>
      <c r="H32" s="533"/>
      <c r="I32" s="533"/>
      <c r="J32" s="533"/>
      <c r="K32" s="533"/>
      <c r="L32" s="533"/>
    </row>
    <row r="33" spans="3:12" x14ac:dyDescent="0.25">
      <c r="C33" s="24"/>
      <c r="D33" s="533"/>
      <c r="E33" s="533"/>
      <c r="F33" s="533"/>
      <c r="G33" s="533"/>
      <c r="H33" s="533"/>
      <c r="I33" s="533"/>
      <c r="J33" s="533"/>
      <c r="K33" s="533"/>
      <c r="L33" s="533"/>
    </row>
    <row r="34" spans="3:12" ht="12.75" customHeight="1" x14ac:dyDescent="0.25">
      <c r="C34" s="24"/>
      <c r="E34" s="504" t="s">
        <v>79</v>
      </c>
      <c r="F34" s="504"/>
      <c r="G34" s="404"/>
      <c r="H34" s="500" t="s">
        <v>64</v>
      </c>
      <c r="I34" s="500"/>
      <c r="J34" s="500"/>
      <c r="K34" s="500"/>
      <c r="L34" s="500"/>
    </row>
    <row r="35" spans="3:12" ht="12.75" customHeight="1" x14ac:dyDescent="0.25">
      <c r="C35" s="24"/>
      <c r="E35" s="504" t="s">
        <v>78</v>
      </c>
      <c r="F35" s="504"/>
      <c r="G35" s="404"/>
      <c r="H35" s="499" t="s">
        <v>65</v>
      </c>
      <c r="I35" s="499"/>
      <c r="J35" s="499"/>
      <c r="K35" s="499"/>
      <c r="L35" s="499"/>
    </row>
    <row r="36" spans="3:12" x14ac:dyDescent="0.25">
      <c r="C36" s="24"/>
      <c r="E36" s="401" t="s">
        <v>613</v>
      </c>
      <c r="F36" s="397"/>
      <c r="G36" s="397"/>
      <c r="H36" s="398"/>
      <c r="I36" s="398"/>
      <c r="J36" s="398"/>
      <c r="K36" s="398"/>
      <c r="L36" s="398"/>
    </row>
    <row r="37" spans="3:12" x14ac:dyDescent="0.25">
      <c r="C37" s="24"/>
      <c r="F37" s="401" t="s">
        <v>614</v>
      </c>
      <c r="G37" s="401"/>
      <c r="H37" s="500" t="s">
        <v>77</v>
      </c>
      <c r="I37" s="500"/>
      <c r="J37" s="500"/>
      <c r="K37" s="500"/>
      <c r="L37" s="500"/>
    </row>
    <row r="38" spans="3:12" x14ac:dyDescent="0.25">
      <c r="C38" s="24"/>
      <c r="D38" s="330"/>
      <c r="E38" s="330"/>
      <c r="F38" s="401" t="s">
        <v>615</v>
      </c>
      <c r="G38" s="330"/>
      <c r="H38" s="500" t="s">
        <v>88</v>
      </c>
      <c r="I38" s="500"/>
      <c r="J38" s="500"/>
      <c r="K38" s="500"/>
      <c r="L38" s="500"/>
    </row>
    <row r="39" spans="3:12" x14ac:dyDescent="0.25">
      <c r="C39" s="24"/>
      <c r="D39" s="330"/>
      <c r="E39" s="330"/>
      <c r="F39" s="401" t="s">
        <v>616</v>
      </c>
      <c r="G39" s="330"/>
      <c r="H39" s="500" t="s">
        <v>122</v>
      </c>
      <c r="I39" s="500"/>
      <c r="J39" s="500"/>
      <c r="K39" s="500"/>
      <c r="L39" s="500"/>
    </row>
    <row r="40" spans="3:12" x14ac:dyDescent="0.25">
      <c r="C40" s="24"/>
      <c r="D40" s="330"/>
      <c r="E40" s="330"/>
      <c r="F40" s="401" t="s">
        <v>269</v>
      </c>
      <c r="G40" s="330"/>
      <c r="H40" s="500" t="s">
        <v>56</v>
      </c>
      <c r="I40" s="500"/>
      <c r="J40" s="500"/>
      <c r="K40" s="500"/>
      <c r="L40" s="500"/>
    </row>
    <row r="41" spans="3:12" x14ac:dyDescent="0.25">
      <c r="C41" s="24"/>
      <c r="D41" s="330"/>
      <c r="E41" s="330"/>
      <c r="F41" s="401"/>
      <c r="G41" s="330"/>
      <c r="H41" s="391"/>
      <c r="I41" s="391"/>
      <c r="J41" s="391"/>
      <c r="K41" s="391"/>
      <c r="L41" s="391"/>
    </row>
    <row r="42" spans="3:12" ht="12.75" customHeight="1" x14ac:dyDescent="0.3">
      <c r="C42" s="24">
        <f>1+C32</f>
        <v>7</v>
      </c>
      <c r="D42" s="577" t="s">
        <v>617</v>
      </c>
      <c r="E42" s="577"/>
      <c r="F42" s="577"/>
      <c r="G42" s="577"/>
      <c r="H42" s="577"/>
      <c r="I42" s="577"/>
      <c r="J42" s="577"/>
      <c r="K42" s="577"/>
      <c r="L42" s="577"/>
    </row>
    <row r="43" spans="3:12" ht="12.75" customHeight="1" x14ac:dyDescent="0.25">
      <c r="C43" s="24"/>
      <c r="D43" s="402"/>
      <c r="E43" s="402"/>
      <c r="F43" s="402"/>
      <c r="G43" s="402"/>
      <c r="H43" s="402"/>
      <c r="I43" s="402"/>
      <c r="J43" s="402"/>
      <c r="K43" s="402"/>
      <c r="L43" s="402"/>
    </row>
    <row r="44" spans="3:12" ht="12.75" customHeight="1" x14ac:dyDescent="0.25">
      <c r="C44" s="24">
        <f>1+C42</f>
        <v>8</v>
      </c>
      <c r="D44" s="577" t="s">
        <v>618</v>
      </c>
      <c r="E44" s="577"/>
      <c r="F44" s="577"/>
      <c r="G44" s="577"/>
      <c r="H44" s="577"/>
      <c r="I44" s="577"/>
      <c r="J44" s="577"/>
      <c r="K44" s="577"/>
      <c r="L44" s="577"/>
    </row>
    <row r="45" spans="3:12" ht="12.75" customHeight="1" x14ac:dyDescent="0.25">
      <c r="C45" s="24"/>
      <c r="D45" s="402"/>
      <c r="E45" s="402"/>
      <c r="F45" s="501"/>
      <c r="G45" s="501"/>
      <c r="H45" s="501"/>
      <c r="I45" s="501"/>
      <c r="J45" s="501"/>
      <c r="K45" s="501"/>
      <c r="L45" s="501"/>
    </row>
    <row r="46" spans="3:12" ht="12.75" customHeight="1" x14ac:dyDescent="0.25">
      <c r="C46" s="24"/>
      <c r="D46" s="402"/>
      <c r="E46" s="402"/>
      <c r="F46" s="501"/>
      <c r="G46" s="501"/>
      <c r="H46" s="501"/>
      <c r="I46" s="501"/>
      <c r="J46" s="501"/>
      <c r="K46" s="501"/>
      <c r="L46" s="501"/>
    </row>
    <row r="47" spans="3:12" ht="12.75" customHeight="1" x14ac:dyDescent="0.25">
      <c r="C47" s="24"/>
      <c r="D47" s="402"/>
      <c r="E47" s="402"/>
      <c r="F47" s="501"/>
      <c r="G47" s="501"/>
      <c r="H47" s="501"/>
      <c r="I47" s="501"/>
      <c r="J47" s="501"/>
      <c r="K47" s="501"/>
      <c r="L47" s="501"/>
    </row>
    <row r="48" spans="3:12" ht="12.75" customHeight="1" x14ac:dyDescent="0.25">
      <c r="C48" s="24"/>
      <c r="D48" s="402"/>
      <c r="E48" s="402"/>
      <c r="F48" s="501"/>
      <c r="G48" s="501"/>
      <c r="H48" s="501"/>
      <c r="I48" s="501"/>
      <c r="J48" s="501"/>
      <c r="K48" s="501"/>
      <c r="L48" s="501"/>
    </row>
    <row r="49" spans="2:12" ht="12.75" customHeight="1" x14ac:dyDescent="0.25">
      <c r="C49" s="24"/>
      <c r="D49" s="402"/>
      <c r="E49" s="402"/>
      <c r="F49" s="501"/>
      <c r="G49" s="501"/>
      <c r="H49" s="501"/>
      <c r="I49" s="501"/>
      <c r="J49" s="501"/>
      <c r="K49" s="501"/>
      <c r="L49" s="501"/>
    </row>
    <row r="50" spans="2:12" ht="12.75" customHeight="1" x14ac:dyDescent="0.25">
      <c r="B50" s="45"/>
      <c r="C50" s="24"/>
      <c r="D50" s="676" t="s">
        <v>619</v>
      </c>
      <c r="E50" s="676"/>
      <c r="F50" s="676"/>
      <c r="G50" s="676"/>
      <c r="H50" s="676"/>
      <c r="I50" s="676"/>
      <c r="J50" s="676"/>
      <c r="K50" s="676"/>
      <c r="L50" s="676"/>
    </row>
    <row r="51" spans="2:12" ht="12.75" customHeight="1" x14ac:dyDescent="0.35">
      <c r="C51" s="24"/>
      <c r="F51" s="577" t="s">
        <v>620</v>
      </c>
      <c r="G51" s="577"/>
      <c r="H51" s="577"/>
      <c r="I51" s="577"/>
      <c r="J51" s="577"/>
      <c r="K51" s="577"/>
      <c r="L51" s="577"/>
    </row>
    <row r="52" spans="2:12" ht="12.75" customHeight="1" x14ac:dyDescent="0.35">
      <c r="C52" s="24"/>
      <c r="F52" s="577" t="s">
        <v>621</v>
      </c>
      <c r="G52" s="577"/>
      <c r="H52" s="577"/>
      <c r="I52" s="577"/>
      <c r="J52" s="577"/>
      <c r="K52" s="577"/>
      <c r="L52" s="577"/>
    </row>
    <row r="53" spans="2:12" ht="12.75" customHeight="1" x14ac:dyDescent="0.25">
      <c r="C53" s="24"/>
      <c r="D53" s="677" t="s">
        <v>48</v>
      </c>
      <c r="E53" s="677"/>
      <c r="F53" s="677"/>
      <c r="G53" s="677"/>
      <c r="H53" s="677"/>
      <c r="I53" s="677"/>
      <c r="J53" s="677"/>
      <c r="K53" s="677"/>
      <c r="L53" s="677"/>
    </row>
    <row r="54" spans="2:12" ht="12.75" customHeight="1" x14ac:dyDescent="0.25">
      <c r="C54" s="24"/>
      <c r="D54" s="533" t="s">
        <v>622</v>
      </c>
      <c r="E54" s="533"/>
      <c r="F54" s="533"/>
      <c r="G54" s="533"/>
      <c r="H54" s="533"/>
      <c r="I54" s="533"/>
      <c r="J54" s="533"/>
      <c r="K54" s="533"/>
      <c r="L54" s="533"/>
    </row>
    <row r="55" spans="2:12" ht="12.75" customHeight="1" x14ac:dyDescent="0.25">
      <c r="C55" s="24"/>
      <c r="D55" s="533"/>
      <c r="E55" s="533"/>
      <c r="F55" s="533"/>
      <c r="G55" s="533"/>
      <c r="H55" s="533"/>
      <c r="I55" s="533"/>
      <c r="J55" s="533"/>
      <c r="K55" s="533"/>
      <c r="L55" s="533"/>
    </row>
    <row r="56" spans="2:12" ht="12.75" customHeight="1" x14ac:dyDescent="0.35">
      <c r="C56" s="24"/>
      <c r="F56" s="577" t="s">
        <v>623</v>
      </c>
      <c r="G56" s="577"/>
      <c r="H56" s="577"/>
      <c r="I56" s="577"/>
      <c r="J56" s="577"/>
      <c r="K56" s="577"/>
      <c r="L56" s="577"/>
    </row>
    <row r="57" spans="2:12" ht="12.75" customHeight="1" x14ac:dyDescent="0.35">
      <c r="C57" s="24"/>
      <c r="F57" s="577" t="s">
        <v>624</v>
      </c>
      <c r="G57" s="577"/>
      <c r="H57" s="577"/>
      <c r="I57" s="577"/>
      <c r="J57" s="577"/>
      <c r="K57" s="577"/>
      <c r="L57" s="577"/>
    </row>
    <row r="58" spans="2:12" ht="12.75" customHeight="1" x14ac:dyDescent="0.25">
      <c r="C58" s="24"/>
      <c r="F58" s="677" t="s">
        <v>625</v>
      </c>
      <c r="G58" s="677"/>
      <c r="H58" s="677"/>
      <c r="I58" s="677"/>
      <c r="J58" s="677"/>
      <c r="K58" s="677"/>
      <c r="L58" s="677"/>
    </row>
    <row r="59" spans="2:12" ht="12.75" customHeight="1" x14ac:dyDescent="0.25">
      <c r="C59" s="24"/>
      <c r="F59" s="533" t="s">
        <v>626</v>
      </c>
      <c r="G59" s="533"/>
      <c r="H59" s="533"/>
      <c r="I59" s="533"/>
      <c r="J59" s="533"/>
      <c r="K59" s="533"/>
      <c r="L59" s="533"/>
    </row>
    <row r="60" spans="2:12" ht="12.75" customHeight="1" x14ac:dyDescent="0.25">
      <c r="C60" s="24"/>
      <c r="F60" s="533"/>
      <c r="G60" s="533"/>
      <c r="H60" s="533"/>
      <c r="I60" s="533"/>
      <c r="J60" s="533"/>
      <c r="K60" s="533"/>
      <c r="L60" s="533"/>
    </row>
    <row r="61" spans="2:12" ht="12.75" customHeight="1" x14ac:dyDescent="0.25">
      <c r="D61" s="678"/>
      <c r="E61" s="500" t="s">
        <v>627</v>
      </c>
      <c r="F61" s="500"/>
      <c r="G61" s="500"/>
      <c r="H61" s="500"/>
      <c r="I61" s="500"/>
      <c r="J61" s="500"/>
      <c r="K61" s="500"/>
      <c r="L61" s="500"/>
    </row>
    <row r="62" spans="2:12" ht="12.75" customHeight="1" x14ac:dyDescent="0.25">
      <c r="D62" s="678"/>
      <c r="E62" s="391"/>
      <c r="F62" s="391"/>
      <c r="G62" s="391"/>
      <c r="H62" s="391"/>
      <c r="I62" s="391"/>
      <c r="J62" s="391"/>
      <c r="K62" s="391"/>
      <c r="L62" s="391"/>
    </row>
    <row r="63" spans="2:12" ht="12.75" customHeight="1" x14ac:dyDescent="0.25">
      <c r="C63" s="24">
        <f>1+C44</f>
        <v>9</v>
      </c>
      <c r="D63" s="533" t="s">
        <v>628</v>
      </c>
      <c r="E63" s="533"/>
      <c r="F63" s="533"/>
      <c r="G63" s="533"/>
      <c r="H63" s="533"/>
      <c r="I63" s="533"/>
      <c r="J63" s="533"/>
      <c r="K63" s="533"/>
      <c r="L63" s="533"/>
    </row>
    <row r="64" spans="2:12" ht="12.75" customHeight="1" x14ac:dyDescent="0.25">
      <c r="C64" s="24"/>
      <c r="D64" s="533"/>
      <c r="E64" s="533"/>
      <c r="F64" s="533"/>
      <c r="G64" s="533"/>
      <c r="H64" s="533"/>
      <c r="I64" s="533"/>
      <c r="J64" s="533"/>
      <c r="K64" s="533"/>
      <c r="L64" s="533"/>
    </row>
    <row r="65" spans="3:12" ht="12.75" customHeight="1" x14ac:dyDescent="0.25">
      <c r="C65" s="24"/>
      <c r="D65" s="533"/>
      <c r="E65" s="533"/>
      <c r="F65" s="533"/>
      <c r="G65" s="533"/>
      <c r="H65" s="533"/>
      <c r="I65" s="533"/>
      <c r="J65" s="533"/>
      <c r="K65" s="533"/>
      <c r="L65" s="533"/>
    </row>
    <row r="66" spans="3:12" ht="12.75" customHeight="1" x14ac:dyDescent="0.25">
      <c r="C66" s="24"/>
      <c r="D66" s="533"/>
      <c r="E66" s="533"/>
      <c r="F66" s="533"/>
      <c r="G66" s="533"/>
      <c r="H66" s="533"/>
      <c r="I66" s="533"/>
      <c r="J66" s="533"/>
      <c r="K66" s="533"/>
      <c r="L66" s="533"/>
    </row>
    <row r="67" spans="3:12" ht="12.75" customHeight="1" x14ac:dyDescent="0.25">
      <c r="C67" s="24"/>
      <c r="D67" s="390"/>
      <c r="E67" s="390"/>
      <c r="F67" s="390"/>
      <c r="G67" s="390"/>
      <c r="H67" s="390"/>
      <c r="I67" s="390"/>
      <c r="J67" s="390"/>
      <c r="K67" s="390"/>
      <c r="L67" s="390"/>
    </row>
    <row r="68" spans="3:12" ht="12.75" customHeight="1" x14ac:dyDescent="0.25">
      <c r="C68" s="24">
        <f>1+C63</f>
        <v>10</v>
      </c>
      <c r="D68" s="504" t="s">
        <v>629</v>
      </c>
      <c r="E68" s="504"/>
      <c r="F68" s="504"/>
      <c r="G68" s="504"/>
      <c r="H68" s="504"/>
      <c r="I68" s="504"/>
      <c r="J68" s="504"/>
      <c r="K68" s="504"/>
      <c r="L68" s="504"/>
    </row>
    <row r="69" spans="3:12" ht="12.75" customHeight="1" x14ac:dyDescent="0.25">
      <c r="C69" s="24"/>
      <c r="D69" s="504"/>
      <c r="E69" s="504"/>
      <c r="F69" s="504"/>
      <c r="G69" s="504"/>
      <c r="H69" s="504"/>
      <c r="I69" s="504"/>
      <c r="J69" s="504"/>
      <c r="K69" s="504"/>
      <c r="L69" s="504"/>
    </row>
    <row r="70" spans="3:12" ht="12.75" customHeight="1" x14ac:dyDescent="0.25">
      <c r="C70" s="24"/>
      <c r="D70" s="392"/>
      <c r="E70" s="392"/>
      <c r="F70" s="392"/>
      <c r="G70" s="392"/>
      <c r="H70" s="392"/>
      <c r="I70" s="392"/>
      <c r="J70" s="392"/>
      <c r="K70" s="392"/>
      <c r="L70" s="392"/>
    </row>
    <row r="71" spans="3:12" ht="12.75" customHeight="1" x14ac:dyDescent="0.25">
      <c r="C71" s="24">
        <f>1+C68</f>
        <v>11</v>
      </c>
      <c r="D71" s="11" t="s">
        <v>630</v>
      </c>
      <c r="G71" s="390"/>
      <c r="H71" s="390"/>
      <c r="I71" s="390"/>
      <c r="J71" s="390"/>
      <c r="K71" s="390"/>
      <c r="L71" s="390"/>
    </row>
    <row r="72" spans="3:12" ht="12.75" customHeight="1" x14ac:dyDescent="0.25">
      <c r="C72" s="24"/>
      <c r="D72" s="402"/>
      <c r="E72" s="402"/>
      <c r="F72" s="501"/>
      <c r="G72" s="501"/>
      <c r="H72" s="501"/>
      <c r="I72" s="501"/>
      <c r="J72" s="501"/>
      <c r="K72" s="501"/>
      <c r="L72" s="501"/>
    </row>
    <row r="73" spans="3:12" ht="12.75" customHeight="1" x14ac:dyDescent="0.25">
      <c r="C73" s="24"/>
      <c r="D73" s="402"/>
      <c r="E73" s="402"/>
      <c r="F73" s="501"/>
      <c r="G73" s="501"/>
      <c r="H73" s="501"/>
      <c r="I73" s="501"/>
      <c r="J73" s="501"/>
      <c r="K73" s="501"/>
      <c r="L73" s="501"/>
    </row>
    <row r="74" spans="3:12" ht="12.75" customHeight="1" x14ac:dyDescent="0.25">
      <c r="C74" s="24"/>
      <c r="D74" s="402"/>
      <c r="E74" s="402"/>
      <c r="F74" s="501"/>
      <c r="G74" s="501"/>
      <c r="H74" s="501"/>
      <c r="I74" s="501"/>
      <c r="J74" s="501"/>
      <c r="K74" s="501"/>
      <c r="L74" s="501"/>
    </row>
    <row r="75" spans="3:12" ht="12.75" customHeight="1" x14ac:dyDescent="0.25">
      <c r="C75" s="24">
        <f>1+C71</f>
        <v>12</v>
      </c>
      <c r="D75" s="577" t="s">
        <v>631</v>
      </c>
      <c r="E75" s="577"/>
      <c r="F75" s="577"/>
      <c r="G75" s="577"/>
      <c r="H75" s="577"/>
      <c r="I75" s="577"/>
      <c r="J75" s="577"/>
      <c r="K75" s="577"/>
      <c r="L75" s="577"/>
    </row>
    <row r="76" spans="3:12" ht="12.75" customHeight="1" x14ac:dyDescent="0.25">
      <c r="C76" s="24"/>
      <c r="D76" s="402"/>
      <c r="E76" s="402"/>
      <c r="F76" s="501"/>
      <c r="G76" s="501"/>
      <c r="H76" s="501"/>
      <c r="I76" s="501"/>
      <c r="J76" s="501"/>
      <c r="K76" s="501"/>
      <c r="L76" s="501"/>
    </row>
    <row r="77" spans="3:12" ht="12.75" customHeight="1" x14ac:dyDescent="0.25">
      <c r="C77" s="24"/>
      <c r="D77" s="402"/>
      <c r="E77" s="402"/>
      <c r="F77" s="501"/>
      <c r="G77" s="501"/>
      <c r="H77" s="501"/>
      <c r="I77" s="501"/>
      <c r="J77" s="501"/>
      <c r="K77" s="501"/>
      <c r="L77" s="501"/>
    </row>
    <row r="78" spans="3:12" ht="12.75" customHeight="1" x14ac:dyDescent="0.25">
      <c r="C78" s="24"/>
      <c r="D78" s="402"/>
      <c r="E78" s="402"/>
      <c r="F78" s="501"/>
      <c r="G78" s="501"/>
      <c r="H78" s="501"/>
      <c r="I78" s="501"/>
      <c r="J78" s="501"/>
      <c r="K78" s="501"/>
      <c r="L78" s="501"/>
    </row>
    <row r="79" spans="3:12" ht="12.75" customHeight="1" x14ac:dyDescent="0.25">
      <c r="C79" s="24"/>
      <c r="D79" s="402"/>
      <c r="E79" s="402"/>
      <c r="F79" s="501"/>
      <c r="G79" s="501"/>
      <c r="H79" s="501"/>
      <c r="I79" s="501"/>
      <c r="J79" s="501"/>
      <c r="K79" s="501"/>
      <c r="L79" s="501"/>
    </row>
    <row r="80" spans="3:12" ht="12.75" customHeight="1" x14ac:dyDescent="0.25">
      <c r="C80" s="24"/>
      <c r="D80" s="402"/>
      <c r="E80" s="402"/>
      <c r="F80" s="501"/>
      <c r="G80" s="501"/>
      <c r="H80" s="501"/>
      <c r="I80" s="501"/>
      <c r="J80" s="501"/>
      <c r="K80" s="501"/>
      <c r="L80" s="501"/>
    </row>
    <row r="81" spans="3:12" ht="12.75" customHeight="1" x14ac:dyDescent="0.25">
      <c r="C81" s="24"/>
      <c r="D81" s="402"/>
      <c r="E81" s="402"/>
      <c r="F81" s="501"/>
      <c r="G81" s="501"/>
      <c r="H81" s="501"/>
      <c r="I81" s="501"/>
      <c r="J81" s="501"/>
      <c r="K81" s="501"/>
      <c r="L81" s="501"/>
    </row>
    <row r="82" spans="3:12" ht="12.75" customHeight="1" x14ac:dyDescent="0.25">
      <c r="C82" s="24"/>
      <c r="D82" s="402"/>
      <c r="E82" s="402"/>
      <c r="F82" s="501"/>
      <c r="G82" s="501"/>
      <c r="H82" s="501"/>
      <c r="I82" s="501"/>
      <c r="J82" s="501"/>
      <c r="K82" s="501"/>
      <c r="L82" s="501"/>
    </row>
    <row r="83" spans="3:12" ht="12.75" customHeight="1" x14ac:dyDescent="0.25">
      <c r="C83" s="24"/>
      <c r="D83" s="402"/>
      <c r="E83" s="402"/>
      <c r="F83" s="501"/>
      <c r="G83" s="501"/>
      <c r="H83" s="501"/>
      <c r="I83" s="501"/>
      <c r="J83" s="501"/>
      <c r="K83" s="501"/>
      <c r="L83" s="501"/>
    </row>
    <row r="84" spans="3:12" ht="12.75" customHeight="1" x14ac:dyDescent="0.25">
      <c r="C84" s="24"/>
      <c r="D84" s="402"/>
      <c r="E84" s="402"/>
      <c r="F84" s="501"/>
      <c r="G84" s="501"/>
      <c r="H84" s="501"/>
      <c r="I84" s="501"/>
      <c r="J84" s="501"/>
      <c r="K84" s="501"/>
      <c r="L84" s="501"/>
    </row>
    <row r="85" spans="3:12" ht="12.75" customHeight="1" x14ac:dyDescent="0.25">
      <c r="C85" s="24"/>
      <c r="D85" s="402"/>
      <c r="E85" s="402"/>
      <c r="F85" s="501"/>
      <c r="G85" s="501"/>
      <c r="H85" s="501"/>
      <c r="I85" s="501"/>
      <c r="J85" s="501"/>
      <c r="K85" s="501"/>
      <c r="L85" s="501"/>
    </row>
    <row r="86" spans="3:12" ht="12.75" customHeight="1" x14ac:dyDescent="0.25">
      <c r="C86" s="24"/>
      <c r="D86" s="402"/>
      <c r="E86" s="402"/>
      <c r="F86" s="501"/>
      <c r="G86" s="501"/>
      <c r="H86" s="501"/>
      <c r="I86" s="501"/>
      <c r="J86" s="501"/>
      <c r="K86" s="501"/>
      <c r="L86" s="501"/>
    </row>
    <row r="87" spans="3:12" ht="12.75" customHeight="1" x14ac:dyDescent="0.25">
      <c r="C87" s="24">
        <f>1+C75</f>
        <v>13</v>
      </c>
      <c r="D87" s="540" t="s">
        <v>632</v>
      </c>
      <c r="E87" s="540"/>
      <c r="F87" s="540"/>
      <c r="G87" s="540"/>
      <c r="H87" s="540"/>
      <c r="I87" s="540"/>
      <c r="J87" s="540"/>
      <c r="K87" s="540"/>
      <c r="L87" s="540"/>
    </row>
    <row r="88" spans="3:12" ht="12.75" customHeight="1" x14ac:dyDescent="0.25">
      <c r="C88" s="24"/>
      <c r="D88" s="403"/>
      <c r="E88" s="403"/>
      <c r="F88" s="403"/>
      <c r="G88" s="403"/>
      <c r="H88" s="403"/>
      <c r="I88" s="403"/>
      <c r="J88" s="403"/>
      <c r="K88" s="403"/>
      <c r="L88" s="403"/>
    </row>
    <row r="89" spans="3:12" ht="12.75" customHeight="1" x14ac:dyDescent="0.25">
      <c r="C89" s="24"/>
      <c r="D89" s="402"/>
      <c r="E89" s="402"/>
      <c r="F89" s="501"/>
      <c r="G89" s="501"/>
      <c r="H89" s="501"/>
      <c r="I89" s="501"/>
      <c r="J89" s="501"/>
      <c r="K89" s="501"/>
      <c r="L89" s="501"/>
    </row>
    <row r="90" spans="3:12" ht="12.75" customHeight="1" x14ac:dyDescent="0.25">
      <c r="C90" s="24"/>
      <c r="D90" s="402"/>
      <c r="E90" s="402"/>
      <c r="F90" s="501"/>
      <c r="G90" s="501"/>
      <c r="H90" s="501"/>
      <c r="I90" s="501"/>
      <c r="J90" s="501"/>
      <c r="K90" s="501"/>
      <c r="L90" s="501"/>
    </row>
    <row r="91" spans="3:12" ht="12.75" customHeight="1" x14ac:dyDescent="0.25">
      <c r="C91" s="24"/>
      <c r="D91" s="402"/>
      <c r="E91" s="402"/>
      <c r="F91" s="393"/>
      <c r="G91" s="393"/>
      <c r="H91" s="393"/>
      <c r="I91" s="393"/>
      <c r="J91" s="393"/>
      <c r="K91" s="393"/>
      <c r="L91" s="393"/>
    </row>
    <row r="92" spans="3:12" ht="12.75" customHeight="1" x14ac:dyDescent="0.25">
      <c r="C92" s="24">
        <f>1+C87</f>
        <v>14</v>
      </c>
      <c r="D92" s="533" t="s">
        <v>633</v>
      </c>
      <c r="E92" s="533"/>
      <c r="F92" s="533"/>
      <c r="G92" s="533"/>
      <c r="H92" s="533"/>
      <c r="I92" s="533"/>
      <c r="J92" s="533"/>
      <c r="K92" s="533"/>
      <c r="L92" s="533"/>
    </row>
    <row r="93" spans="3:12" ht="12.75" customHeight="1" x14ac:dyDescent="0.25">
      <c r="D93" s="533"/>
      <c r="E93" s="533"/>
      <c r="F93" s="533"/>
      <c r="G93" s="533"/>
      <c r="H93" s="533"/>
      <c r="I93" s="533"/>
      <c r="J93" s="533"/>
      <c r="K93" s="533"/>
      <c r="L93" s="533"/>
    </row>
    <row r="94" spans="3:12" ht="12.75" customHeight="1" x14ac:dyDescent="0.25">
      <c r="D94" s="390"/>
      <c r="E94" s="390"/>
      <c r="F94" s="390"/>
      <c r="G94" s="390"/>
      <c r="H94" s="390"/>
      <c r="I94" s="390"/>
      <c r="J94" s="390"/>
      <c r="K94" s="390"/>
      <c r="L94" s="390"/>
    </row>
    <row r="95" spans="3:12" ht="12.75" customHeight="1" x14ac:dyDescent="0.25">
      <c r="C95" s="24">
        <f>1+C92</f>
        <v>15</v>
      </c>
      <c r="D95" s="533" t="s">
        <v>634</v>
      </c>
      <c r="E95" s="533"/>
      <c r="F95" s="533"/>
      <c r="G95" s="533"/>
      <c r="H95" s="533"/>
      <c r="I95" s="533"/>
      <c r="J95" s="533"/>
      <c r="K95" s="533"/>
      <c r="L95" s="533"/>
    </row>
    <row r="96" spans="3:12" ht="12.75" customHeight="1" x14ac:dyDescent="0.25">
      <c r="C96" s="24"/>
      <c r="D96" s="533"/>
      <c r="E96" s="533"/>
      <c r="F96" s="533"/>
      <c r="G96" s="533"/>
      <c r="H96" s="533"/>
      <c r="I96" s="533"/>
      <c r="J96" s="533"/>
      <c r="K96" s="533"/>
      <c r="L96" s="533"/>
    </row>
    <row r="97" spans="3:12" ht="12.75" customHeight="1" x14ac:dyDescent="0.25">
      <c r="C97" s="24"/>
      <c r="D97" s="390"/>
      <c r="E97" s="390"/>
      <c r="F97" s="390"/>
      <c r="G97" s="390"/>
      <c r="H97" s="390"/>
      <c r="I97" s="390"/>
      <c r="J97" s="390"/>
      <c r="K97" s="390"/>
      <c r="L97" s="390"/>
    </row>
    <row r="98" spans="3:12" ht="12.75" customHeight="1" x14ac:dyDescent="0.25">
      <c r="C98" s="25">
        <f>1+C95</f>
        <v>16</v>
      </c>
      <c r="D98" s="577" t="s">
        <v>635</v>
      </c>
      <c r="E98" s="577"/>
      <c r="F98" s="577"/>
      <c r="G98" s="577"/>
      <c r="H98" s="577"/>
      <c r="I98" s="577"/>
      <c r="J98" s="577"/>
      <c r="K98" s="577"/>
      <c r="L98" s="577"/>
    </row>
    <row r="99" spans="3:12" ht="12.75" customHeight="1" x14ac:dyDescent="0.25">
      <c r="C99" s="25"/>
      <c r="D99" s="402"/>
      <c r="E99" s="402"/>
      <c r="F99" s="501"/>
      <c r="G99" s="501"/>
      <c r="H99" s="501"/>
      <c r="I99" s="501"/>
      <c r="J99" s="501"/>
      <c r="K99" s="501"/>
      <c r="L99" s="501"/>
    </row>
    <row r="100" spans="3:12" ht="12.75" customHeight="1" x14ac:dyDescent="0.25">
      <c r="C100" s="25"/>
      <c r="D100" s="402"/>
      <c r="E100" s="402"/>
      <c r="F100" s="501"/>
      <c r="G100" s="501"/>
      <c r="H100" s="501"/>
      <c r="I100" s="501"/>
      <c r="J100" s="501"/>
      <c r="K100" s="501"/>
      <c r="L100" s="501"/>
    </row>
    <row r="101" spans="3:12" ht="12.75" customHeight="1" x14ac:dyDescent="0.25">
      <c r="C101" s="25"/>
      <c r="D101" s="402"/>
      <c r="E101" s="402"/>
      <c r="F101" s="501"/>
      <c r="G101" s="501"/>
      <c r="H101" s="501"/>
      <c r="I101" s="501"/>
      <c r="J101" s="501"/>
      <c r="K101" s="501"/>
      <c r="L101" s="501"/>
    </row>
    <row r="102" spans="3:12" ht="12.75" customHeight="1" x14ac:dyDescent="0.25">
      <c r="C102" s="25"/>
      <c r="D102" s="679" t="s">
        <v>636</v>
      </c>
      <c r="E102" s="679"/>
      <c r="F102" s="679"/>
      <c r="G102" s="679"/>
      <c r="H102" s="679"/>
      <c r="I102" s="679"/>
      <c r="J102" s="679"/>
      <c r="K102" s="679"/>
      <c r="L102" s="679"/>
    </row>
    <row r="103" spans="3:12" ht="12.75" customHeight="1" x14ac:dyDescent="0.25">
      <c r="C103" s="24"/>
      <c r="D103" s="393" t="s">
        <v>45</v>
      </c>
      <c r="E103" s="504" t="s">
        <v>637</v>
      </c>
      <c r="F103" s="504"/>
      <c r="G103" s="504"/>
      <c r="H103" s="504"/>
      <c r="I103" s="504"/>
      <c r="J103" s="504"/>
      <c r="K103" s="504"/>
      <c r="L103" s="504"/>
    </row>
    <row r="104" spans="3:12" ht="12.75" customHeight="1" x14ac:dyDescent="0.25">
      <c r="C104" s="402"/>
      <c r="D104" s="393"/>
      <c r="E104" s="500" t="s">
        <v>638</v>
      </c>
      <c r="F104" s="500"/>
      <c r="G104" s="500"/>
      <c r="H104" s="500"/>
      <c r="I104" s="500"/>
      <c r="J104" s="500"/>
      <c r="K104" s="500"/>
      <c r="L104" s="500"/>
    </row>
    <row r="105" spans="3:12" ht="12.75" customHeight="1" x14ac:dyDescent="0.25">
      <c r="C105" s="402"/>
      <c r="D105" s="393" t="s">
        <v>45</v>
      </c>
      <c r="E105" s="577" t="s">
        <v>639</v>
      </c>
      <c r="F105" s="577"/>
      <c r="G105" s="577"/>
      <c r="H105" s="577"/>
      <c r="I105" s="577"/>
      <c r="J105" s="577"/>
      <c r="K105" s="577"/>
      <c r="L105" s="577"/>
    </row>
    <row r="106" spans="3:12" ht="12.75" customHeight="1" x14ac:dyDescent="0.25">
      <c r="C106" s="402"/>
      <c r="D106" s="393"/>
      <c r="E106" s="402"/>
      <c r="F106" s="402"/>
      <c r="G106" s="402"/>
      <c r="H106" s="402"/>
      <c r="I106" s="402"/>
      <c r="J106" s="402"/>
      <c r="K106" s="402"/>
      <c r="L106" s="402"/>
    </row>
    <row r="107" spans="3:12" ht="12.75" customHeight="1" x14ac:dyDescent="0.25">
      <c r="C107" s="25">
        <f>1+C98</f>
        <v>17</v>
      </c>
      <c r="D107" s="533" t="s">
        <v>640</v>
      </c>
      <c r="E107" s="533"/>
      <c r="F107" s="533"/>
      <c r="G107" s="533"/>
      <c r="H107" s="533"/>
      <c r="I107" s="533"/>
      <c r="J107" s="533"/>
      <c r="K107" s="533"/>
      <c r="L107" s="533"/>
    </row>
    <row r="108" spans="3:12" ht="12.75" customHeight="1" x14ac:dyDescent="0.25">
      <c r="C108" s="25"/>
      <c r="D108" s="390"/>
      <c r="E108" s="390"/>
      <c r="F108" s="390"/>
      <c r="G108" s="390"/>
      <c r="H108" s="390"/>
      <c r="I108" s="390"/>
      <c r="J108" s="390"/>
      <c r="K108" s="390"/>
      <c r="L108" s="390"/>
    </row>
    <row r="109" spans="3:12" ht="12.75" customHeight="1" x14ac:dyDescent="0.25">
      <c r="C109" s="25">
        <f>1+C107</f>
        <v>18</v>
      </c>
      <c r="D109" s="680" t="s">
        <v>641</v>
      </c>
      <c r="E109" s="680"/>
      <c r="F109" s="680"/>
      <c r="G109" s="680"/>
      <c r="H109" s="680"/>
      <c r="I109" s="680"/>
      <c r="J109" s="680"/>
      <c r="K109" s="680"/>
      <c r="L109" s="680"/>
    </row>
    <row r="110" spans="3:12" ht="12.75" customHeight="1" x14ac:dyDescent="0.25">
      <c r="C110" s="25"/>
      <c r="D110" s="54"/>
      <c r="E110" s="390"/>
      <c r="F110" s="540"/>
      <c r="G110" s="540"/>
      <c r="H110" s="540"/>
      <c r="I110" s="540"/>
      <c r="J110" s="540"/>
      <c r="K110" s="540"/>
      <c r="L110" s="540"/>
    </row>
    <row r="111" spans="3:12" ht="12.75" customHeight="1" x14ac:dyDescent="0.25">
      <c r="C111" s="25"/>
      <c r="D111" s="54"/>
      <c r="E111" s="390"/>
      <c r="F111" s="540"/>
      <c r="G111" s="540"/>
      <c r="H111" s="540"/>
      <c r="I111" s="540"/>
      <c r="J111" s="540"/>
      <c r="K111" s="540"/>
      <c r="L111" s="540"/>
    </row>
    <row r="112" spans="3:12" ht="12.75" customHeight="1" x14ac:dyDescent="0.25">
      <c r="C112" s="25"/>
      <c r="D112" s="54"/>
      <c r="E112" s="390"/>
      <c r="F112" s="540"/>
      <c r="G112" s="540"/>
      <c r="H112" s="540"/>
      <c r="I112" s="540"/>
      <c r="J112" s="540"/>
      <c r="K112" s="540"/>
      <c r="L112" s="540"/>
    </row>
    <row r="113" spans="3:16" ht="12.75" customHeight="1" x14ac:dyDescent="0.25">
      <c r="C113" s="25"/>
      <c r="D113" s="54"/>
      <c r="E113" s="390"/>
      <c r="F113" s="540"/>
      <c r="G113" s="540"/>
      <c r="H113" s="540"/>
      <c r="I113" s="540"/>
      <c r="J113" s="540"/>
      <c r="K113" s="540"/>
      <c r="L113" s="540"/>
    </row>
    <row r="114" spans="3:16" ht="12.75" customHeight="1" x14ac:dyDescent="0.25">
      <c r="C114" s="25"/>
      <c r="D114" s="54"/>
      <c r="E114" s="390"/>
      <c r="F114" s="540"/>
      <c r="G114" s="540"/>
      <c r="H114" s="540"/>
      <c r="I114" s="540"/>
      <c r="J114" s="540"/>
      <c r="K114" s="540"/>
      <c r="L114" s="540"/>
    </row>
    <row r="115" spans="3:16" ht="12.75" customHeight="1" x14ac:dyDescent="0.25">
      <c r="C115" s="25"/>
      <c r="D115" s="54"/>
      <c r="E115" s="390"/>
      <c r="F115" s="540"/>
      <c r="G115" s="540"/>
      <c r="H115" s="540"/>
      <c r="I115" s="540"/>
      <c r="J115" s="540"/>
      <c r="K115" s="540"/>
      <c r="L115" s="540"/>
    </row>
    <row r="116" spans="3:16" ht="12.75" customHeight="1" x14ac:dyDescent="0.25">
      <c r="C116" s="25"/>
      <c r="D116" s="54"/>
      <c r="E116" s="390"/>
      <c r="F116" s="540"/>
      <c r="G116" s="540"/>
      <c r="H116" s="540"/>
      <c r="I116" s="540"/>
      <c r="J116" s="540"/>
      <c r="K116" s="540"/>
      <c r="L116" s="540"/>
    </row>
    <row r="117" spans="3:16" ht="12.75" customHeight="1" x14ac:dyDescent="0.25">
      <c r="C117" s="25"/>
      <c r="D117" s="54"/>
      <c r="E117" s="390"/>
      <c r="F117" s="540"/>
      <c r="G117" s="540"/>
      <c r="H117" s="540"/>
      <c r="I117" s="540"/>
      <c r="J117" s="540"/>
      <c r="K117" s="540"/>
      <c r="L117" s="540"/>
    </row>
    <row r="118" spans="3:16" ht="12.75" customHeight="1" x14ac:dyDescent="0.25">
      <c r="C118" s="25"/>
      <c r="D118" s="54"/>
      <c r="E118" s="390"/>
      <c r="F118" s="540"/>
      <c r="G118" s="540"/>
      <c r="H118" s="540"/>
      <c r="I118" s="540"/>
      <c r="J118" s="540"/>
      <c r="K118" s="540"/>
      <c r="L118" s="540"/>
    </row>
    <row r="119" spans="3:16" ht="12.75" customHeight="1" x14ac:dyDescent="0.25">
      <c r="C119" s="25">
        <f>1+C109</f>
        <v>19</v>
      </c>
      <c r="D119" s="533" t="s">
        <v>642</v>
      </c>
      <c r="E119" s="533"/>
      <c r="F119" s="533"/>
      <c r="G119" s="533"/>
      <c r="H119" s="533"/>
      <c r="I119" s="533"/>
      <c r="J119" s="533"/>
      <c r="K119" s="533"/>
      <c r="L119" s="533"/>
    </row>
    <row r="120" spans="3:16" ht="12.75" customHeight="1" x14ac:dyDescent="0.25">
      <c r="C120" s="25"/>
      <c r="D120" s="390"/>
      <c r="E120" s="390"/>
      <c r="F120" s="681" t="s">
        <v>643</v>
      </c>
      <c r="G120" s="91" t="s">
        <v>644</v>
      </c>
      <c r="H120" s="335">
        <v>453.59244999999999</v>
      </c>
      <c r="I120" s="11" t="s">
        <v>645</v>
      </c>
      <c r="J120" s="394"/>
      <c r="K120" s="394"/>
      <c r="L120" s="394"/>
    </row>
    <row r="121" spans="3:16" ht="12.75" customHeight="1" x14ac:dyDescent="0.25">
      <c r="C121" s="25"/>
      <c r="D121" s="390"/>
      <c r="E121" s="390"/>
      <c r="F121" s="681" t="s">
        <v>646</v>
      </c>
      <c r="G121" s="91" t="s">
        <v>644</v>
      </c>
      <c r="H121" s="11">
        <f>745.7/1000</f>
        <v>0.74570000000000003</v>
      </c>
      <c r="I121" s="11" t="s">
        <v>25</v>
      </c>
      <c r="J121" s="394"/>
      <c r="K121" s="394"/>
      <c r="L121" s="394"/>
    </row>
    <row r="122" spans="3:16" ht="12.75" customHeight="1" x14ac:dyDescent="0.25">
      <c r="C122" s="25"/>
      <c r="D122" s="390"/>
      <c r="E122" s="390"/>
      <c r="F122" s="681" t="s">
        <v>647</v>
      </c>
      <c r="G122" s="91" t="s">
        <v>644</v>
      </c>
      <c r="H122" s="682">
        <f>+H121*H123</f>
        <v>2544.99953</v>
      </c>
      <c r="I122" s="11" t="s">
        <v>648</v>
      </c>
      <c r="J122" s="394"/>
      <c r="K122" s="394"/>
      <c r="L122" s="394"/>
    </row>
    <row r="123" spans="3:16" ht="12.75" customHeight="1" x14ac:dyDescent="0.25">
      <c r="C123" s="25"/>
      <c r="D123" s="390"/>
      <c r="E123" s="390"/>
      <c r="F123" s="681" t="s">
        <v>649</v>
      </c>
      <c r="G123" s="91" t="s">
        <v>644</v>
      </c>
      <c r="H123" s="11">
        <v>3412.9</v>
      </c>
      <c r="I123" s="11" t="s">
        <v>648</v>
      </c>
      <c r="J123" s="394"/>
      <c r="K123" s="394"/>
      <c r="L123" s="394"/>
    </row>
    <row r="124" spans="3:16" ht="12.75" customHeight="1" x14ac:dyDescent="0.25">
      <c r="C124" s="25"/>
      <c r="D124" s="390"/>
      <c r="E124" s="390"/>
      <c r="F124" s="681"/>
      <c r="G124" s="91"/>
      <c r="J124" s="394"/>
      <c r="K124" s="394"/>
      <c r="L124" s="394"/>
    </row>
    <row r="125" spans="3:16" ht="12.75" customHeight="1" x14ac:dyDescent="0.25">
      <c r="C125" s="24">
        <f>1+C119</f>
        <v>20</v>
      </c>
      <c r="D125" s="512" t="s">
        <v>650</v>
      </c>
      <c r="E125" s="512"/>
      <c r="F125" s="512"/>
      <c r="G125" s="512"/>
      <c r="H125" s="512"/>
      <c r="I125" s="512"/>
      <c r="J125" s="512"/>
      <c r="K125" s="512"/>
      <c r="L125" s="512"/>
      <c r="P125" s="11" t="e">
        <f>+#REF!/P44</f>
        <v>#REF!</v>
      </c>
    </row>
    <row r="126" spans="3:16" ht="12.75" customHeight="1" x14ac:dyDescent="0.25">
      <c r="C126" s="21"/>
      <c r="D126" s="512"/>
      <c r="E126" s="512"/>
      <c r="F126" s="512"/>
      <c r="G126" s="512"/>
      <c r="H126" s="512"/>
      <c r="I126" s="512"/>
      <c r="J126" s="512"/>
      <c r="K126" s="512"/>
      <c r="L126" s="512"/>
    </row>
    <row r="127" spans="3:16" ht="12.75" customHeight="1" x14ac:dyDescent="0.25">
      <c r="C127" s="21"/>
      <c r="D127" s="512"/>
      <c r="E127" s="512"/>
      <c r="F127" s="512"/>
      <c r="G127" s="512"/>
      <c r="H127" s="512"/>
      <c r="I127" s="512"/>
      <c r="J127" s="512"/>
      <c r="K127" s="512"/>
      <c r="L127" s="512"/>
      <c r="P127" s="11">
        <v>14.46</v>
      </c>
    </row>
    <row r="128" spans="3:16" ht="12.75" customHeight="1" x14ac:dyDescent="0.25">
      <c r="D128" s="332"/>
      <c r="E128" s="595" t="s">
        <v>651</v>
      </c>
      <c r="F128" s="595"/>
      <c r="G128" s="595"/>
      <c r="H128" s="595"/>
      <c r="I128" s="595"/>
      <c r="J128" s="595"/>
      <c r="K128" s="595"/>
      <c r="L128" s="595"/>
    </row>
    <row r="129" spans="3:16" ht="12.75" customHeight="1" x14ac:dyDescent="0.25">
      <c r="D129" s="332"/>
      <c r="E129" s="595" t="s">
        <v>652</v>
      </c>
      <c r="F129" s="595"/>
      <c r="G129" s="595"/>
      <c r="H129" s="595"/>
      <c r="I129" s="595"/>
      <c r="J129" s="595"/>
      <c r="K129" s="595"/>
      <c r="L129" s="595"/>
      <c r="P129" s="11">
        <v>2.2046000000000001</v>
      </c>
    </row>
    <row r="130" spans="3:16" ht="12.75" customHeight="1" x14ac:dyDescent="0.25">
      <c r="D130" s="332"/>
      <c r="E130" s="683" t="s">
        <v>653</v>
      </c>
      <c r="F130" s="683"/>
      <c r="G130" s="683"/>
      <c r="H130" s="683"/>
      <c r="I130" s="683"/>
      <c r="J130" s="683"/>
      <c r="K130" s="683"/>
      <c r="L130" s="683"/>
      <c r="P130" s="11">
        <f>44/12</f>
        <v>3.6666666666666665</v>
      </c>
    </row>
    <row r="131" spans="3:16" ht="12.75" customHeight="1" x14ac:dyDescent="0.25">
      <c r="D131" s="332"/>
      <c r="E131" s="684"/>
      <c r="F131" s="684"/>
      <c r="G131" s="684"/>
      <c r="H131" s="684"/>
      <c r="I131" s="684"/>
      <c r="J131" s="684"/>
      <c r="K131" s="684"/>
      <c r="L131" s="684"/>
    </row>
    <row r="132" spans="3:16" x14ac:dyDescent="0.25">
      <c r="C132" s="24">
        <f>1+C125</f>
        <v>21</v>
      </c>
      <c r="D132" s="533" t="s">
        <v>654</v>
      </c>
      <c r="E132" s="533"/>
      <c r="F132" s="533"/>
      <c r="G132" s="533"/>
      <c r="H132" s="533"/>
      <c r="I132" s="533"/>
      <c r="J132" s="533"/>
      <c r="K132" s="533"/>
    </row>
    <row r="133" spans="3:16" x14ac:dyDescent="0.25">
      <c r="C133" s="26"/>
      <c r="D133" s="533"/>
      <c r="E133" s="533"/>
      <c r="F133" s="533"/>
      <c r="G133" s="533"/>
      <c r="H133" s="533"/>
      <c r="I133" s="533"/>
      <c r="J133" s="533"/>
      <c r="K133" s="533"/>
      <c r="P133" s="11">
        <f>+P130*P129*P127</f>
        <v>116.88789200000001</v>
      </c>
    </row>
    <row r="134" spans="3:16" x14ac:dyDescent="0.25">
      <c r="C134" s="26"/>
      <c r="D134" s="533"/>
      <c r="E134" s="533"/>
      <c r="F134" s="533"/>
      <c r="G134" s="533"/>
      <c r="H134" s="533"/>
      <c r="I134" s="533"/>
      <c r="J134" s="533"/>
      <c r="K134" s="533"/>
    </row>
    <row r="135" spans="3:16" x14ac:dyDescent="0.25">
      <c r="C135" s="26"/>
      <c r="D135" s="390"/>
      <c r="E135" s="390"/>
      <c r="F135" s="540"/>
      <c r="G135" s="540"/>
      <c r="H135" s="540"/>
      <c r="I135" s="540"/>
      <c r="J135" s="540"/>
      <c r="K135" s="540"/>
      <c r="L135" s="540"/>
    </row>
    <row r="136" spans="3:16" x14ac:dyDescent="0.25">
      <c r="C136" s="26"/>
      <c r="D136" s="390"/>
      <c r="E136" s="390"/>
      <c r="F136" s="540"/>
      <c r="G136" s="540"/>
      <c r="H136" s="540"/>
      <c r="I136" s="540"/>
      <c r="J136" s="540"/>
      <c r="K136" s="540"/>
      <c r="L136" s="540"/>
    </row>
    <row r="137" spans="3:16" x14ac:dyDescent="0.25">
      <c r="C137" s="26"/>
      <c r="D137" s="390"/>
      <c r="E137" s="390"/>
      <c r="F137" s="394"/>
      <c r="G137" s="394"/>
      <c r="H137" s="394"/>
      <c r="I137" s="394"/>
      <c r="J137" s="394"/>
      <c r="K137" s="394"/>
      <c r="L137" s="394"/>
    </row>
    <row r="138" spans="3:16" x14ac:dyDescent="0.25">
      <c r="C138" s="26"/>
      <c r="D138" s="390"/>
      <c r="E138" s="390"/>
      <c r="F138" s="540"/>
      <c r="G138" s="540"/>
      <c r="H138" s="540"/>
      <c r="I138" s="540"/>
      <c r="J138" s="540"/>
      <c r="K138" s="540"/>
      <c r="L138" s="540"/>
    </row>
    <row r="139" spans="3:16" ht="12.75" customHeight="1" x14ac:dyDescent="0.25">
      <c r="C139" s="26"/>
      <c r="D139" s="504" t="s">
        <v>655</v>
      </c>
      <c r="E139" s="504"/>
      <c r="F139" s="504"/>
      <c r="G139" s="504"/>
      <c r="H139" s="504"/>
      <c r="I139" s="504"/>
      <c r="J139" s="504"/>
      <c r="K139" s="504"/>
      <c r="L139" s="504"/>
    </row>
    <row r="140" spans="3:16" x14ac:dyDescent="0.25">
      <c r="C140" s="26"/>
      <c r="D140" s="395" t="s">
        <v>45</v>
      </c>
      <c r="E140" s="504" t="s">
        <v>656</v>
      </c>
      <c r="F140" s="504"/>
      <c r="G140" s="504"/>
      <c r="H140" s="504"/>
      <c r="I140" s="504"/>
      <c r="J140" s="504"/>
      <c r="K140" s="504"/>
      <c r="L140" s="504"/>
    </row>
    <row r="141" spans="3:16" ht="12.75" customHeight="1" x14ac:dyDescent="0.25">
      <c r="C141" s="26"/>
      <c r="D141" s="392"/>
      <c r="E141" s="500" t="s">
        <v>657</v>
      </c>
      <c r="F141" s="500"/>
      <c r="G141" s="500"/>
      <c r="H141" s="500"/>
      <c r="I141" s="500"/>
      <c r="J141" s="500"/>
      <c r="K141" s="500"/>
      <c r="L141" s="500"/>
    </row>
    <row r="142" spans="3:16" x14ac:dyDescent="0.25">
      <c r="C142" s="26"/>
      <c r="D142" s="392"/>
      <c r="E142" s="392"/>
      <c r="F142" s="503"/>
      <c r="G142" s="503"/>
      <c r="H142" s="503"/>
      <c r="I142" s="503"/>
      <c r="J142" s="503"/>
      <c r="K142" s="503"/>
      <c r="L142" s="503"/>
    </row>
    <row r="143" spans="3:16" x14ac:dyDescent="0.25">
      <c r="C143" s="26"/>
      <c r="D143" s="392"/>
      <c r="E143" s="392"/>
      <c r="F143" s="503"/>
      <c r="G143" s="503"/>
      <c r="H143" s="503"/>
      <c r="I143" s="503"/>
      <c r="J143" s="503"/>
      <c r="K143" s="503"/>
      <c r="L143" s="503"/>
    </row>
    <row r="144" spans="3:16" x14ac:dyDescent="0.25">
      <c r="C144" s="26"/>
      <c r="D144" s="392"/>
      <c r="E144" s="392"/>
      <c r="F144" s="503"/>
      <c r="G144" s="503"/>
      <c r="H144" s="503"/>
      <c r="I144" s="503"/>
      <c r="J144" s="503"/>
      <c r="K144" s="503"/>
      <c r="L144" s="503"/>
    </row>
    <row r="145" spans="3:12" x14ac:dyDescent="0.25">
      <c r="C145" s="26"/>
      <c r="D145" s="395" t="s">
        <v>45</v>
      </c>
      <c r="E145" s="504" t="s">
        <v>658</v>
      </c>
      <c r="F145" s="504"/>
      <c r="G145" s="504"/>
      <c r="H145" s="504"/>
      <c r="I145" s="504"/>
      <c r="J145" s="504"/>
      <c r="K145" s="504"/>
      <c r="L145" s="504"/>
    </row>
    <row r="146" spans="3:12" x14ac:dyDescent="0.25">
      <c r="C146" s="26"/>
      <c r="D146" s="392"/>
      <c r="E146" s="504"/>
      <c r="F146" s="504"/>
      <c r="G146" s="504"/>
      <c r="H146" s="504"/>
      <c r="I146" s="504"/>
      <c r="J146" s="504"/>
      <c r="K146" s="504"/>
      <c r="L146" s="504"/>
    </row>
    <row r="147" spans="3:12" x14ac:dyDescent="0.25">
      <c r="C147" s="26"/>
      <c r="D147" s="392"/>
      <c r="E147" s="500" t="s">
        <v>659</v>
      </c>
      <c r="F147" s="504"/>
      <c r="G147" s="504"/>
      <c r="H147" s="504"/>
      <c r="I147" s="504"/>
      <c r="J147" s="504"/>
      <c r="K147" s="504"/>
      <c r="L147" s="504"/>
    </row>
    <row r="148" spans="3:12" x14ac:dyDescent="0.25">
      <c r="C148" s="26"/>
      <c r="D148" s="392"/>
      <c r="E148" s="500" t="s">
        <v>212</v>
      </c>
      <c r="F148" s="504"/>
      <c r="G148" s="504"/>
      <c r="H148" s="504"/>
      <c r="I148" s="504"/>
      <c r="J148" s="504"/>
      <c r="K148" s="504"/>
      <c r="L148" s="504"/>
    </row>
    <row r="149" spans="3:12" ht="12.75" customHeight="1" x14ac:dyDescent="0.25">
      <c r="C149" s="24"/>
      <c r="D149" s="24"/>
      <c r="E149" s="24"/>
      <c r="F149" s="503"/>
      <c r="G149" s="503"/>
      <c r="H149" s="503"/>
      <c r="I149" s="503"/>
      <c r="J149" s="503"/>
      <c r="K149" s="503"/>
      <c r="L149" s="503"/>
    </row>
    <row r="150" spans="3:12" ht="12.75" customHeight="1" x14ac:dyDescent="0.25">
      <c r="C150" s="24"/>
      <c r="D150" s="24"/>
      <c r="E150" s="24"/>
      <c r="F150" s="503"/>
      <c r="G150" s="503"/>
      <c r="H150" s="503"/>
      <c r="I150" s="503"/>
      <c r="J150" s="503"/>
      <c r="K150" s="503"/>
      <c r="L150" s="503"/>
    </row>
    <row r="151" spans="3:12" ht="12.75" customHeight="1" x14ac:dyDescent="0.25">
      <c r="C151" s="24"/>
      <c r="D151" s="24"/>
      <c r="E151" s="24"/>
      <c r="F151" s="503"/>
      <c r="G151" s="503"/>
      <c r="H151" s="503"/>
      <c r="I151" s="503"/>
      <c r="J151" s="503"/>
      <c r="K151" s="503"/>
      <c r="L151" s="503"/>
    </row>
    <row r="152" spans="3:12" ht="12.75" customHeight="1" x14ac:dyDescent="0.25">
      <c r="C152" s="24"/>
      <c r="D152" s="24"/>
      <c r="E152" s="24"/>
      <c r="F152" s="395"/>
      <c r="G152" s="395"/>
      <c r="H152" s="395"/>
      <c r="I152" s="395"/>
      <c r="J152" s="395"/>
      <c r="K152" s="395"/>
      <c r="L152" s="395"/>
    </row>
    <row r="153" spans="3:12" ht="12.75" customHeight="1" x14ac:dyDescent="0.25">
      <c r="C153" s="24">
        <f>1+C132</f>
        <v>22</v>
      </c>
      <c r="D153" s="533" t="s">
        <v>660</v>
      </c>
      <c r="E153" s="533"/>
      <c r="F153" s="533"/>
      <c r="G153" s="533"/>
      <c r="H153" s="533"/>
      <c r="I153" s="533"/>
      <c r="J153" s="533"/>
      <c r="K153" s="533"/>
      <c r="L153" s="392"/>
    </row>
    <row r="154" spans="3:12" ht="12.75" customHeight="1" x14ac:dyDescent="0.25">
      <c r="C154" s="26"/>
      <c r="D154" s="533"/>
      <c r="E154" s="533"/>
      <c r="F154" s="533"/>
      <c r="G154" s="533"/>
      <c r="H154" s="533"/>
      <c r="I154" s="533"/>
      <c r="J154" s="533"/>
      <c r="K154" s="533"/>
      <c r="L154" s="392"/>
    </row>
    <row r="155" spans="3:12" ht="12.75" customHeight="1" x14ac:dyDescent="0.25">
      <c r="C155" s="26"/>
      <c r="D155" s="533"/>
      <c r="E155" s="533"/>
      <c r="F155" s="533"/>
      <c r="G155" s="533"/>
      <c r="H155" s="533"/>
      <c r="I155" s="533"/>
      <c r="J155" s="533"/>
      <c r="K155" s="533"/>
      <c r="L155" s="392"/>
    </row>
    <row r="156" spans="3:12" ht="12.75" customHeight="1" x14ac:dyDescent="0.25">
      <c r="C156" s="26"/>
      <c r="D156" s="390"/>
      <c r="E156" s="390"/>
      <c r="F156" s="540"/>
      <c r="G156" s="540"/>
      <c r="H156" s="540"/>
      <c r="I156" s="540"/>
      <c r="J156" s="540"/>
      <c r="K156" s="540"/>
      <c r="L156" s="540"/>
    </row>
    <row r="157" spans="3:12" ht="12.75" customHeight="1" x14ac:dyDescent="0.25">
      <c r="C157" s="26"/>
      <c r="D157" s="390"/>
      <c r="E157" s="390"/>
      <c r="F157" s="540"/>
      <c r="G157" s="540"/>
      <c r="H157" s="540"/>
      <c r="I157" s="540"/>
      <c r="J157" s="540"/>
      <c r="K157" s="540"/>
      <c r="L157" s="540"/>
    </row>
    <row r="158" spans="3:12" ht="12.75" customHeight="1" x14ac:dyDescent="0.25">
      <c r="C158" s="26"/>
      <c r="D158" s="390"/>
      <c r="E158" s="390"/>
      <c r="F158" s="540"/>
      <c r="G158" s="540"/>
      <c r="H158" s="540"/>
      <c r="I158" s="540"/>
      <c r="J158" s="540"/>
      <c r="K158" s="540"/>
      <c r="L158" s="540"/>
    </row>
    <row r="159" spans="3:12" ht="12.75" customHeight="1" x14ac:dyDescent="0.25">
      <c r="C159" s="26"/>
      <c r="E159" s="533" t="s">
        <v>661</v>
      </c>
      <c r="F159" s="533"/>
      <c r="G159" s="533"/>
      <c r="H159" s="533"/>
      <c r="I159" s="533"/>
      <c r="J159" s="533"/>
      <c r="K159" s="533"/>
      <c r="L159" s="533"/>
    </row>
    <row r="160" spans="3:12" ht="12.75" customHeight="1" x14ac:dyDescent="0.25">
      <c r="C160" s="26"/>
      <c r="E160" s="685" t="s">
        <v>662</v>
      </c>
      <c r="F160" s="685"/>
      <c r="G160" s="685"/>
      <c r="H160" s="685"/>
      <c r="I160" s="685"/>
      <c r="J160" s="685"/>
      <c r="K160" s="685"/>
      <c r="L160" s="685"/>
    </row>
    <row r="161" spans="2:12" ht="12.75" customHeight="1" x14ac:dyDescent="0.25">
      <c r="C161" s="26"/>
      <c r="E161" s="504" t="s">
        <v>663</v>
      </c>
      <c r="F161" s="504"/>
      <c r="G161" s="504"/>
      <c r="H161" s="504"/>
      <c r="I161" s="504"/>
      <c r="J161" s="504"/>
      <c r="K161" s="504"/>
      <c r="L161" s="504"/>
    </row>
    <row r="162" spans="2:12" ht="12.75" customHeight="1" x14ac:dyDescent="0.25">
      <c r="C162" s="26"/>
      <c r="E162" s="500" t="s">
        <v>664</v>
      </c>
      <c r="F162" s="500"/>
      <c r="G162" s="500"/>
      <c r="H162" s="500"/>
      <c r="I162" s="500"/>
      <c r="J162" s="500"/>
      <c r="K162" s="500"/>
      <c r="L162" s="500"/>
    </row>
    <row r="163" spans="2:12" ht="12.75" customHeight="1" x14ac:dyDescent="0.25">
      <c r="C163" s="26"/>
      <c r="D163" s="504" t="s">
        <v>665</v>
      </c>
      <c r="E163" s="504"/>
      <c r="F163" s="504"/>
      <c r="G163" s="504"/>
      <c r="H163" s="504"/>
      <c r="I163" s="504"/>
      <c r="J163" s="504"/>
      <c r="K163" s="504"/>
      <c r="L163" s="504"/>
    </row>
    <row r="164" spans="2:12" ht="12.75" customHeight="1" x14ac:dyDescent="0.25">
      <c r="C164" s="26"/>
      <c r="D164" s="395" t="s">
        <v>45</v>
      </c>
      <c r="E164" s="504" t="s">
        <v>666</v>
      </c>
      <c r="F164" s="504"/>
      <c r="G164" s="504"/>
      <c r="H164" s="504"/>
      <c r="I164" s="504"/>
      <c r="J164" s="504"/>
      <c r="K164" s="504"/>
      <c r="L164" s="504"/>
    </row>
    <row r="165" spans="2:12" ht="12.75" customHeight="1" x14ac:dyDescent="0.25">
      <c r="C165" s="26"/>
      <c r="D165" s="392"/>
      <c r="E165" s="500" t="s">
        <v>657</v>
      </c>
      <c r="F165" s="500"/>
      <c r="G165" s="500"/>
      <c r="H165" s="500"/>
      <c r="I165" s="500"/>
      <c r="J165" s="500"/>
      <c r="K165" s="500"/>
      <c r="L165" s="500"/>
    </row>
    <row r="166" spans="2:12" ht="12.75" customHeight="1" x14ac:dyDescent="0.25">
      <c r="C166" s="26"/>
      <c r="D166" s="392"/>
      <c r="E166" s="392"/>
      <c r="F166" s="503"/>
      <c r="G166" s="503"/>
      <c r="H166" s="503"/>
      <c r="I166" s="503"/>
      <c r="J166" s="503"/>
      <c r="K166" s="503"/>
      <c r="L166" s="503"/>
    </row>
    <row r="167" spans="2:12" ht="12.75" customHeight="1" x14ac:dyDescent="0.25">
      <c r="C167" s="26"/>
      <c r="D167" s="392"/>
      <c r="E167" s="392"/>
      <c r="F167" s="503"/>
      <c r="G167" s="503"/>
      <c r="H167" s="503"/>
      <c r="I167" s="503"/>
      <c r="J167" s="503"/>
      <c r="K167" s="503"/>
      <c r="L167" s="503"/>
    </row>
    <row r="168" spans="2:12" ht="12.75" customHeight="1" x14ac:dyDescent="0.25">
      <c r="C168" s="26"/>
      <c r="D168" s="392"/>
      <c r="E168" s="392"/>
      <c r="F168" s="503"/>
      <c r="G168" s="503"/>
      <c r="H168" s="503"/>
      <c r="I168" s="503"/>
      <c r="J168" s="503"/>
      <c r="K168" s="503"/>
      <c r="L168" s="503"/>
    </row>
    <row r="169" spans="2:12" ht="12.75" customHeight="1" x14ac:dyDescent="0.25">
      <c r="B169" s="335"/>
      <c r="C169" s="26"/>
      <c r="D169" s="395" t="s">
        <v>45</v>
      </c>
      <c r="E169" s="504" t="s">
        <v>667</v>
      </c>
      <c r="F169" s="504"/>
      <c r="G169" s="504"/>
      <c r="H169" s="504"/>
      <c r="I169" s="504"/>
      <c r="J169" s="504"/>
      <c r="K169" s="504"/>
      <c r="L169" s="504"/>
    </row>
    <row r="170" spans="2:12" ht="12.75" customHeight="1" x14ac:dyDescent="0.25">
      <c r="C170" s="26"/>
      <c r="D170" s="392"/>
      <c r="E170" s="504"/>
      <c r="F170" s="504"/>
      <c r="G170" s="504"/>
      <c r="H170" s="504"/>
      <c r="I170" s="504"/>
      <c r="J170" s="504"/>
      <c r="K170" s="504"/>
      <c r="L170" s="504"/>
    </row>
    <row r="171" spans="2:12" ht="12.75" customHeight="1" x14ac:dyDescent="0.25">
      <c r="C171" s="26"/>
      <c r="D171" s="392"/>
      <c r="E171" s="500" t="s">
        <v>659</v>
      </c>
      <c r="F171" s="504"/>
      <c r="G171" s="504"/>
      <c r="H171" s="504"/>
      <c r="I171" s="504"/>
      <c r="J171" s="504"/>
      <c r="K171" s="504"/>
      <c r="L171" s="504"/>
    </row>
    <row r="172" spans="2:12" ht="12.75" customHeight="1" x14ac:dyDescent="0.25">
      <c r="C172" s="26"/>
      <c r="D172" s="392"/>
      <c r="E172" s="500" t="s">
        <v>212</v>
      </c>
      <c r="F172" s="504"/>
      <c r="G172" s="504"/>
      <c r="H172" s="504"/>
      <c r="I172" s="504"/>
      <c r="J172" s="504"/>
      <c r="K172" s="504"/>
      <c r="L172" s="504"/>
    </row>
    <row r="173" spans="2:12" ht="12.75" customHeight="1" x14ac:dyDescent="0.25">
      <c r="C173" s="26"/>
    </row>
    <row r="174" spans="2:12" ht="12.75" customHeight="1" x14ac:dyDescent="0.25">
      <c r="C174" s="26"/>
    </row>
    <row r="175" spans="2:12" ht="12.75" customHeight="1" x14ac:dyDescent="0.25">
      <c r="C175" s="26"/>
    </row>
    <row r="176" spans="2:12" ht="12.75" customHeight="1" x14ac:dyDescent="0.25">
      <c r="C176" s="26"/>
      <c r="D176" s="11" t="s">
        <v>668</v>
      </c>
    </row>
    <row r="177" spans="3:12" ht="12.75" customHeight="1" x14ac:dyDescent="0.25">
      <c r="C177" s="26"/>
      <c r="D177" s="504" t="s">
        <v>669</v>
      </c>
      <c r="E177" s="504"/>
      <c r="F177" s="504"/>
      <c r="G177" s="504"/>
      <c r="H177" s="504"/>
      <c r="I177" s="504"/>
      <c r="J177" s="504"/>
      <c r="K177" s="504"/>
      <c r="L177" s="504"/>
    </row>
    <row r="178" spans="3:12" ht="12.75" customHeight="1" x14ac:dyDescent="0.25">
      <c r="C178" s="24"/>
      <c r="D178" s="504"/>
      <c r="E178" s="504"/>
      <c r="F178" s="504"/>
      <c r="G178" s="504"/>
      <c r="H178" s="504"/>
      <c r="I178" s="504"/>
      <c r="J178" s="504"/>
      <c r="K178" s="504"/>
      <c r="L178" s="504"/>
    </row>
    <row r="179" spans="3:12" ht="12.75" customHeight="1" x14ac:dyDescent="0.25">
      <c r="C179" s="24"/>
      <c r="D179" s="395"/>
      <c r="E179" s="395"/>
      <c r="F179" s="395"/>
      <c r="G179" s="395"/>
      <c r="H179" s="395"/>
      <c r="I179" s="395"/>
      <c r="J179" s="395"/>
      <c r="K179" s="395"/>
      <c r="L179" s="395"/>
    </row>
    <row r="180" spans="3:12" ht="12.75" customHeight="1" x14ac:dyDescent="0.25">
      <c r="C180" s="25">
        <f>1+C153</f>
        <v>23</v>
      </c>
      <c r="D180" s="504" t="s">
        <v>670</v>
      </c>
      <c r="E180" s="504"/>
      <c r="F180" s="504"/>
      <c r="G180" s="504"/>
      <c r="H180" s="504"/>
      <c r="I180" s="504"/>
      <c r="J180" s="504"/>
      <c r="K180" s="504"/>
      <c r="L180" s="504"/>
    </row>
    <row r="181" spans="3:12" ht="12.75" customHeight="1" x14ac:dyDescent="0.25">
      <c r="D181" s="504"/>
      <c r="E181" s="504"/>
      <c r="F181" s="504"/>
      <c r="G181" s="504"/>
      <c r="H181" s="504"/>
      <c r="I181" s="504"/>
      <c r="J181" s="504"/>
      <c r="K181" s="504"/>
      <c r="L181" s="504"/>
    </row>
    <row r="182" spans="3:12" ht="12.75" customHeight="1" x14ac:dyDescent="0.25">
      <c r="D182" s="595" t="s">
        <v>60</v>
      </c>
      <c r="E182" s="595"/>
      <c r="F182" s="595"/>
      <c r="G182" s="595"/>
      <c r="H182" s="595"/>
      <c r="I182" s="595"/>
      <c r="J182" s="595"/>
      <c r="K182" s="595"/>
      <c r="L182" s="595"/>
    </row>
    <row r="183" spans="3:12" ht="12.75" customHeight="1" x14ac:dyDescent="0.25">
      <c r="D183" s="399"/>
      <c r="E183" s="399"/>
      <c r="F183" s="399"/>
      <c r="G183" s="399"/>
      <c r="H183" s="399"/>
      <c r="I183" s="399"/>
      <c r="J183" s="399"/>
      <c r="K183" s="399"/>
      <c r="L183" s="399"/>
    </row>
    <row r="184" spans="3:12" ht="12.75" customHeight="1" x14ac:dyDescent="0.25">
      <c r="C184" s="686">
        <f>1+C180</f>
        <v>24</v>
      </c>
      <c r="D184" s="504" t="s">
        <v>671</v>
      </c>
      <c r="E184" s="504"/>
      <c r="F184" s="504"/>
      <c r="G184" s="504"/>
      <c r="H184" s="504"/>
      <c r="I184" s="504"/>
      <c r="J184" s="504"/>
      <c r="K184" s="504"/>
      <c r="L184" s="504"/>
    </row>
    <row r="185" spans="3:12" ht="12.75" customHeight="1" x14ac:dyDescent="0.25">
      <c r="D185" s="504"/>
      <c r="E185" s="504"/>
      <c r="F185" s="504"/>
      <c r="G185" s="504"/>
      <c r="H185" s="504"/>
      <c r="I185" s="504"/>
      <c r="J185" s="504"/>
      <c r="K185" s="504"/>
      <c r="L185" s="504"/>
    </row>
    <row r="186" spans="3:12" ht="12.75" customHeight="1" x14ac:dyDescent="0.25">
      <c r="D186" s="499" t="s">
        <v>203</v>
      </c>
      <c r="E186" s="577"/>
      <c r="F186" s="577"/>
      <c r="G186" s="577"/>
      <c r="H186" s="577"/>
      <c r="I186" s="577"/>
      <c r="J186" s="577"/>
      <c r="K186" s="577"/>
      <c r="L186" s="577"/>
    </row>
    <row r="187" spans="3:12" ht="12.75" customHeight="1" x14ac:dyDescent="0.25">
      <c r="J187" s="399"/>
      <c r="K187" s="399"/>
      <c r="L187" s="399"/>
    </row>
    <row r="188" spans="3:12" ht="12.75" customHeight="1" x14ac:dyDescent="0.25">
      <c r="C188" s="686">
        <f>1+C184</f>
        <v>25</v>
      </c>
      <c r="D188" s="504" t="s">
        <v>672</v>
      </c>
      <c r="E188" s="504"/>
      <c r="F188" s="504"/>
      <c r="G188" s="504"/>
      <c r="H188" s="504"/>
      <c r="I188" s="504"/>
      <c r="J188" s="504"/>
      <c r="K188" s="504"/>
      <c r="L188" s="504"/>
    </row>
    <row r="189" spans="3:12" ht="12.75" customHeight="1" x14ac:dyDescent="0.25">
      <c r="D189" s="504"/>
      <c r="E189" s="504"/>
      <c r="F189" s="504"/>
      <c r="G189" s="504"/>
      <c r="H189" s="504"/>
      <c r="I189" s="504"/>
      <c r="J189" s="504"/>
      <c r="K189" s="504"/>
      <c r="L189" s="504"/>
    </row>
    <row r="190" spans="3:12" ht="12.75" customHeight="1" x14ac:dyDescent="0.25">
      <c r="D190" s="500" t="s">
        <v>158</v>
      </c>
      <c r="E190" s="504"/>
      <c r="F190" s="504"/>
      <c r="G190" s="504"/>
      <c r="H190" s="504"/>
      <c r="I190" s="504"/>
      <c r="J190" s="504"/>
      <c r="K190" s="504"/>
      <c r="L190" s="504"/>
    </row>
    <row r="191" spans="3:12" ht="12.75" customHeight="1" x14ac:dyDescent="0.25">
      <c r="J191" s="399"/>
      <c r="K191" s="399"/>
      <c r="L191" s="399"/>
    </row>
    <row r="192" spans="3:12" ht="12.75" customHeight="1" x14ac:dyDescent="0.25">
      <c r="C192" s="686">
        <f>1+C188</f>
        <v>26</v>
      </c>
      <c r="D192" s="687" t="s">
        <v>673</v>
      </c>
      <c r="E192" s="687"/>
      <c r="F192" s="687"/>
      <c r="G192" s="687"/>
      <c r="H192" s="687"/>
      <c r="I192" s="687"/>
      <c r="J192" s="687"/>
      <c r="K192" s="687"/>
      <c r="L192" s="687"/>
    </row>
    <row r="193" spans="3:12" ht="12.75" customHeight="1" x14ac:dyDescent="0.25">
      <c r="D193" s="687"/>
      <c r="E193" s="687"/>
      <c r="F193" s="687"/>
      <c r="G193" s="687"/>
      <c r="H193" s="687"/>
      <c r="I193" s="687"/>
      <c r="J193" s="687"/>
      <c r="K193" s="687"/>
      <c r="L193" s="687"/>
    </row>
    <row r="194" spans="3:12" ht="12.75" customHeight="1" x14ac:dyDescent="0.25">
      <c r="D194" s="500" t="s">
        <v>75</v>
      </c>
      <c r="E194" s="504"/>
      <c r="F194" s="504"/>
      <c r="G194" s="504"/>
      <c r="H194" s="504"/>
      <c r="I194" s="504"/>
      <c r="J194" s="504"/>
      <c r="K194" s="504"/>
      <c r="L194" s="504"/>
    </row>
    <row r="195" spans="3:12" ht="12.75" customHeight="1" x14ac:dyDescent="0.25">
      <c r="D195" s="391"/>
      <c r="E195" s="392"/>
      <c r="F195" s="392"/>
      <c r="G195" s="392"/>
      <c r="H195" s="392"/>
      <c r="I195" s="392"/>
      <c r="J195" s="392"/>
      <c r="K195" s="392"/>
      <c r="L195" s="392"/>
    </row>
    <row r="196" spans="3:12" ht="12.75" customHeight="1" x14ac:dyDescent="0.25">
      <c r="C196" s="686">
        <f>1+C192</f>
        <v>27</v>
      </c>
      <c r="D196" s="533" t="s">
        <v>674</v>
      </c>
      <c r="E196" s="533"/>
      <c r="F196" s="533"/>
      <c r="G196" s="533"/>
      <c r="H196" s="533"/>
      <c r="I196" s="533"/>
      <c r="J196" s="533"/>
      <c r="K196" s="533"/>
      <c r="L196" s="533"/>
    </row>
    <row r="197" spans="3:12" ht="12.75" customHeight="1" x14ac:dyDescent="0.25">
      <c r="D197" s="533"/>
      <c r="E197" s="533"/>
      <c r="F197" s="533"/>
      <c r="G197" s="533"/>
      <c r="H197" s="533"/>
      <c r="I197" s="533"/>
      <c r="J197" s="533"/>
      <c r="K197" s="533"/>
      <c r="L197" s="533"/>
    </row>
    <row r="198" spans="3:12" ht="12.75" customHeight="1" x14ac:dyDescent="0.25">
      <c r="D198" s="533"/>
      <c r="E198" s="533"/>
      <c r="F198" s="533"/>
      <c r="G198" s="533"/>
      <c r="H198" s="533"/>
      <c r="I198" s="533"/>
      <c r="J198" s="533"/>
      <c r="K198" s="533"/>
      <c r="L198" s="533"/>
    </row>
    <row r="199" spans="3:12" ht="12.75" customHeight="1" x14ac:dyDescent="0.25">
      <c r="D199" s="533"/>
      <c r="E199" s="533"/>
      <c r="F199" s="533"/>
      <c r="G199" s="533"/>
      <c r="H199" s="533"/>
      <c r="I199" s="533"/>
      <c r="J199" s="533"/>
      <c r="K199" s="533"/>
      <c r="L199" s="533"/>
    </row>
    <row r="200" spans="3:12" ht="12.75" customHeight="1" x14ac:dyDescent="0.25">
      <c r="D200" s="391"/>
      <c r="E200" s="392"/>
      <c r="F200" s="392"/>
      <c r="G200" s="392"/>
      <c r="H200" s="392"/>
      <c r="I200" s="392"/>
      <c r="J200" s="392"/>
      <c r="K200" s="392"/>
      <c r="L200" s="392"/>
    </row>
    <row r="201" spans="3:12" ht="12.75" customHeight="1" x14ac:dyDescent="0.25">
      <c r="C201" s="24">
        <f>1+C196</f>
        <v>28</v>
      </c>
      <c r="D201" s="533" t="s">
        <v>675</v>
      </c>
      <c r="E201" s="533"/>
      <c r="F201" s="533"/>
      <c r="G201" s="533"/>
      <c r="H201" s="533"/>
      <c r="I201" s="533"/>
      <c r="J201" s="533"/>
      <c r="K201" s="533"/>
      <c r="L201" s="533"/>
    </row>
    <row r="202" spans="3:12" x14ac:dyDescent="0.25">
      <c r="C202" s="24"/>
      <c r="D202" s="24"/>
      <c r="E202" s="688" t="s">
        <v>676</v>
      </c>
      <c r="F202" s="689"/>
      <c r="G202" s="689"/>
      <c r="H202" s="689"/>
      <c r="I202" s="689"/>
      <c r="J202" s="689"/>
      <c r="K202" s="689"/>
      <c r="L202" s="689"/>
    </row>
    <row r="203" spans="3:12" x14ac:dyDescent="0.25">
      <c r="C203" s="24"/>
      <c r="D203" s="390"/>
      <c r="E203" s="390"/>
      <c r="F203" s="579" t="s">
        <v>158</v>
      </c>
      <c r="G203" s="533"/>
      <c r="H203" s="533"/>
      <c r="I203" s="533"/>
      <c r="J203" s="533"/>
      <c r="K203" s="533"/>
      <c r="L203" s="533"/>
    </row>
    <row r="204" spans="3:12" x14ac:dyDescent="0.25">
      <c r="C204" s="26"/>
      <c r="D204" s="392"/>
      <c r="E204" s="392"/>
      <c r="F204" s="395"/>
      <c r="G204" s="395"/>
      <c r="H204" s="395"/>
      <c r="I204" s="395"/>
      <c r="J204" s="395"/>
      <c r="K204" s="395"/>
      <c r="L204" s="395"/>
    </row>
    <row r="205" spans="3:12" x14ac:dyDescent="0.25">
      <c r="C205" s="26"/>
      <c r="D205" s="392"/>
      <c r="E205" s="392"/>
      <c r="F205" s="395"/>
      <c r="G205" s="395"/>
      <c r="H205" s="395"/>
      <c r="I205" s="395"/>
      <c r="J205" s="395"/>
      <c r="K205" s="395"/>
      <c r="L205" s="395"/>
    </row>
    <row r="206" spans="3:12" x14ac:dyDescent="0.25">
      <c r="C206" s="26"/>
      <c r="D206" s="392"/>
      <c r="E206" s="392"/>
      <c r="F206" s="395"/>
      <c r="G206" s="395"/>
      <c r="H206" s="395"/>
      <c r="I206" s="395"/>
      <c r="J206" s="395"/>
      <c r="K206" s="395"/>
      <c r="L206" s="395"/>
    </row>
    <row r="207" spans="3:12" x14ac:dyDescent="0.25">
      <c r="C207" s="26"/>
      <c r="D207" s="392"/>
      <c r="E207" s="392"/>
      <c r="F207" s="395"/>
      <c r="G207" s="395"/>
      <c r="H207" s="395"/>
      <c r="I207" s="395"/>
      <c r="J207" s="395"/>
      <c r="K207" s="395"/>
      <c r="L207" s="395"/>
    </row>
    <row r="208" spans="3:12" x14ac:dyDescent="0.25">
      <c r="C208" s="26"/>
      <c r="D208" s="392"/>
      <c r="E208" s="392"/>
      <c r="F208" s="395"/>
      <c r="G208" s="395"/>
      <c r="H208" s="395"/>
      <c r="I208" s="395"/>
      <c r="J208" s="395"/>
      <c r="K208" s="395"/>
      <c r="L208" s="395"/>
    </row>
    <row r="209" spans="3:12" x14ac:dyDescent="0.25">
      <c r="C209" s="26"/>
      <c r="D209" s="392"/>
      <c r="E209" s="392"/>
      <c r="F209" s="395"/>
      <c r="G209" s="395"/>
      <c r="H209" s="395"/>
      <c r="I209" s="395"/>
      <c r="J209" s="395"/>
      <c r="K209" s="395"/>
      <c r="L209" s="395"/>
    </row>
    <row r="210" spans="3:12" x14ac:dyDescent="0.25">
      <c r="C210" s="26"/>
      <c r="D210" s="392"/>
      <c r="E210" s="392"/>
      <c r="F210" s="395"/>
      <c r="G210" s="395"/>
      <c r="H210" s="395"/>
      <c r="I210" s="395"/>
      <c r="J210" s="395"/>
      <c r="K210" s="395"/>
      <c r="L210" s="395"/>
    </row>
    <row r="211" spans="3:12" x14ac:dyDescent="0.25">
      <c r="C211" s="26"/>
      <c r="D211" s="392"/>
      <c r="E211" s="392"/>
      <c r="F211" s="395"/>
      <c r="G211" s="395"/>
      <c r="H211" s="395"/>
      <c r="I211" s="395"/>
      <c r="J211" s="395"/>
      <c r="K211" s="395"/>
      <c r="L211" s="395"/>
    </row>
    <row r="212" spans="3:12" x14ac:dyDescent="0.25">
      <c r="C212" s="26"/>
      <c r="D212" s="392"/>
      <c r="E212" s="392"/>
      <c r="F212" s="395"/>
      <c r="G212" s="395"/>
      <c r="H212" s="395"/>
      <c r="I212" s="395"/>
      <c r="J212" s="395"/>
      <c r="K212" s="395"/>
      <c r="L212" s="395"/>
    </row>
    <row r="213" spans="3:12" x14ac:dyDescent="0.25">
      <c r="C213" s="26"/>
      <c r="D213" s="392"/>
      <c r="E213" s="392"/>
      <c r="F213" s="395"/>
      <c r="G213" s="395"/>
      <c r="H213" s="395"/>
      <c r="I213" s="395"/>
      <c r="J213" s="395"/>
      <c r="K213" s="395"/>
      <c r="L213" s="395"/>
    </row>
    <row r="214" spans="3:12" x14ac:dyDescent="0.25">
      <c r="C214" s="26"/>
      <c r="D214" s="392"/>
      <c r="E214" s="392"/>
      <c r="F214" s="395"/>
      <c r="G214" s="395"/>
      <c r="H214" s="395"/>
      <c r="I214" s="395"/>
      <c r="J214" s="395"/>
      <c r="K214" s="395"/>
      <c r="L214" s="395"/>
    </row>
    <row r="215" spans="3:12" x14ac:dyDescent="0.25">
      <c r="C215" s="26"/>
      <c r="D215" s="392"/>
      <c r="E215" s="392"/>
      <c r="F215" s="395"/>
      <c r="G215" s="395"/>
      <c r="H215" s="395"/>
      <c r="I215" s="395"/>
      <c r="J215" s="395"/>
      <c r="K215" s="395"/>
      <c r="L215" s="395"/>
    </row>
    <row r="216" spans="3:12" x14ac:dyDescent="0.25">
      <c r="C216" s="26"/>
      <c r="D216" s="392"/>
      <c r="E216" s="392"/>
      <c r="F216" s="395"/>
      <c r="G216" s="395"/>
      <c r="H216" s="395"/>
      <c r="I216" s="395"/>
      <c r="J216" s="395"/>
      <c r="K216" s="395"/>
      <c r="L216" s="395"/>
    </row>
    <row r="217" spans="3:12" x14ac:dyDescent="0.25">
      <c r="C217" s="26"/>
      <c r="D217" s="392"/>
      <c r="E217" s="392"/>
      <c r="F217" s="395"/>
      <c r="G217" s="395"/>
      <c r="H217" s="395"/>
      <c r="I217" s="395"/>
      <c r="J217" s="395"/>
      <c r="K217" s="395"/>
      <c r="L217" s="395"/>
    </row>
    <row r="218" spans="3:12" x14ac:dyDescent="0.25">
      <c r="C218" s="26"/>
      <c r="D218" s="392"/>
      <c r="E218" s="392"/>
      <c r="F218" s="395"/>
      <c r="G218" s="395"/>
      <c r="H218" s="395"/>
      <c r="I218" s="395"/>
      <c r="J218" s="395"/>
      <c r="K218" s="395"/>
      <c r="L218" s="395"/>
    </row>
    <row r="219" spans="3:12" x14ac:dyDescent="0.25">
      <c r="C219" s="26"/>
      <c r="D219" s="392"/>
      <c r="E219" s="392"/>
      <c r="F219" s="395"/>
      <c r="G219" s="395"/>
      <c r="H219" s="395"/>
      <c r="I219" s="395"/>
      <c r="J219" s="395"/>
      <c r="K219" s="395"/>
      <c r="L219" s="395"/>
    </row>
    <row r="220" spans="3:12" x14ac:dyDescent="0.25">
      <c r="C220" s="26"/>
      <c r="D220" s="392"/>
      <c r="E220" s="392"/>
      <c r="F220" s="395"/>
      <c r="G220" s="395"/>
      <c r="H220" s="395"/>
      <c r="I220" s="395"/>
      <c r="J220" s="395"/>
      <c r="K220" s="395"/>
      <c r="L220" s="395"/>
    </row>
    <row r="221" spans="3:12" x14ac:dyDescent="0.25">
      <c r="C221" s="26"/>
      <c r="D221" s="392"/>
      <c r="E221" s="392"/>
      <c r="F221" s="395"/>
      <c r="G221" s="395"/>
      <c r="H221" s="395"/>
      <c r="I221" s="395"/>
      <c r="J221" s="395"/>
      <c r="K221" s="395"/>
      <c r="L221" s="395"/>
    </row>
    <row r="222" spans="3:12" x14ac:dyDescent="0.25"/>
    <row r="223" spans="3:12" x14ac:dyDescent="0.25"/>
  </sheetData>
  <sheetProtection password="EDBF" sheet="1" objects="1" scenarios="1"/>
  <mergeCells count="130">
    <mergeCell ref="D196:L199"/>
    <mergeCell ref="D201:L201"/>
    <mergeCell ref="E202:L202"/>
    <mergeCell ref="F203:L203"/>
    <mergeCell ref="D184:L185"/>
    <mergeCell ref="D186:L186"/>
    <mergeCell ref="D188:L189"/>
    <mergeCell ref="D190:L190"/>
    <mergeCell ref="D192:L193"/>
    <mergeCell ref="D194:L194"/>
    <mergeCell ref="E169:L170"/>
    <mergeCell ref="E171:L171"/>
    <mergeCell ref="E172:L172"/>
    <mergeCell ref="D177:L178"/>
    <mergeCell ref="D180:L181"/>
    <mergeCell ref="D182:L182"/>
    <mergeCell ref="D163:L163"/>
    <mergeCell ref="E164:L164"/>
    <mergeCell ref="E165:L165"/>
    <mergeCell ref="F166:L166"/>
    <mergeCell ref="F167:L167"/>
    <mergeCell ref="F168:L168"/>
    <mergeCell ref="F157:L157"/>
    <mergeCell ref="F158:L158"/>
    <mergeCell ref="E159:L159"/>
    <mergeCell ref="E160:L160"/>
    <mergeCell ref="E161:L161"/>
    <mergeCell ref="E162:L162"/>
    <mergeCell ref="E148:L148"/>
    <mergeCell ref="F149:L149"/>
    <mergeCell ref="F150:L150"/>
    <mergeCell ref="F151:L151"/>
    <mergeCell ref="D153:K155"/>
    <mergeCell ref="F156:L156"/>
    <mergeCell ref="E141:L141"/>
    <mergeCell ref="F142:L142"/>
    <mergeCell ref="F143:L143"/>
    <mergeCell ref="F144:L144"/>
    <mergeCell ref="E145:L146"/>
    <mergeCell ref="E147:L147"/>
    <mergeCell ref="D132:K134"/>
    <mergeCell ref="F135:L135"/>
    <mergeCell ref="F136:L136"/>
    <mergeCell ref="F138:L138"/>
    <mergeCell ref="D139:L139"/>
    <mergeCell ref="E140:L140"/>
    <mergeCell ref="F118:L118"/>
    <mergeCell ref="D119:L119"/>
    <mergeCell ref="D125:L127"/>
    <mergeCell ref="E128:L128"/>
    <mergeCell ref="E129:L129"/>
    <mergeCell ref="E130:L130"/>
    <mergeCell ref="F112:L112"/>
    <mergeCell ref="F113:L113"/>
    <mergeCell ref="F114:L114"/>
    <mergeCell ref="F115:L115"/>
    <mergeCell ref="F116:L116"/>
    <mergeCell ref="F117:L117"/>
    <mergeCell ref="E104:L104"/>
    <mergeCell ref="E105:L105"/>
    <mergeCell ref="D107:L107"/>
    <mergeCell ref="D109:L109"/>
    <mergeCell ref="F110:L110"/>
    <mergeCell ref="F111:L111"/>
    <mergeCell ref="D98:L98"/>
    <mergeCell ref="F99:L99"/>
    <mergeCell ref="F100:L100"/>
    <mergeCell ref="F101:L101"/>
    <mergeCell ref="D102:L102"/>
    <mergeCell ref="E103:L103"/>
    <mergeCell ref="F86:L86"/>
    <mergeCell ref="D87:L87"/>
    <mergeCell ref="F89:L89"/>
    <mergeCell ref="F90:L90"/>
    <mergeCell ref="D92:L93"/>
    <mergeCell ref="D95:L96"/>
    <mergeCell ref="F80:L80"/>
    <mergeCell ref="F81:L81"/>
    <mergeCell ref="F82:L82"/>
    <mergeCell ref="F83:L83"/>
    <mergeCell ref="F84:L84"/>
    <mergeCell ref="F85:L85"/>
    <mergeCell ref="F74:L74"/>
    <mergeCell ref="D75:L75"/>
    <mergeCell ref="F76:L76"/>
    <mergeCell ref="F77:L77"/>
    <mergeCell ref="F78:L78"/>
    <mergeCell ref="F79:L79"/>
    <mergeCell ref="F59:L60"/>
    <mergeCell ref="E61:L61"/>
    <mergeCell ref="D63:L66"/>
    <mergeCell ref="D68:L69"/>
    <mergeCell ref="F72:L72"/>
    <mergeCell ref="F73:L73"/>
    <mergeCell ref="F52:L52"/>
    <mergeCell ref="D53:L53"/>
    <mergeCell ref="D54:L55"/>
    <mergeCell ref="F56:L56"/>
    <mergeCell ref="F57:L57"/>
    <mergeCell ref="F58:L58"/>
    <mergeCell ref="F46:L46"/>
    <mergeCell ref="F47:L47"/>
    <mergeCell ref="F48:L48"/>
    <mergeCell ref="F49:L49"/>
    <mergeCell ref="D50:L50"/>
    <mergeCell ref="F51:L51"/>
    <mergeCell ref="H38:L38"/>
    <mergeCell ref="H39:L39"/>
    <mergeCell ref="H40:L40"/>
    <mergeCell ref="D42:L42"/>
    <mergeCell ref="D44:L44"/>
    <mergeCell ref="F45:L45"/>
    <mergeCell ref="D32:L33"/>
    <mergeCell ref="E34:F34"/>
    <mergeCell ref="H34:L34"/>
    <mergeCell ref="E35:F35"/>
    <mergeCell ref="H35:L35"/>
    <mergeCell ref="H37:L37"/>
    <mergeCell ref="E21:L21"/>
    <mergeCell ref="F22:L22"/>
    <mergeCell ref="F23:L23"/>
    <mergeCell ref="F24:L24"/>
    <mergeCell ref="D26:L27"/>
    <mergeCell ref="D29:L30"/>
    <mergeCell ref="C8:L8"/>
    <mergeCell ref="D10:L11"/>
    <mergeCell ref="D13:L15"/>
    <mergeCell ref="D17:L18"/>
    <mergeCell ref="D19:L19"/>
    <mergeCell ref="E20:L20"/>
  </mergeCells>
  <hyperlinks>
    <hyperlink ref="E128" r:id="rId1"/>
    <hyperlink ref="E129" r:id="rId2"/>
    <hyperlink ref="E130" r:id="rId3"/>
    <hyperlink ref="E61" r:id="rId4"/>
    <hyperlink ref="E104" r:id="rId5"/>
    <hyperlink ref="H37" r:id="rId6"/>
    <hyperlink ref="H35" r:id="rId7"/>
    <hyperlink ref="E141" r:id="rId8"/>
    <hyperlink ref="H34" r:id="rId9"/>
    <hyperlink ref="H38" r:id="rId10"/>
    <hyperlink ref="H39" r:id="rId11"/>
    <hyperlink ref="H40" r:id="rId12"/>
    <hyperlink ref="F203" r:id="rId13"/>
    <hyperlink ref="E147" r:id="rId14"/>
    <hyperlink ref="E148" r:id="rId15"/>
    <hyperlink ref="E165" r:id="rId16"/>
    <hyperlink ref="E171" r:id="rId17"/>
    <hyperlink ref="E172" r:id="rId18"/>
    <hyperlink ref="E162" r:id="rId19"/>
    <hyperlink ref="D182" r:id="rId20"/>
    <hyperlink ref="D186" r:id="rId21"/>
    <hyperlink ref="D190" r:id="rId22"/>
    <hyperlink ref="D194" r:id="rId23"/>
  </hyperlinks>
  <printOptions horizontalCentered="1"/>
  <pageMargins left="0.7" right="0.45" top="0.5" bottom="0.5" header="0" footer="0"/>
  <pageSetup paperSize="5" scale="75" orientation="landscape" r:id="rId24"/>
  <headerFooter>
    <oddFooter>&amp;CData Collection and Emissions Assesment Notes and Procedures  Page &amp;P of &amp;N</oddFooter>
  </headerFooter>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topLeftCell="A6" zoomScale="80" zoomScaleNormal="80" workbookViewId="0"/>
  </sheetViews>
  <sheetFormatPr defaultColWidth="0" defaultRowHeight="13.2" zeroHeight="1" x14ac:dyDescent="0.25"/>
  <cols>
    <col min="1" max="1" width="5" customWidth="1"/>
    <col min="2" max="2" width="5.109375" customWidth="1"/>
    <col min="3" max="3" width="9.109375" customWidth="1"/>
    <col min="4" max="4" width="11.109375" customWidth="1"/>
    <col min="5" max="5" width="24.6640625" customWidth="1"/>
    <col min="6" max="6" width="70.6640625" customWidth="1"/>
    <col min="7" max="7" width="5.33203125" customWidth="1"/>
    <col min="8" max="8" width="5.5546875" customWidth="1"/>
  </cols>
  <sheetData>
    <row r="1" spans="1:8" x14ac:dyDescent="0.25">
      <c r="A1" s="3"/>
      <c r="B1" s="3"/>
      <c r="C1" s="3"/>
      <c r="D1" s="3"/>
      <c r="E1" s="3"/>
      <c r="F1" s="3"/>
      <c r="G1" s="3"/>
      <c r="H1" s="3"/>
    </row>
    <row r="2" spans="1:8" x14ac:dyDescent="0.25">
      <c r="A2" s="3"/>
      <c r="B2" s="3"/>
      <c r="C2" s="3"/>
      <c r="D2" s="3"/>
      <c r="E2" s="3"/>
      <c r="F2" s="3"/>
      <c r="G2" s="3"/>
      <c r="H2" s="3"/>
    </row>
    <row r="3" spans="1:8" x14ac:dyDescent="0.25">
      <c r="A3" s="3"/>
      <c r="B3" s="3"/>
      <c r="C3" s="3"/>
      <c r="D3" s="3"/>
      <c r="E3" s="3"/>
      <c r="F3" s="3"/>
      <c r="G3" s="3"/>
      <c r="H3" s="3"/>
    </row>
    <row r="4" spans="1:8" x14ac:dyDescent="0.25">
      <c r="A4" s="3"/>
      <c r="B4" s="3"/>
      <c r="C4" s="8" t="s">
        <v>598</v>
      </c>
      <c r="D4" s="8"/>
      <c r="E4" s="8"/>
      <c r="F4" s="3"/>
      <c r="G4" s="3"/>
      <c r="H4" s="3"/>
    </row>
    <row r="5" spans="1:8" x14ac:dyDescent="0.25">
      <c r="A5" s="3"/>
      <c r="B5" s="3"/>
      <c r="C5" s="10" t="s">
        <v>597</v>
      </c>
      <c r="D5" s="7"/>
      <c r="E5" s="389">
        <v>41397</v>
      </c>
      <c r="F5" s="3"/>
      <c r="G5" s="3"/>
      <c r="H5" s="3"/>
    </row>
    <row r="6" spans="1:8" x14ac:dyDescent="0.25">
      <c r="A6" s="3"/>
      <c r="B6" s="3"/>
      <c r="C6" s="3"/>
      <c r="D6" s="3"/>
      <c r="E6" s="3"/>
      <c r="F6" s="3"/>
      <c r="G6" s="3"/>
      <c r="H6" s="3"/>
    </row>
    <row r="7" spans="1:8" x14ac:dyDescent="0.25">
      <c r="A7" s="3"/>
      <c r="B7" s="3"/>
      <c r="C7" s="3"/>
      <c r="D7" s="3"/>
      <c r="E7" s="3"/>
      <c r="F7" s="3"/>
      <c r="G7" s="3"/>
      <c r="H7" s="3"/>
    </row>
    <row r="8" spans="1:8" x14ac:dyDescent="0.25">
      <c r="A8" s="3"/>
      <c r="B8" s="3"/>
      <c r="C8" s="3"/>
      <c r="D8" s="3"/>
      <c r="E8" s="3"/>
      <c r="F8" s="3"/>
      <c r="G8" s="3"/>
      <c r="H8" s="3"/>
    </row>
    <row r="9" spans="1:8" x14ac:dyDescent="0.25">
      <c r="A9" s="3"/>
      <c r="B9" s="3"/>
      <c r="C9" s="3"/>
      <c r="D9" s="3"/>
      <c r="E9" s="3"/>
      <c r="F9" s="3"/>
      <c r="G9" s="3"/>
      <c r="H9" s="3"/>
    </row>
    <row r="10" spans="1:8" x14ac:dyDescent="0.25">
      <c r="A10" s="3"/>
      <c r="B10" s="3"/>
      <c r="C10" s="3"/>
      <c r="D10" s="3"/>
      <c r="E10" s="3"/>
      <c r="F10" s="3"/>
      <c r="G10" s="3"/>
      <c r="H10" s="3"/>
    </row>
    <row r="11" spans="1:8" x14ac:dyDescent="0.25">
      <c r="A11" s="3"/>
      <c r="B11" s="3"/>
      <c r="C11" s="3"/>
      <c r="D11" s="3"/>
      <c r="E11" s="3"/>
      <c r="F11" s="3"/>
      <c r="G11" s="3"/>
      <c r="H11" s="3"/>
    </row>
    <row r="12" spans="1:8" x14ac:dyDescent="0.25">
      <c r="A12" s="3"/>
      <c r="B12" s="3"/>
      <c r="C12" s="8" t="s">
        <v>599</v>
      </c>
      <c r="D12" s="4"/>
      <c r="E12" s="4"/>
      <c r="F12" s="4"/>
      <c r="G12" s="5" t="s">
        <v>225</v>
      </c>
      <c r="H12" s="3"/>
    </row>
    <row r="13" spans="1:8" ht="13.8" thickBot="1" x14ac:dyDescent="0.3">
      <c r="A13" s="3"/>
      <c r="B13" s="3"/>
      <c r="C13" s="4"/>
      <c r="D13" s="4"/>
      <c r="E13" s="4"/>
      <c r="F13" s="4"/>
      <c r="G13" s="4"/>
      <c r="H13" s="3"/>
    </row>
    <row r="14" spans="1:8" x14ac:dyDescent="0.25">
      <c r="A14" s="3"/>
      <c r="B14" s="3"/>
      <c r="C14" s="3"/>
      <c r="D14" s="414" t="s">
        <v>226</v>
      </c>
      <c r="E14" s="414"/>
      <c r="F14" s="414"/>
      <c r="G14" s="416">
        <v>1</v>
      </c>
      <c r="H14" s="3"/>
    </row>
    <row r="15" spans="1:8" x14ac:dyDescent="0.25">
      <c r="A15" s="3"/>
      <c r="B15" s="3"/>
      <c r="C15" s="3"/>
      <c r="D15" s="415"/>
      <c r="E15" s="415"/>
      <c r="F15" s="415"/>
      <c r="G15" s="417"/>
      <c r="H15" s="3"/>
    </row>
    <row r="16" spans="1:8" x14ac:dyDescent="0.25">
      <c r="A16" s="3"/>
      <c r="B16" s="3"/>
      <c r="C16" s="3"/>
      <c r="D16" s="408" t="s">
        <v>227</v>
      </c>
      <c r="E16" s="408" t="s">
        <v>228</v>
      </c>
      <c r="F16" s="408"/>
      <c r="G16" s="408"/>
      <c r="H16" s="3"/>
    </row>
    <row r="17" spans="1:8" ht="13.8" thickBot="1" x14ac:dyDescent="0.3">
      <c r="A17" s="3"/>
      <c r="B17" s="3"/>
      <c r="C17" s="3"/>
      <c r="D17" s="409"/>
      <c r="E17" s="409"/>
      <c r="F17" s="409"/>
      <c r="G17" s="409"/>
      <c r="H17" s="3"/>
    </row>
    <row r="18" spans="1:8" x14ac:dyDescent="0.25">
      <c r="A18" s="3"/>
      <c r="B18" s="3"/>
      <c r="C18" s="3"/>
      <c r="D18" s="414" t="s">
        <v>50</v>
      </c>
      <c r="E18" s="414"/>
      <c r="F18" s="414"/>
      <c r="G18" s="419">
        <v>2</v>
      </c>
      <c r="H18" s="3"/>
    </row>
    <row r="19" spans="1:8" x14ac:dyDescent="0.25">
      <c r="A19" s="3"/>
      <c r="B19" s="3"/>
      <c r="C19" s="3"/>
      <c r="D19" s="418"/>
      <c r="E19" s="418"/>
      <c r="F19" s="418"/>
      <c r="G19" s="405"/>
      <c r="H19" s="3"/>
    </row>
    <row r="20" spans="1:8" x14ac:dyDescent="0.25">
      <c r="A20" s="3"/>
      <c r="B20" s="3"/>
      <c r="C20" s="3"/>
      <c r="D20" s="420" t="s">
        <v>53</v>
      </c>
      <c r="E20" s="422" t="s">
        <v>229</v>
      </c>
      <c r="F20" s="410" t="s">
        <v>313</v>
      </c>
      <c r="G20" s="410"/>
      <c r="H20" s="3"/>
    </row>
    <row r="21" spans="1:8" x14ac:dyDescent="0.25">
      <c r="A21" s="3"/>
      <c r="B21" s="3"/>
      <c r="C21" s="3"/>
      <c r="D21" s="421"/>
      <c r="E21" s="423"/>
      <c r="F21" s="412"/>
      <c r="G21" s="412"/>
      <c r="H21" s="3"/>
    </row>
    <row r="22" spans="1:8" x14ac:dyDescent="0.25">
      <c r="A22" s="3"/>
      <c r="B22" s="3"/>
      <c r="C22" s="3"/>
      <c r="D22" s="405" t="s">
        <v>215</v>
      </c>
      <c r="E22" s="424" t="s">
        <v>213</v>
      </c>
      <c r="F22" s="411" t="s">
        <v>314</v>
      </c>
      <c r="G22" s="411"/>
      <c r="H22" s="3"/>
    </row>
    <row r="23" spans="1:8" ht="13.8" thickBot="1" x14ac:dyDescent="0.3">
      <c r="A23" s="3"/>
      <c r="B23" s="3"/>
      <c r="C23" s="3"/>
      <c r="D23" s="406"/>
      <c r="E23" s="425"/>
      <c r="F23" s="413"/>
      <c r="G23" s="413"/>
      <c r="H23" s="3"/>
    </row>
    <row r="24" spans="1:8" x14ac:dyDescent="0.25">
      <c r="A24" s="3"/>
      <c r="B24" s="3"/>
      <c r="C24" s="3"/>
      <c r="D24" s="426" t="s">
        <v>18</v>
      </c>
      <c r="E24" s="426"/>
      <c r="F24" s="426"/>
      <c r="G24" s="419">
        <v>3</v>
      </c>
      <c r="H24" s="3"/>
    </row>
    <row r="25" spans="1:8" x14ac:dyDescent="0.25">
      <c r="A25" s="3"/>
      <c r="B25" s="3"/>
      <c r="C25" s="3"/>
      <c r="D25" s="427"/>
      <c r="E25" s="427"/>
      <c r="F25" s="427"/>
      <c r="G25" s="405"/>
      <c r="H25" s="3"/>
    </row>
    <row r="26" spans="1:8" ht="12.75" customHeight="1" x14ac:dyDescent="0.25">
      <c r="A26" s="3"/>
      <c r="B26" s="3"/>
      <c r="C26" s="3"/>
      <c r="D26" s="420" t="s">
        <v>20</v>
      </c>
      <c r="E26" s="428" t="s">
        <v>315</v>
      </c>
      <c r="F26" s="410" t="s">
        <v>317</v>
      </c>
      <c r="G26" s="12"/>
      <c r="H26" s="3"/>
    </row>
    <row r="27" spans="1:8" x14ac:dyDescent="0.25">
      <c r="A27" s="3"/>
      <c r="B27" s="3"/>
      <c r="C27" s="3"/>
      <c r="D27" s="405"/>
      <c r="E27" s="429"/>
      <c r="F27" s="411"/>
      <c r="G27" s="9"/>
      <c r="H27" s="3"/>
    </row>
    <row r="28" spans="1:8" ht="12.75" customHeight="1" x14ac:dyDescent="0.25">
      <c r="A28" s="3"/>
      <c r="B28" s="3"/>
      <c r="C28" s="3"/>
      <c r="D28" s="405" t="s">
        <v>24</v>
      </c>
      <c r="E28" s="429"/>
      <c r="F28" s="411" t="s">
        <v>316</v>
      </c>
      <c r="G28" s="9"/>
      <c r="H28" s="3"/>
    </row>
    <row r="29" spans="1:8" x14ac:dyDescent="0.25">
      <c r="A29" s="3"/>
      <c r="B29" s="3"/>
      <c r="C29" s="3"/>
      <c r="D29" s="405"/>
      <c r="E29" s="429"/>
      <c r="F29" s="411"/>
      <c r="G29" s="9"/>
      <c r="H29" s="3"/>
    </row>
    <row r="30" spans="1:8" ht="12.75" customHeight="1" x14ac:dyDescent="0.25">
      <c r="A30" s="3"/>
      <c r="B30" s="3"/>
      <c r="C30" s="3"/>
      <c r="D30" s="405" t="s">
        <v>204</v>
      </c>
      <c r="E30" s="429"/>
      <c r="F30" s="411" t="s">
        <v>574</v>
      </c>
      <c r="G30" s="9"/>
      <c r="H30" s="3"/>
    </row>
    <row r="31" spans="1:8" x14ac:dyDescent="0.25">
      <c r="A31" s="3"/>
      <c r="B31" s="3"/>
      <c r="C31" s="3"/>
      <c r="D31" s="405"/>
      <c r="E31" s="429"/>
      <c r="F31" s="411"/>
      <c r="G31" s="9"/>
      <c r="H31" s="3"/>
    </row>
    <row r="32" spans="1:8" x14ac:dyDescent="0.25">
      <c r="A32" s="3"/>
      <c r="B32" s="3"/>
      <c r="C32" s="3"/>
      <c r="D32" s="405" t="s">
        <v>205</v>
      </c>
      <c r="E32" s="429"/>
      <c r="F32" s="411" t="s">
        <v>573</v>
      </c>
      <c r="G32" s="9"/>
      <c r="H32" s="3"/>
    </row>
    <row r="33" spans="1:8" x14ac:dyDescent="0.25">
      <c r="A33" s="3"/>
      <c r="B33" s="3"/>
      <c r="C33" s="3"/>
      <c r="D33" s="421"/>
      <c r="E33" s="423"/>
      <c r="F33" s="412"/>
      <c r="G33" s="13"/>
      <c r="H33" s="3"/>
    </row>
    <row r="34" spans="1:8" ht="12.75" customHeight="1" x14ac:dyDescent="0.25">
      <c r="A34" s="3"/>
      <c r="B34" s="3"/>
      <c r="C34" s="3"/>
      <c r="D34" s="430" t="s">
        <v>206</v>
      </c>
      <c r="E34" s="407" t="s">
        <v>230</v>
      </c>
      <c r="F34" s="431" t="s">
        <v>231</v>
      </c>
      <c r="G34" s="341"/>
      <c r="H34" s="3"/>
    </row>
    <row r="35" spans="1:8" x14ac:dyDescent="0.25">
      <c r="A35" s="3"/>
      <c r="B35" s="3"/>
      <c r="C35" s="3"/>
      <c r="D35" s="405"/>
      <c r="E35" s="408"/>
      <c r="F35" s="411"/>
      <c r="G35" s="9"/>
      <c r="H35" s="3"/>
    </row>
    <row r="36" spans="1:8" x14ac:dyDescent="0.25">
      <c r="A36" s="3"/>
      <c r="B36" s="3"/>
      <c r="C36" s="3"/>
      <c r="D36" s="405" t="s">
        <v>556</v>
      </c>
      <c r="E36" s="408"/>
      <c r="F36" s="411" t="s">
        <v>575</v>
      </c>
      <c r="G36" s="9"/>
      <c r="H36" s="3"/>
    </row>
    <row r="37" spans="1:8" ht="13.8" thickBot="1" x14ac:dyDescent="0.3">
      <c r="A37" s="3"/>
      <c r="B37" s="3"/>
      <c r="C37" s="3"/>
      <c r="D37" s="406"/>
      <c r="E37" s="409"/>
      <c r="F37" s="413"/>
      <c r="G37" s="14"/>
      <c r="H37" s="3"/>
    </row>
    <row r="38" spans="1:8" x14ac:dyDescent="0.25">
      <c r="A38" s="3"/>
      <c r="B38" s="3"/>
      <c r="C38" s="3"/>
      <c r="D38" s="426" t="s">
        <v>66</v>
      </c>
      <c r="E38" s="426"/>
      <c r="F38" s="426"/>
      <c r="G38" s="419">
        <v>4</v>
      </c>
      <c r="H38" s="3"/>
    </row>
    <row r="39" spans="1:8" x14ac:dyDescent="0.25">
      <c r="A39" s="3"/>
      <c r="B39" s="3"/>
      <c r="C39" s="3"/>
      <c r="D39" s="432"/>
      <c r="E39" s="432"/>
      <c r="F39" s="432"/>
      <c r="G39" s="421"/>
      <c r="H39" s="3"/>
    </row>
    <row r="40" spans="1:8" x14ac:dyDescent="0.25">
      <c r="A40" s="3"/>
      <c r="B40" s="3"/>
      <c r="C40" s="3"/>
      <c r="D40" s="420" t="s">
        <v>69</v>
      </c>
      <c r="E40" s="428" t="s">
        <v>67</v>
      </c>
      <c r="F40" s="410" t="s">
        <v>68</v>
      </c>
      <c r="G40" s="410"/>
      <c r="H40" s="3"/>
    </row>
    <row r="41" spans="1:8" x14ac:dyDescent="0.25">
      <c r="A41" s="3"/>
      <c r="B41" s="3"/>
      <c r="C41" s="3"/>
      <c r="D41" s="421"/>
      <c r="E41" s="433"/>
      <c r="F41" s="412"/>
      <c r="G41" s="412"/>
      <c r="H41" s="3"/>
    </row>
    <row r="42" spans="1:8" x14ac:dyDescent="0.25">
      <c r="A42" s="3"/>
      <c r="B42" s="3"/>
      <c r="C42" s="3"/>
      <c r="D42" s="420" t="s">
        <v>81</v>
      </c>
      <c r="E42" s="422" t="s">
        <v>80</v>
      </c>
      <c r="F42" s="410" t="s">
        <v>240</v>
      </c>
      <c r="G42" s="410"/>
      <c r="H42" s="3"/>
    </row>
    <row r="43" spans="1:8" x14ac:dyDescent="0.25">
      <c r="A43" s="3"/>
      <c r="B43" s="3"/>
      <c r="C43" s="3"/>
      <c r="D43" s="405"/>
      <c r="E43" s="429"/>
      <c r="F43" s="411"/>
      <c r="G43" s="411"/>
      <c r="H43" s="3"/>
    </row>
    <row r="44" spans="1:8" x14ac:dyDescent="0.25">
      <c r="A44" s="3"/>
      <c r="B44" s="3"/>
      <c r="C44" s="3"/>
      <c r="D44" s="405" t="s">
        <v>94</v>
      </c>
      <c r="E44" s="429"/>
      <c r="F44" s="411" t="s">
        <v>232</v>
      </c>
      <c r="G44" s="411"/>
      <c r="H44" s="3"/>
    </row>
    <row r="45" spans="1:8" x14ac:dyDescent="0.25">
      <c r="A45" s="3"/>
      <c r="B45" s="3"/>
      <c r="C45" s="3"/>
      <c r="D45" s="421"/>
      <c r="E45" s="423"/>
      <c r="F45" s="412"/>
      <c r="G45" s="412"/>
      <c r="H45" s="3"/>
    </row>
    <row r="46" spans="1:8" x14ac:dyDescent="0.25">
      <c r="A46" s="3"/>
      <c r="B46" s="3"/>
      <c r="C46" s="3"/>
      <c r="D46" s="420" t="s">
        <v>100</v>
      </c>
      <c r="E46" s="422" t="s">
        <v>99</v>
      </c>
      <c r="F46" s="410" t="s">
        <v>235</v>
      </c>
      <c r="G46" s="410"/>
      <c r="H46" s="3"/>
    </row>
    <row r="47" spans="1:8" x14ac:dyDescent="0.25">
      <c r="A47" s="3"/>
      <c r="B47" s="3"/>
      <c r="C47" s="3"/>
      <c r="D47" s="405"/>
      <c r="E47" s="429"/>
      <c r="F47" s="411"/>
      <c r="G47" s="411"/>
      <c r="H47" s="3"/>
    </row>
    <row r="48" spans="1:8" x14ac:dyDescent="0.25">
      <c r="A48" s="3"/>
      <c r="B48" s="3"/>
      <c r="C48" s="3"/>
      <c r="D48" s="405" t="s">
        <v>109</v>
      </c>
      <c r="E48" s="429"/>
      <c r="F48" s="411" t="s">
        <v>236</v>
      </c>
      <c r="G48" s="411"/>
      <c r="H48" s="3"/>
    </row>
    <row r="49" spans="1:8" x14ac:dyDescent="0.25">
      <c r="A49" s="3"/>
      <c r="B49" s="3"/>
      <c r="C49" s="3"/>
      <c r="D49" s="405"/>
      <c r="E49" s="429"/>
      <c r="F49" s="411"/>
      <c r="G49" s="411"/>
      <c r="H49" s="3"/>
    </row>
    <row r="50" spans="1:8" x14ac:dyDescent="0.25">
      <c r="A50" s="3"/>
      <c r="B50" s="3"/>
      <c r="C50" s="3"/>
      <c r="D50" s="405" t="s">
        <v>116</v>
      </c>
      <c r="E50" s="429"/>
      <c r="F50" s="411" t="s">
        <v>237</v>
      </c>
      <c r="G50" s="411"/>
      <c r="H50" s="3"/>
    </row>
    <row r="51" spans="1:8" x14ac:dyDescent="0.25">
      <c r="A51" s="3"/>
      <c r="B51" s="3"/>
      <c r="C51" s="3"/>
      <c r="D51" s="421"/>
      <c r="E51" s="423"/>
      <c r="F51" s="412"/>
      <c r="G51" s="412"/>
      <c r="H51" s="3"/>
    </row>
    <row r="52" spans="1:8" x14ac:dyDescent="0.25">
      <c r="A52" s="3"/>
      <c r="B52" s="3"/>
      <c r="C52" s="3"/>
      <c r="D52" s="434" t="s">
        <v>128</v>
      </c>
      <c r="E52" s="435" t="s">
        <v>233</v>
      </c>
      <c r="F52" s="436" t="s">
        <v>238</v>
      </c>
      <c r="G52" s="436"/>
      <c r="H52" s="3"/>
    </row>
    <row r="53" spans="1:8" x14ac:dyDescent="0.25">
      <c r="A53" s="3"/>
      <c r="B53" s="3"/>
      <c r="C53" s="3"/>
      <c r="D53" s="434"/>
      <c r="E53" s="435"/>
      <c r="F53" s="436"/>
      <c r="G53" s="436"/>
      <c r="H53" s="3"/>
    </row>
    <row r="54" spans="1:8" x14ac:dyDescent="0.25">
      <c r="A54" s="3"/>
      <c r="B54" s="3"/>
      <c r="C54" s="3"/>
      <c r="D54" s="434" t="s">
        <v>170</v>
      </c>
      <c r="E54" s="435" t="s">
        <v>168</v>
      </c>
      <c r="F54" s="436" t="s">
        <v>239</v>
      </c>
      <c r="G54" s="436"/>
      <c r="H54" s="3"/>
    </row>
    <row r="55" spans="1:8" x14ac:dyDescent="0.25">
      <c r="A55" s="3"/>
      <c r="B55" s="3"/>
      <c r="C55" s="3"/>
      <c r="D55" s="434"/>
      <c r="E55" s="435"/>
      <c r="F55" s="436"/>
      <c r="G55" s="436"/>
      <c r="H55" s="3"/>
    </row>
    <row r="56" spans="1:8" x14ac:dyDescent="0.25">
      <c r="A56" s="3"/>
      <c r="B56" s="3"/>
      <c r="C56" s="3"/>
      <c r="D56" s="405" t="s">
        <v>10</v>
      </c>
      <c r="E56" s="408" t="s">
        <v>9</v>
      </c>
      <c r="F56" s="411" t="s">
        <v>234</v>
      </c>
      <c r="G56" s="411"/>
      <c r="H56" s="3"/>
    </row>
    <row r="57" spans="1:8" ht="13.8" thickBot="1" x14ac:dyDescent="0.3">
      <c r="A57" s="3"/>
      <c r="B57" s="3"/>
      <c r="C57" s="3"/>
      <c r="D57" s="406"/>
      <c r="E57" s="409"/>
      <c r="F57" s="413"/>
      <c r="G57" s="413"/>
      <c r="H57" s="3"/>
    </row>
    <row r="58" spans="1:8" x14ac:dyDescent="0.25">
      <c r="A58" s="3"/>
      <c r="B58" s="3"/>
      <c r="C58" s="3"/>
      <c r="D58" s="3"/>
      <c r="E58" s="3"/>
      <c r="F58" s="3"/>
      <c r="G58" s="3"/>
      <c r="H58" s="3"/>
    </row>
    <row r="59" spans="1:8" x14ac:dyDescent="0.25">
      <c r="A59" s="3"/>
      <c r="B59" s="3"/>
      <c r="C59" s="3"/>
      <c r="D59" s="3"/>
      <c r="E59" s="3"/>
      <c r="F59" s="3"/>
      <c r="G59" s="3"/>
      <c r="H59" s="3"/>
    </row>
    <row r="60" spans="1:8" x14ac:dyDescent="0.25">
      <c r="A60" s="3"/>
      <c r="B60" s="3"/>
      <c r="C60" s="3"/>
      <c r="D60" s="3"/>
      <c r="E60" s="3"/>
      <c r="F60" s="3"/>
      <c r="G60" s="3"/>
      <c r="H60" s="3"/>
    </row>
    <row r="61" spans="1:8" ht="12" customHeight="1" x14ac:dyDescent="0.25">
      <c r="A61" s="3"/>
      <c r="B61" s="3"/>
      <c r="C61" s="3"/>
      <c r="D61" s="3"/>
      <c r="E61" s="3"/>
      <c r="F61" s="3"/>
      <c r="G61" s="3"/>
      <c r="H61" s="3"/>
    </row>
    <row r="62" spans="1:8" hidden="1" x14ac:dyDescent="0.25"/>
    <row r="63" spans="1:8" hidden="1" x14ac:dyDescent="0.25"/>
    <row r="64" spans="1:8" hidden="1" x14ac:dyDescent="0.25"/>
  </sheetData>
  <sheetProtection password="EDBF" sheet="1" objects="1" scenarios="1"/>
  <mergeCells count="54">
    <mergeCell ref="D56:D57"/>
    <mergeCell ref="E56:E57"/>
    <mergeCell ref="F56:G57"/>
    <mergeCell ref="D52:D53"/>
    <mergeCell ref="E52:E53"/>
    <mergeCell ref="F52:G53"/>
    <mergeCell ref="D54:D55"/>
    <mergeCell ref="E54:E55"/>
    <mergeCell ref="F54:G55"/>
    <mergeCell ref="D38:F39"/>
    <mergeCell ref="G38:G39"/>
    <mergeCell ref="D46:D47"/>
    <mergeCell ref="E46:E51"/>
    <mergeCell ref="F46:G47"/>
    <mergeCell ref="D48:D49"/>
    <mergeCell ref="F48:G49"/>
    <mergeCell ref="D50:D51"/>
    <mergeCell ref="F50:G51"/>
    <mergeCell ref="D40:D41"/>
    <mergeCell ref="E40:E41"/>
    <mergeCell ref="F40:G41"/>
    <mergeCell ref="D42:D43"/>
    <mergeCell ref="E42:E45"/>
    <mergeCell ref="F42:G43"/>
    <mergeCell ref="D44:D45"/>
    <mergeCell ref="F44:G45"/>
    <mergeCell ref="D20:D21"/>
    <mergeCell ref="E20:E21"/>
    <mergeCell ref="F20:G21"/>
    <mergeCell ref="D28:D29"/>
    <mergeCell ref="D22:D23"/>
    <mergeCell ref="E22:E23"/>
    <mergeCell ref="F22:G23"/>
    <mergeCell ref="D24:F25"/>
    <mergeCell ref="G24:G25"/>
    <mergeCell ref="D26:D27"/>
    <mergeCell ref="E26:E33"/>
    <mergeCell ref="D30:D31"/>
    <mergeCell ref="D32:D33"/>
    <mergeCell ref="D34:D35"/>
    <mergeCell ref="F34:F35"/>
    <mergeCell ref="D14:F15"/>
    <mergeCell ref="G14:G15"/>
    <mergeCell ref="D16:D17"/>
    <mergeCell ref="E16:G17"/>
    <mergeCell ref="D18:F19"/>
    <mergeCell ref="G18:G19"/>
    <mergeCell ref="D36:D37"/>
    <mergeCell ref="E34:E37"/>
    <mergeCell ref="F26:F27"/>
    <mergeCell ref="F28:F29"/>
    <mergeCell ref="F30:F31"/>
    <mergeCell ref="F32:F33"/>
    <mergeCell ref="F36:F37"/>
  </mergeCells>
  <phoneticPr fontId="12" type="noConversion"/>
  <pageMargins left="1.2" right="0.7" top="0.75" bottom="0.75" header="0.3" footer="0.3"/>
  <pageSetup paperSize="5"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51"/>
  <sheetViews>
    <sheetView zoomScale="80" zoomScaleNormal="80" workbookViewId="0"/>
  </sheetViews>
  <sheetFormatPr defaultColWidth="0" defaultRowHeight="13.2" zeroHeight="1" x14ac:dyDescent="0.25"/>
  <cols>
    <col min="1" max="1" width="9.109375" customWidth="1"/>
    <col min="2" max="2" width="22.88671875" style="2" customWidth="1"/>
    <col min="3" max="3" width="8.6640625" style="2" customWidth="1"/>
    <col min="4" max="4" width="13" style="2" customWidth="1"/>
    <col min="5" max="5" width="2.6640625" style="2" customWidth="1"/>
    <col min="6" max="6" width="11.6640625" style="2" customWidth="1"/>
    <col min="7" max="7" width="2.6640625" style="2" customWidth="1"/>
    <col min="8" max="8" width="11.6640625" style="2" customWidth="1"/>
    <col min="9" max="9" width="2.6640625" style="2" customWidth="1"/>
    <col min="10" max="10" width="12.6640625" style="2" customWidth="1"/>
    <col min="11" max="11" width="2.6640625" style="2" customWidth="1"/>
    <col min="12" max="12" width="12.6640625" style="2" customWidth="1"/>
    <col min="13" max="13" width="2.6640625" style="2" customWidth="1"/>
    <col min="14" max="14" width="11.6640625" style="2" customWidth="1"/>
    <col min="15" max="15" width="2.6640625" style="2" customWidth="1"/>
    <col min="16" max="16" width="11.6640625" style="2" customWidth="1"/>
    <col min="17" max="17" width="2.6640625" style="2" customWidth="1"/>
    <col min="18" max="18" width="11.6640625" style="2" customWidth="1"/>
    <col min="19" max="19" width="2.6640625" style="2" customWidth="1"/>
    <col min="20" max="20" width="11.6640625" style="2" customWidth="1"/>
    <col min="21" max="21" width="2.6640625" style="2" customWidth="1"/>
    <col min="22" max="22" width="11.6640625" style="2" customWidth="1"/>
    <col min="23" max="23" width="2.6640625" style="2" customWidth="1"/>
    <col min="24" max="24" width="11.6640625" style="2" customWidth="1"/>
    <col min="25" max="25" width="2.6640625" style="2" customWidth="1"/>
    <col min="26" max="26" width="11.6640625" style="2" customWidth="1"/>
    <col min="27" max="27" width="2.6640625" style="2" customWidth="1"/>
    <col min="28" max="28" width="11.6640625" style="2" customWidth="1"/>
    <col min="29" max="29" width="2.6640625" style="2" customWidth="1"/>
    <col min="30" max="30" width="11.6640625" style="2" customWidth="1"/>
    <col min="31" max="31" width="2.6640625" style="2" customWidth="1"/>
    <col min="32" max="32" width="11.6640625" style="2" customWidth="1"/>
    <col min="33" max="33" width="2.6640625" style="2" customWidth="1"/>
    <col min="34" max="34" width="11.6640625" style="2" customWidth="1"/>
    <col min="35" max="35" width="2.6640625" style="2" customWidth="1"/>
    <col min="36" max="36" width="11.6640625" style="2" customWidth="1"/>
    <col min="37" max="37" width="2.6640625" style="2" customWidth="1"/>
    <col min="38" max="38" width="11.6640625" style="2" customWidth="1"/>
    <col min="39" max="39" width="2.6640625" style="2" customWidth="1"/>
    <col min="40" max="40" width="4.6640625" customWidth="1"/>
    <col min="41" max="16384" width="9.109375" hidden="1"/>
  </cols>
  <sheetData>
    <row r="1" spans="1:40" x14ac:dyDescent="0.2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row>
    <row r="2" spans="1:40"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row>
    <row r="3" spans="1:40"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row>
    <row r="4" spans="1:40" x14ac:dyDescent="0.2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row>
    <row r="5" spans="1:40" x14ac:dyDescent="0.2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row>
    <row r="6" spans="1:40" x14ac:dyDescent="0.25">
      <c r="A6" s="11"/>
      <c r="B6" s="82" t="s">
        <v>599</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x14ac:dyDescent="0.25">
      <c r="A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row>
    <row r="8" spans="1:40" x14ac:dyDescent="0.25">
      <c r="A8" s="11"/>
      <c r="B8" s="82" t="s">
        <v>26</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row>
    <row r="9" spans="1:40" x14ac:dyDescent="0.25">
      <c r="A9" s="11"/>
      <c r="B9" s="82"/>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row>
    <row r="10" spans="1:40" ht="13.8" thickBot="1" x14ac:dyDescent="0.3">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row>
    <row r="11" spans="1:40" ht="12.75" customHeight="1" x14ac:dyDescent="0.25">
      <c r="A11" s="11"/>
      <c r="B11" s="83"/>
      <c r="C11" s="84"/>
      <c r="D11" s="84"/>
      <c r="E11" s="85"/>
      <c r="F11" s="452" t="s">
        <v>269</v>
      </c>
      <c r="G11" s="447"/>
      <c r="H11" s="447"/>
      <c r="I11" s="447"/>
      <c r="J11" s="458" t="s">
        <v>280</v>
      </c>
      <c r="K11" s="461"/>
      <c r="L11" s="461"/>
      <c r="M11" s="461"/>
      <c r="N11" s="461"/>
      <c r="O11" s="461"/>
      <c r="P11" s="461"/>
      <c r="Q11" s="462"/>
      <c r="R11" s="446" t="s">
        <v>281</v>
      </c>
      <c r="S11" s="447"/>
      <c r="T11" s="447"/>
      <c r="U11" s="448"/>
      <c r="V11" s="458" t="s">
        <v>279</v>
      </c>
      <c r="W11" s="459"/>
      <c r="X11" s="459"/>
      <c r="Y11" s="459"/>
      <c r="Z11" s="459"/>
      <c r="AA11" s="459"/>
      <c r="AB11" s="459"/>
      <c r="AC11" s="459"/>
      <c r="AD11" s="459"/>
      <c r="AE11" s="459"/>
      <c r="AF11" s="459"/>
      <c r="AG11" s="459"/>
      <c r="AH11" s="459"/>
      <c r="AI11" s="459"/>
      <c r="AJ11" s="459"/>
      <c r="AK11" s="459"/>
      <c r="AL11" s="459"/>
      <c r="AM11" s="460"/>
      <c r="AN11" s="11"/>
    </row>
    <row r="12" spans="1:40" ht="30" customHeight="1" x14ac:dyDescent="0.25">
      <c r="A12" s="11"/>
      <c r="B12" s="86"/>
      <c r="C12" s="15"/>
      <c r="D12" s="15"/>
      <c r="E12" s="87"/>
      <c r="F12" s="437" t="s">
        <v>28</v>
      </c>
      <c r="G12" s="438"/>
      <c r="H12" s="442" t="s">
        <v>29</v>
      </c>
      <c r="I12" s="441"/>
      <c r="J12" s="437" t="s">
        <v>145</v>
      </c>
      <c r="K12" s="438"/>
      <c r="L12" s="463" t="s">
        <v>144</v>
      </c>
      <c r="M12" s="464"/>
      <c r="N12" s="464"/>
      <c r="O12" s="464"/>
      <c r="P12" s="464"/>
      <c r="Q12" s="465"/>
      <c r="R12" s="449"/>
      <c r="S12" s="450"/>
      <c r="T12" s="450"/>
      <c r="U12" s="451"/>
      <c r="V12" s="437" t="str">
        <f>+'TB04-Turbines'!B15</f>
        <v>Microturbine</v>
      </c>
      <c r="W12" s="438"/>
      <c r="X12" s="463" t="s">
        <v>80</v>
      </c>
      <c r="Y12" s="464"/>
      <c r="Z12" s="464"/>
      <c r="AA12" s="465"/>
      <c r="AB12" s="463" t="s">
        <v>99</v>
      </c>
      <c r="AC12" s="464"/>
      <c r="AD12" s="464"/>
      <c r="AE12" s="464"/>
      <c r="AF12" s="464"/>
      <c r="AG12" s="465"/>
      <c r="AH12" s="442" t="s">
        <v>288</v>
      </c>
      <c r="AI12" s="438"/>
      <c r="AJ12" s="442" t="s">
        <v>168</v>
      </c>
      <c r="AK12" s="438"/>
      <c r="AL12" s="442" t="s">
        <v>9</v>
      </c>
      <c r="AM12" s="457"/>
      <c r="AN12" s="11"/>
    </row>
    <row r="13" spans="1:40" ht="44.25" customHeight="1" x14ac:dyDescent="0.25">
      <c r="A13" s="11"/>
      <c r="B13" s="86"/>
      <c r="C13" s="15"/>
      <c r="D13" s="15"/>
      <c r="E13" s="87"/>
      <c r="F13" s="437" t="s">
        <v>271</v>
      </c>
      <c r="G13" s="438"/>
      <c r="H13" s="442" t="s">
        <v>270</v>
      </c>
      <c r="I13" s="441"/>
      <c r="J13" s="437" t="s">
        <v>595</v>
      </c>
      <c r="K13" s="441"/>
      <c r="L13" s="442" t="s">
        <v>596</v>
      </c>
      <c r="M13" s="438"/>
      <c r="N13" s="442" t="s">
        <v>148</v>
      </c>
      <c r="O13" s="438"/>
      <c r="P13" s="442" t="s">
        <v>149</v>
      </c>
      <c r="Q13" s="438"/>
      <c r="R13" s="441" t="s">
        <v>150</v>
      </c>
      <c r="S13" s="441"/>
      <c r="T13" s="454" t="s">
        <v>571</v>
      </c>
      <c r="U13" s="455"/>
      <c r="V13" s="437" t="s">
        <v>282</v>
      </c>
      <c r="W13" s="438"/>
      <c r="X13" s="442" t="s">
        <v>283</v>
      </c>
      <c r="Y13" s="438"/>
      <c r="Z13" s="442" t="s">
        <v>284</v>
      </c>
      <c r="AA13" s="438"/>
      <c r="AB13" s="442" t="s">
        <v>285</v>
      </c>
      <c r="AC13" s="438"/>
      <c r="AD13" s="442" t="s">
        <v>286</v>
      </c>
      <c r="AE13" s="438"/>
      <c r="AF13" s="442" t="s">
        <v>287</v>
      </c>
      <c r="AG13" s="438"/>
      <c r="AH13" s="442" t="s">
        <v>289</v>
      </c>
      <c r="AI13" s="438"/>
      <c r="AJ13" s="442" t="s">
        <v>290</v>
      </c>
      <c r="AK13" s="438"/>
      <c r="AL13" s="442" t="s">
        <v>291</v>
      </c>
      <c r="AM13" s="457"/>
      <c r="AN13" s="11"/>
    </row>
    <row r="14" spans="1:40" ht="13.8" thickBot="1" x14ac:dyDescent="0.3">
      <c r="A14" s="11"/>
      <c r="B14" s="88"/>
      <c r="C14" s="89"/>
      <c r="D14" s="89"/>
      <c r="E14" s="90"/>
      <c r="F14" s="439">
        <v>1</v>
      </c>
      <c r="G14" s="440"/>
      <c r="H14" s="443">
        <v>2</v>
      </c>
      <c r="I14" s="453"/>
      <c r="J14" s="439">
        <v>1</v>
      </c>
      <c r="K14" s="453"/>
      <c r="L14" s="443">
        <f>1+J14</f>
        <v>2</v>
      </c>
      <c r="M14" s="440"/>
      <c r="N14" s="443">
        <f>1+L14</f>
        <v>3</v>
      </c>
      <c r="O14" s="440"/>
      <c r="P14" s="444">
        <f>1+N14</f>
        <v>4</v>
      </c>
      <c r="Q14" s="445"/>
      <c r="R14" s="490">
        <f>1+P14</f>
        <v>5</v>
      </c>
      <c r="S14" s="490"/>
      <c r="T14" s="444">
        <f>1+R14</f>
        <v>6</v>
      </c>
      <c r="U14" s="488"/>
      <c r="V14" s="439">
        <v>1</v>
      </c>
      <c r="W14" s="440"/>
      <c r="X14" s="444">
        <f>1+V14</f>
        <v>2</v>
      </c>
      <c r="Y14" s="445"/>
      <c r="Z14" s="443">
        <f>1+X14</f>
        <v>3</v>
      </c>
      <c r="AA14" s="440"/>
      <c r="AB14" s="443">
        <f>1+Z14</f>
        <v>4</v>
      </c>
      <c r="AC14" s="440"/>
      <c r="AD14" s="443">
        <f>1+AB14</f>
        <v>5</v>
      </c>
      <c r="AE14" s="440"/>
      <c r="AF14" s="443">
        <f>1+AD14</f>
        <v>6</v>
      </c>
      <c r="AG14" s="440"/>
      <c r="AH14" s="443">
        <f>1+AF14</f>
        <v>7</v>
      </c>
      <c r="AI14" s="440"/>
      <c r="AJ14" s="443">
        <f>1+AH14</f>
        <v>8</v>
      </c>
      <c r="AK14" s="440"/>
      <c r="AL14" s="443">
        <f>1+AJ14</f>
        <v>9</v>
      </c>
      <c r="AM14" s="456"/>
      <c r="AN14" s="11"/>
    </row>
    <row r="15" spans="1:40" s="1" customFormat="1" ht="15.9" customHeight="1" x14ac:dyDescent="0.25">
      <c r="A15" s="91"/>
      <c r="B15" s="472" t="s">
        <v>30</v>
      </c>
      <c r="C15" s="473"/>
      <c r="D15" s="92" t="s">
        <v>266</v>
      </c>
      <c r="E15" s="93"/>
      <c r="F15" s="94">
        <f>+'TB02-Fuel Cells'!B15</f>
        <v>0.43</v>
      </c>
      <c r="G15" s="95"/>
      <c r="H15" s="96">
        <f>+'TB02-Fuel Cells'!B69</f>
        <v>0.33</v>
      </c>
      <c r="I15" s="97"/>
      <c r="J15" s="98">
        <f>+'Tb03-Engines'!B19</f>
        <v>0.34599999999999997</v>
      </c>
      <c r="K15" s="96"/>
      <c r="L15" s="99">
        <f>+'Tb03-Engines'!B117</f>
        <v>0.35</v>
      </c>
      <c r="M15" s="100"/>
      <c r="N15" s="101">
        <f>+'Tb03-Engines'!B213</f>
        <v>0.31412314163026672</v>
      </c>
      <c r="O15" s="100"/>
      <c r="P15" s="101">
        <f>+'Tb03-Engines'!B309</f>
        <v>0.33602406789711581</v>
      </c>
      <c r="Q15" s="100"/>
      <c r="R15" s="102">
        <f>+'Tb03-Engines'!B403</f>
        <v>0.34120148529674871</v>
      </c>
      <c r="S15" s="97"/>
      <c r="T15" s="101">
        <f>+'Tb03-Engines'!B452</f>
        <v>0.35721779974369533</v>
      </c>
      <c r="U15" s="93"/>
      <c r="V15" s="103">
        <f>+'TB04-Turbines'!B18</f>
        <v>0.23478000000000002</v>
      </c>
      <c r="W15" s="104"/>
      <c r="X15" s="96">
        <f>+'TB04-Turbines'!B69</f>
        <v>0.25193699999999997</v>
      </c>
      <c r="Y15" s="100"/>
      <c r="Z15" s="102">
        <f>+'TB04-Turbines'!B118</f>
        <v>0.284445</v>
      </c>
      <c r="AA15" s="100"/>
      <c r="AB15" s="101">
        <f>+'TB04-Turbines'!B167</f>
        <v>0.28895999999999999</v>
      </c>
      <c r="AC15" s="95"/>
      <c r="AD15" s="102">
        <f>+'TB04-Turbines'!B217</f>
        <v>0.31785600000000003</v>
      </c>
      <c r="AE15" s="100"/>
      <c r="AF15" s="102">
        <f>+'TB04-Turbines'!B269</f>
        <v>0.31785600000000003</v>
      </c>
      <c r="AG15" s="100"/>
      <c r="AH15" s="96">
        <f>+'TB04-Turbines'!B311</f>
        <v>0.51019499999999995</v>
      </c>
      <c r="AI15" s="100"/>
      <c r="AJ15" s="102">
        <f>+'TB04-Turbines'!B362</f>
        <v>0.31875900000000001</v>
      </c>
      <c r="AK15" s="100"/>
      <c r="AL15" s="102">
        <f>+'TB04-Turbines'!B412</f>
        <v>0.34765499999999999</v>
      </c>
      <c r="AM15" s="105"/>
      <c r="AN15" s="11"/>
    </row>
    <row r="16" spans="1:40" s="1" customFormat="1" ht="15.9" customHeight="1" x14ac:dyDescent="0.25">
      <c r="A16" s="91"/>
      <c r="B16" s="474"/>
      <c r="C16" s="475"/>
      <c r="D16" s="106" t="s">
        <v>273</v>
      </c>
      <c r="E16" s="107"/>
      <c r="F16" s="108">
        <f>+IF(F18="","",3412.9/F18)</f>
        <v>0.38407885094715849</v>
      </c>
      <c r="G16" s="109"/>
      <c r="H16" s="110">
        <f>+IF(H18="","",3412.9/H18)</f>
        <v>0.32508952531645574</v>
      </c>
      <c r="I16" s="111"/>
      <c r="J16" s="108">
        <f>+IF(J18="","",3412.9/J18)</f>
        <v>0.3459254003648895</v>
      </c>
      <c r="K16" s="110"/>
      <c r="L16" s="112">
        <f>+IF(L18="","",3412.9/L18)</f>
        <v>0.34968237704918032</v>
      </c>
      <c r="M16" s="113"/>
      <c r="N16" s="112">
        <f>+IF(N18="","",3412.9/N18)</f>
        <v>0.31420599943433103</v>
      </c>
      <c r="O16" s="113"/>
      <c r="P16" s="112">
        <f>+IF(P18="","",3412.9/P18)</f>
        <v>0.33611270261608045</v>
      </c>
      <c r="Q16" s="113"/>
      <c r="R16" s="110">
        <f>+IF(R18="","",3412.9/R18)</f>
        <v>0.34129148568853274</v>
      </c>
      <c r="S16" s="111"/>
      <c r="T16" s="112">
        <f>+IF(T18="","",3412.9/T18)</f>
        <v>0.35731202483741437</v>
      </c>
      <c r="U16" s="114"/>
      <c r="V16" s="115">
        <f>+IF(V18="","",3412.9/V18)</f>
        <v>0.23525562595419849</v>
      </c>
      <c r="W16" s="116"/>
      <c r="X16" s="110">
        <f>+IF(X18="","",3412.9/X18)</f>
        <v>0.26499128976784181</v>
      </c>
      <c r="Y16" s="113"/>
      <c r="Z16" s="110">
        <f>+IF(Z18="","",3412.9/Z18)</f>
        <v>0.28456590027700834</v>
      </c>
      <c r="AA16" s="113"/>
      <c r="AB16" s="112">
        <f>+IF(AB18="","",3412.9/AB18)</f>
        <v>0.29733224312590451</v>
      </c>
      <c r="AC16" s="109"/>
      <c r="AD16" s="110">
        <f>+IF(AD18="","",3412.9/AD18)</f>
        <v>0.31788021660649823</v>
      </c>
      <c r="AE16" s="113"/>
      <c r="AF16" s="110">
        <f>+IF(AF18="","",3412.9/AF18)</f>
        <v>0.31771636082474225</v>
      </c>
      <c r="AG16" s="113"/>
      <c r="AH16" s="110">
        <f>+IF(AH18="","",3412.9/AH18)</f>
        <v>0.51023985099337754</v>
      </c>
      <c r="AI16" s="113"/>
      <c r="AJ16" s="110">
        <f>+IF(AJ18="","",3412.9/AJ18)</f>
        <v>0.31969384854771787</v>
      </c>
      <c r="AK16" s="113"/>
      <c r="AL16" s="110">
        <f>+IF(AL18="","",3412.9/AL18)</f>
        <v>0.34772071533340854</v>
      </c>
      <c r="AM16" s="117"/>
      <c r="AN16" s="11"/>
    </row>
    <row r="17" spans="1:40" s="1" customFormat="1" ht="15.9" customHeight="1" x14ac:dyDescent="0.25">
      <c r="A17" s="91"/>
      <c r="B17" s="437" t="s">
        <v>268</v>
      </c>
      <c r="C17" s="438"/>
      <c r="D17" s="118" t="s">
        <v>25</v>
      </c>
      <c r="E17" s="119"/>
      <c r="F17" s="120">
        <v>125</v>
      </c>
      <c r="G17" s="121"/>
      <c r="H17" s="122">
        <v>200</v>
      </c>
      <c r="I17" s="123"/>
      <c r="J17" s="120">
        <v>625</v>
      </c>
      <c r="K17" s="124"/>
      <c r="L17" s="122">
        <v>1050</v>
      </c>
      <c r="M17" s="125"/>
      <c r="N17" s="122">
        <v>770</v>
      </c>
      <c r="O17" s="125"/>
      <c r="P17" s="122">
        <v>2335</v>
      </c>
      <c r="Q17" s="125"/>
      <c r="R17" s="124">
        <v>1640</v>
      </c>
      <c r="S17" s="123"/>
      <c r="T17" s="122">
        <v>2050</v>
      </c>
      <c r="U17" s="126"/>
      <c r="V17" s="127">
        <v>30</v>
      </c>
      <c r="W17" s="128"/>
      <c r="X17" s="122">
        <f>4.6*1000</f>
        <v>4600</v>
      </c>
      <c r="Y17" s="125"/>
      <c r="Z17" s="122">
        <f>5.67*1000</f>
        <v>5670</v>
      </c>
      <c r="AA17" s="125"/>
      <c r="AB17" s="122">
        <f>11.35*1000</f>
        <v>11350</v>
      </c>
      <c r="AC17" s="121"/>
      <c r="AD17" s="122">
        <f>15*1000</f>
        <v>15000</v>
      </c>
      <c r="AE17" s="125"/>
      <c r="AF17" s="122">
        <f>14.4*1000</f>
        <v>14400</v>
      </c>
      <c r="AG17" s="125"/>
      <c r="AH17" s="122">
        <f>529.9*1000</f>
        <v>529900</v>
      </c>
      <c r="AI17" s="125"/>
      <c r="AJ17" s="122">
        <f>77.1*1000</f>
        <v>77100</v>
      </c>
      <c r="AK17" s="125"/>
      <c r="AL17" s="122">
        <f>4.6*1000</f>
        <v>4600</v>
      </c>
      <c r="AM17" s="129"/>
      <c r="AN17" s="11"/>
    </row>
    <row r="18" spans="1:40" s="1" customFormat="1" ht="15.9" customHeight="1" x14ac:dyDescent="0.25">
      <c r="A18" s="91"/>
      <c r="B18" s="437" t="s">
        <v>267</v>
      </c>
      <c r="C18" s="438"/>
      <c r="D18" s="130" t="s">
        <v>272</v>
      </c>
      <c r="E18" s="131"/>
      <c r="F18" s="132">
        <f>+'TB02-Fuel Cells'!B13</f>
        <v>8885.9357696567004</v>
      </c>
      <c r="G18" s="125"/>
      <c r="H18" s="133">
        <f>+'TB02-Fuel Cells'!B67</f>
        <v>10498.338870431893</v>
      </c>
      <c r="I18" s="134"/>
      <c r="J18" s="132">
        <f>+'Tb03-Engines'!B15</f>
        <v>9866</v>
      </c>
      <c r="K18" s="135"/>
      <c r="L18" s="133">
        <f>+'Tb03-Engines'!B113</f>
        <v>9760</v>
      </c>
      <c r="M18" s="136"/>
      <c r="N18" s="133">
        <f>+'Tb03-Engines'!B209</f>
        <v>10861.982285966171</v>
      </c>
      <c r="O18" s="136"/>
      <c r="P18" s="133">
        <f>+'Tb03-Engines'!B305</f>
        <v>10154.034564704722</v>
      </c>
      <c r="Q18" s="136"/>
      <c r="R18" s="135">
        <f>+'Tb03-Engines'!B399</f>
        <v>9999.956468631799</v>
      </c>
      <c r="S18" s="134"/>
      <c r="T18" s="133">
        <f>+'Tb03-Engines'!B448</f>
        <v>9551.595700013042</v>
      </c>
      <c r="U18" s="131"/>
      <c r="V18" s="137">
        <f>+'TB04-Turbines'!B16</f>
        <v>14507.19822812846</v>
      </c>
      <c r="W18" s="138"/>
      <c r="X18" s="133">
        <f>+'TB04-Turbines'!B67</f>
        <v>12879.291251384275</v>
      </c>
      <c r="Y18" s="136"/>
      <c r="Z18" s="133">
        <f>+'TB04-Turbines'!B116</f>
        <v>11993.355481727574</v>
      </c>
      <c r="AA18" s="136"/>
      <c r="AB18" s="133">
        <f>+'TB04-Turbines'!B165</f>
        <v>11478.405315614618</v>
      </c>
      <c r="AC18" s="125"/>
      <c r="AD18" s="133">
        <f>+'TB04-Turbines'!B215</f>
        <v>10736.434108527132</v>
      </c>
      <c r="AE18" s="136"/>
      <c r="AF18" s="133">
        <f>+'TB04-Turbines'!B267</f>
        <v>10741.971207087487</v>
      </c>
      <c r="AG18" s="136"/>
      <c r="AH18" s="133">
        <f>+'TB04-Turbines'!B309</f>
        <v>6688.815060908084</v>
      </c>
      <c r="AI18" s="136"/>
      <c r="AJ18" s="133">
        <f>+'TB04-Turbines'!B360</f>
        <v>10675.526024363233</v>
      </c>
      <c r="AK18" s="136"/>
      <c r="AL18" s="133">
        <f>+'TB04-Turbines'!B410</f>
        <v>9815.0609080841641</v>
      </c>
      <c r="AM18" s="129"/>
      <c r="AN18" s="11"/>
    </row>
    <row r="19" spans="1:40" s="1" customFormat="1" ht="15.9" customHeight="1" x14ac:dyDescent="0.25">
      <c r="A19" s="91"/>
      <c r="B19" s="476" t="s">
        <v>31</v>
      </c>
      <c r="C19" s="477"/>
      <c r="D19" s="139" t="s">
        <v>44</v>
      </c>
      <c r="E19" s="140"/>
      <c r="F19" s="141">
        <f>+'TB02-Fuel Cells'!B17</f>
        <v>0.05</v>
      </c>
      <c r="G19" s="142"/>
      <c r="H19" s="143">
        <f>+'TB02-Fuel Cells'!B71</f>
        <v>3.5000000000000003E-2</v>
      </c>
      <c r="I19" s="144"/>
      <c r="J19" s="141">
        <f>+'Tb03-Engines'!B21</f>
        <v>0.5</v>
      </c>
      <c r="K19" s="144"/>
      <c r="L19" s="145">
        <f>+'Tb03-Engines'!B119</f>
        <v>1.49</v>
      </c>
      <c r="M19" s="142"/>
      <c r="N19" s="145">
        <f>+IF(N20="","",N20/453.59245/0.7457*1000)</f>
        <v>5.9128932091188737</v>
      </c>
      <c r="O19" s="142"/>
      <c r="P19" s="145">
        <f>+IF(P20="","",P20/453.59245/0.7457*1000)</f>
        <v>1.4782233022797184</v>
      </c>
      <c r="Q19" s="142"/>
      <c r="R19" s="146">
        <f>+IF(R20="","",R20/453.59245/0.7457*1000)</f>
        <v>13.510960982836627</v>
      </c>
      <c r="S19" s="144"/>
      <c r="T19" s="145">
        <f>+IF(T20="","",T20/453.59245/0.7457*1000)</f>
        <v>1.1825786418237747</v>
      </c>
      <c r="U19" s="140"/>
      <c r="V19" s="147">
        <f>+'TB04-Turbines'!B20</f>
        <v>0.64</v>
      </c>
      <c r="W19" s="148"/>
      <c r="X19" s="149">
        <f>+X22*X18/10^6*10^3</f>
        <v>0.6922176000000001</v>
      </c>
      <c r="Y19" s="142"/>
      <c r="Z19" s="149">
        <f>+Z22*Z18/10^6*10^3</f>
        <v>0.64460160000000011</v>
      </c>
      <c r="AA19" s="142"/>
      <c r="AB19" s="149">
        <f>+AB22*AB18/10^6*10^3</f>
        <v>0.61692480000000005</v>
      </c>
      <c r="AC19" s="142"/>
      <c r="AD19" s="149">
        <f>+AD22*AD18/10^6*10^3</f>
        <v>0.57704640000000007</v>
      </c>
      <c r="AE19" s="142"/>
      <c r="AF19" s="149">
        <f>+AF22*AF18/10^6*10^3</f>
        <v>0.57734400000000008</v>
      </c>
      <c r="AG19" s="142"/>
      <c r="AH19" s="149">
        <f>+AH22*AH18/10^6*10^3</f>
        <v>0.21568839999999997</v>
      </c>
      <c r="AI19" s="142"/>
      <c r="AJ19" s="149">
        <f>+AJ22*AJ18/10^6*10^3</f>
        <v>0.57377280000000008</v>
      </c>
      <c r="AK19" s="142"/>
      <c r="AL19" s="149">
        <f>+AL22*AL18/10^6*10^3</f>
        <v>0.17584192000000001</v>
      </c>
      <c r="AM19" s="140"/>
      <c r="AN19" s="11"/>
    </row>
    <row r="20" spans="1:40" s="1" customFormat="1" ht="15.9" customHeight="1" x14ac:dyDescent="0.25">
      <c r="A20" s="91"/>
      <c r="B20" s="478"/>
      <c r="C20" s="479"/>
      <c r="D20" s="143" t="s">
        <v>32</v>
      </c>
      <c r="E20" s="140"/>
      <c r="F20" s="150"/>
      <c r="G20" s="142"/>
      <c r="H20" s="144"/>
      <c r="I20" s="144"/>
      <c r="J20" s="151">
        <f>IF(J19="","",J19/1000*0.7457*453.59245)</f>
        <v>0.16912194498250002</v>
      </c>
      <c r="K20" s="149"/>
      <c r="L20" s="152">
        <f>IF(L19="","",L19/1000*0.7457*453.59245)</f>
        <v>0.50398339604785003</v>
      </c>
      <c r="M20" s="153"/>
      <c r="N20" s="152">
        <f>+'Tb03-Engines'!B215</f>
        <v>2</v>
      </c>
      <c r="O20" s="153"/>
      <c r="P20" s="152">
        <f>+'Tb03-Engines'!B311</f>
        <v>0.5</v>
      </c>
      <c r="Q20" s="153"/>
      <c r="R20" s="149">
        <f>+'Tb03-Engines'!B405</f>
        <v>4.57</v>
      </c>
      <c r="S20" s="149"/>
      <c r="T20" s="152">
        <f>+'Tb03-Engines'!B454</f>
        <v>0.4</v>
      </c>
      <c r="U20" s="154"/>
      <c r="V20" s="155"/>
      <c r="W20" s="142"/>
      <c r="X20" s="144"/>
      <c r="Y20" s="142"/>
      <c r="Z20" s="144"/>
      <c r="AA20" s="142"/>
      <c r="AB20" s="144"/>
      <c r="AC20" s="142"/>
      <c r="AD20" s="144"/>
      <c r="AE20" s="142"/>
      <c r="AF20" s="144"/>
      <c r="AG20" s="142"/>
      <c r="AH20" s="144"/>
      <c r="AI20" s="142"/>
      <c r="AJ20" s="144"/>
      <c r="AK20" s="142"/>
      <c r="AL20" s="144"/>
      <c r="AM20" s="140"/>
      <c r="AN20" s="11"/>
    </row>
    <row r="21" spans="1:40" s="1" customFormat="1" ht="15.9" customHeight="1" x14ac:dyDescent="0.25">
      <c r="A21" s="91"/>
      <c r="B21" s="478"/>
      <c r="C21" s="479"/>
      <c r="D21" s="143" t="s">
        <v>33</v>
      </c>
      <c r="E21" s="156"/>
      <c r="F21" s="150">
        <f>+'TB02-Fuel Cells'!B19</f>
        <v>1.6</v>
      </c>
      <c r="G21" s="157"/>
      <c r="H21" s="144">
        <f>+'TB02-Fuel Cells'!B73</f>
        <v>0.9</v>
      </c>
      <c r="I21" s="144"/>
      <c r="J21" s="150"/>
      <c r="K21" s="158"/>
      <c r="L21" s="143"/>
      <c r="M21" s="142"/>
      <c r="N21" s="159"/>
      <c r="O21" s="142"/>
      <c r="P21" s="143"/>
      <c r="Q21" s="142"/>
      <c r="R21" s="144"/>
      <c r="S21" s="144"/>
      <c r="T21" s="143"/>
      <c r="U21" s="140"/>
      <c r="V21" s="155">
        <v>9</v>
      </c>
      <c r="W21" s="142"/>
      <c r="X21" s="160">
        <f>+'TB04-Turbines'!B71</f>
        <v>15</v>
      </c>
      <c r="Y21" s="142"/>
      <c r="Z21" s="160">
        <f>+'TB04-Turbines'!B120</f>
        <v>15</v>
      </c>
      <c r="AA21" s="142"/>
      <c r="AB21" s="160">
        <f>+'TB04-Turbines'!B169</f>
        <v>15</v>
      </c>
      <c r="AC21" s="157"/>
      <c r="AD21" s="161">
        <f>+'TB04-Turbines'!B219</f>
        <v>15</v>
      </c>
      <c r="AE21" s="142"/>
      <c r="AF21" s="162" t="str">
        <f>+'TB04-Turbines'!B271</f>
        <v>≤ 15</v>
      </c>
      <c r="AG21" s="142"/>
      <c r="AH21" s="162" t="str">
        <f>+'TB04-Turbines'!B313</f>
        <v>≤ 9</v>
      </c>
      <c r="AI21" s="142"/>
      <c r="AJ21" s="161">
        <f>+'TB04-Turbines'!B364</f>
        <v>15</v>
      </c>
      <c r="AK21" s="142"/>
      <c r="AL21" s="144">
        <v>5</v>
      </c>
      <c r="AM21" s="140"/>
      <c r="AN21" s="11"/>
    </row>
    <row r="22" spans="1:40" s="6" customFormat="1" ht="15.9" customHeight="1" x14ac:dyDescent="0.25">
      <c r="A22" s="163"/>
      <c r="B22" s="478"/>
      <c r="C22" s="479"/>
      <c r="D22" s="164" t="s">
        <v>36</v>
      </c>
      <c r="E22" s="165"/>
      <c r="F22" s="166">
        <f>+IF(F19="","",F19/1000/F18*10^6)</f>
        <v>5.6268693918245264E-3</v>
      </c>
      <c r="G22" s="167"/>
      <c r="H22" s="168">
        <f>+IF(H19="","",H19/1000/H18*10^6)</f>
        <v>3.3338607594936716E-3</v>
      </c>
      <c r="I22" s="169"/>
      <c r="J22" s="166">
        <f>+IF(J19="","",J19/1000/J18*10^6)</f>
        <v>5.0679099939185075E-2</v>
      </c>
      <c r="K22" s="170"/>
      <c r="L22" s="171">
        <f>+IF(L19="","",L19/1000/L18*10^6)</f>
        <v>0.15266393442622953</v>
      </c>
      <c r="M22" s="172"/>
      <c r="N22" s="171">
        <f>+IF(N19="","",N19/1000/N18*10^6)</f>
        <v>0.54436594108226566</v>
      </c>
      <c r="O22" s="172"/>
      <c r="P22" s="171">
        <f>+IF(P19="","",P19/1000/P18*10^6)</f>
        <v>0.14557989662729745</v>
      </c>
      <c r="Q22" s="172"/>
      <c r="R22" s="168">
        <f>+IF(R19="","",R19/1000/R18*10^6)</f>
        <v>1.3511019798154387</v>
      </c>
      <c r="S22" s="169"/>
      <c r="T22" s="171">
        <f>+IF(T19="","",T19/1000/T18*10^6)</f>
        <v>0.12380953706218532</v>
      </c>
      <c r="U22" s="173"/>
      <c r="V22" s="174">
        <f>+IF(V19="","",V19/1000/V18*10^6)</f>
        <v>4.4116030534351154E-2</v>
      </c>
      <c r="W22" s="172"/>
      <c r="X22" s="168">
        <f>0.05952*0.903</f>
        <v>5.3746560000000006E-2</v>
      </c>
      <c r="Y22" s="172"/>
      <c r="Z22" s="168">
        <f>0.05952*0.903</f>
        <v>5.3746560000000006E-2</v>
      </c>
      <c r="AA22" s="172"/>
      <c r="AB22" s="168">
        <f>0.05952*0.903</f>
        <v>5.3746560000000006E-2</v>
      </c>
      <c r="AC22" s="167"/>
      <c r="AD22" s="168">
        <f>0.05952*0.903</f>
        <v>5.3746560000000006E-2</v>
      </c>
      <c r="AE22" s="172"/>
      <c r="AF22" s="168">
        <f>0.05952*0.903</f>
        <v>5.3746560000000006E-2</v>
      </c>
      <c r="AG22" s="172"/>
      <c r="AH22" s="168">
        <f>0.03571*0.903</f>
        <v>3.2246129999999998E-2</v>
      </c>
      <c r="AI22" s="172"/>
      <c r="AJ22" s="168">
        <f>0.05952*0.903</f>
        <v>5.3746560000000006E-2</v>
      </c>
      <c r="AK22" s="172"/>
      <c r="AL22" s="168">
        <f>0.01984*0.903</f>
        <v>1.7915520000000001E-2</v>
      </c>
      <c r="AM22" s="173"/>
      <c r="AN22" s="175"/>
    </row>
    <row r="23" spans="1:40" s="1" customFormat="1" ht="15.9" customHeight="1" x14ac:dyDescent="0.25">
      <c r="A23" s="91"/>
      <c r="B23" s="478"/>
      <c r="C23" s="479"/>
      <c r="D23" s="143" t="s">
        <v>37</v>
      </c>
      <c r="E23" s="483"/>
      <c r="F23" s="150">
        <f>+IF(F22="","",F22*F$18*F$17*24/10^6)</f>
        <v>0.15</v>
      </c>
      <c r="G23" s="142"/>
      <c r="H23" s="152">
        <f>+IF(H22="","",H22*H$18*H$17*24/10^6)</f>
        <v>0.16800000000000007</v>
      </c>
      <c r="I23" s="144"/>
      <c r="J23" s="141">
        <f>+IF(J22="","",J22*J$18*J$17*24/10^6)</f>
        <v>7.4999999999999982</v>
      </c>
      <c r="K23" s="144"/>
      <c r="L23" s="145">
        <f>+IF(L22="","",L22*L$18*L$17*24/10^6)</f>
        <v>37.548000000000009</v>
      </c>
      <c r="M23" s="142"/>
      <c r="N23" s="145">
        <f>+IF(N22="","",N22*N$18*N$17*24/10^6)</f>
        <v>109.27026650451678</v>
      </c>
      <c r="O23" s="142"/>
      <c r="P23" s="145">
        <f>+IF(P22="","",P22*P$18*P$17*24/10^6)</f>
        <v>82.839633859755423</v>
      </c>
      <c r="Q23" s="142"/>
      <c r="R23" s="146">
        <f>+IF(R22="","",R22*R$18*R$17*24/10^6)</f>
        <v>531.79142428444959</v>
      </c>
      <c r="S23" s="144"/>
      <c r="T23" s="145">
        <f>+IF(T22="","",T22*T$18*T$17*24/10^6)</f>
        <v>58.182869177729714</v>
      </c>
      <c r="U23" s="140"/>
      <c r="V23" s="176">
        <f>+IF(V22="","",V22*V$18*V$17*24/10^6)</f>
        <v>0.4608000000000001</v>
      </c>
      <c r="W23" s="142"/>
      <c r="X23" s="177">
        <f>+IF(X22="","",X22*X$18*X$17*24/10^6)</f>
        <v>76.420823040000002</v>
      </c>
      <c r="Y23" s="178"/>
      <c r="Z23" s="177">
        <f>+IF(Z22="","",Z22*Z$18*Z$17*24/10^6)</f>
        <v>87.717385728000011</v>
      </c>
      <c r="AA23" s="178"/>
      <c r="AB23" s="177">
        <f>+IF(AB22="","",AB22*AB$18*AB$17*24/10^6)</f>
        <v>168.05031552000003</v>
      </c>
      <c r="AC23" s="178"/>
      <c r="AD23" s="179">
        <f>+IF(AD22="","",AD22*AD$18*AD$17*24/10^6)</f>
        <v>207.73670400000006</v>
      </c>
      <c r="AE23" s="178"/>
      <c r="AF23" s="179">
        <f>+IF(AF22="","",AF22*AF$18*AF$17*24/10^6)</f>
        <v>199.53008640000002</v>
      </c>
      <c r="AG23" s="178"/>
      <c r="AH23" s="180">
        <f>+IF(AH22="","",AH22*AH$18*AH$17*24/10^6)</f>
        <v>2743.0387958399997</v>
      </c>
      <c r="AI23" s="181"/>
      <c r="AJ23" s="180">
        <f>+IF(AJ22="","",AJ22*AJ$18*AJ$17*24/10^6)</f>
        <v>1061.70918912</v>
      </c>
      <c r="AK23" s="178"/>
      <c r="AL23" s="179">
        <f>+IF(AL22="","",AL22*AL$18*AL$17*24/10^6)</f>
        <v>19.412947968000001</v>
      </c>
      <c r="AM23" s="182"/>
      <c r="AN23" s="11"/>
    </row>
    <row r="24" spans="1:40" s="1" customFormat="1" ht="15.9" customHeight="1" x14ac:dyDescent="0.25">
      <c r="A24" s="91"/>
      <c r="B24" s="480"/>
      <c r="C24" s="481"/>
      <c r="D24" s="118" t="s">
        <v>275</v>
      </c>
      <c r="E24" s="485"/>
      <c r="F24" s="183">
        <f>+IF(F23="","",F23*365/2000)</f>
        <v>2.7375E-2</v>
      </c>
      <c r="G24" s="184"/>
      <c r="H24" s="185">
        <f>+IF(H23="","",H23*365/2000)</f>
        <v>3.066000000000001E-2</v>
      </c>
      <c r="I24" s="186"/>
      <c r="J24" s="187">
        <f>+IF(J23="","",J23*365/2000)</f>
        <v>1.3687499999999997</v>
      </c>
      <c r="K24" s="186"/>
      <c r="L24" s="188">
        <f>+IF(L23="","",L23*365/2000)</f>
        <v>6.8525100000000023</v>
      </c>
      <c r="M24" s="184"/>
      <c r="N24" s="188">
        <f>+IF(N23="","",N23*365/2000)</f>
        <v>19.941823637074314</v>
      </c>
      <c r="O24" s="184"/>
      <c r="P24" s="188">
        <f>+IF(P23="","",P23*365/2000)</f>
        <v>15.118233179405363</v>
      </c>
      <c r="Q24" s="184"/>
      <c r="R24" s="189">
        <f>+IF(R23="","",R23*365/2000)</f>
        <v>97.051934931912058</v>
      </c>
      <c r="S24" s="186"/>
      <c r="T24" s="188">
        <f>+IF(T23="","",T23*365/2000)</f>
        <v>10.618373624935673</v>
      </c>
      <c r="U24" s="190"/>
      <c r="V24" s="191">
        <f>+IF(V23="","",V23*365/2000)</f>
        <v>8.4096000000000018E-2</v>
      </c>
      <c r="W24" s="184"/>
      <c r="X24" s="192">
        <f>+IF(X23="","",X23*365/2000)</f>
        <v>13.946800204800001</v>
      </c>
      <c r="Y24" s="193"/>
      <c r="Z24" s="192">
        <f>+IF(Z23="","",Z23*365/2000)</f>
        <v>16.008422895360003</v>
      </c>
      <c r="AA24" s="193"/>
      <c r="AB24" s="192">
        <f>+IF(AB23="","",AB23*365/2000)</f>
        <v>30.669182582400005</v>
      </c>
      <c r="AC24" s="193"/>
      <c r="AD24" s="194">
        <f>+IF(AD23="","",AD23*365/2000)</f>
        <v>37.911948480000014</v>
      </c>
      <c r="AE24" s="193"/>
      <c r="AF24" s="194">
        <f>+IF(AF23="","",AF23*365/2000)</f>
        <v>36.414240768000006</v>
      </c>
      <c r="AG24" s="193"/>
      <c r="AH24" s="194">
        <f>+IF(AH23="","",AH23*365/2000)</f>
        <v>500.60458024079992</v>
      </c>
      <c r="AI24" s="193"/>
      <c r="AJ24" s="194">
        <f>+IF(AJ23="","",AJ23*365/2000)</f>
        <v>193.76192701439999</v>
      </c>
      <c r="AK24" s="193"/>
      <c r="AL24" s="194">
        <f>+IF(AL23="","",AL23*365/2000)</f>
        <v>3.5428630041600004</v>
      </c>
      <c r="AM24" s="195"/>
      <c r="AN24" s="11"/>
    </row>
    <row r="25" spans="1:40" s="1" customFormat="1" ht="15.9" customHeight="1" x14ac:dyDescent="0.25">
      <c r="A25" s="91"/>
      <c r="B25" s="466" t="s">
        <v>35</v>
      </c>
      <c r="C25" s="467"/>
      <c r="D25" s="196" t="s">
        <v>36</v>
      </c>
      <c r="E25" s="197"/>
      <c r="F25" s="198">
        <f>+'TB02-Fuel Cells'!B21</f>
        <v>5.9999999999999995E-4</v>
      </c>
      <c r="G25" s="199"/>
      <c r="H25" s="196">
        <f>+'TB02-Fuel Cells'!B75</f>
        <v>5.9999999999999995E-4</v>
      </c>
      <c r="I25" s="200"/>
      <c r="J25" s="201">
        <f>+'Tb03-Engines'!B27</f>
        <v>5.8799999999999998E-4</v>
      </c>
      <c r="K25" s="200"/>
      <c r="L25" s="202">
        <f>+'Tb03-Engines'!B125</f>
        <v>5.8799999999999998E-4</v>
      </c>
      <c r="M25" s="203"/>
      <c r="N25" s="202">
        <f>+'Tb03-Engines'!B219</f>
        <v>5.8799999999999998E-4</v>
      </c>
      <c r="O25" s="203"/>
      <c r="P25" s="202">
        <f>+'Tb03-Engines'!B313</f>
        <v>5.8799999999999998E-4</v>
      </c>
      <c r="Q25" s="203"/>
      <c r="R25" s="204">
        <f>+'Tb03-Engines'!B409</f>
        <v>1.5252854812398044E-3</v>
      </c>
      <c r="S25" s="200"/>
      <c r="T25" s="202">
        <f>+'Tb03-Engines'!B458</f>
        <v>1.5252854812398042E-3</v>
      </c>
      <c r="U25" s="197"/>
      <c r="V25" s="205">
        <f>+'TB04-Turbines'!B22</f>
        <v>3.3999999999999998E-3</v>
      </c>
      <c r="W25" s="199"/>
      <c r="X25" s="200">
        <f>+'TB04-Turbines'!B73</f>
        <v>3.3999999999999998E-3</v>
      </c>
      <c r="Y25" s="199"/>
      <c r="Z25" s="200">
        <f>+'TB04-Turbines'!B122</f>
        <v>3.3999999999999998E-3</v>
      </c>
      <c r="AA25" s="199"/>
      <c r="AB25" s="196">
        <f>+'TB04-Turbines'!B171</f>
        <v>3.3999999999999998E-3</v>
      </c>
      <c r="AC25" s="199"/>
      <c r="AD25" s="196">
        <f>+'TB04-Turbines'!B221</f>
        <v>3.3999999999999998E-3</v>
      </c>
      <c r="AE25" s="199"/>
      <c r="AF25" s="196">
        <f>+'TB04-Turbines'!B273</f>
        <v>3.3999999999999998E-3</v>
      </c>
      <c r="AG25" s="199"/>
      <c r="AH25" s="196">
        <f>+'TB04-Turbines'!B315</f>
        <v>5.9999999999999995E-4</v>
      </c>
      <c r="AI25" s="199"/>
      <c r="AJ25" s="196">
        <f>+'TB04-Turbines'!B366</f>
        <v>5.9999999999999995E-4</v>
      </c>
      <c r="AK25" s="199"/>
      <c r="AL25" s="196">
        <f>+'TB04-Turbines'!B416</f>
        <v>3.3999999999999998E-3</v>
      </c>
      <c r="AM25" s="197"/>
      <c r="AN25" s="11"/>
    </row>
    <row r="26" spans="1:40" s="1" customFormat="1" ht="15.9" customHeight="1" x14ac:dyDescent="0.25">
      <c r="A26" s="91"/>
      <c r="B26" s="468"/>
      <c r="C26" s="469"/>
      <c r="D26" s="143" t="s">
        <v>37</v>
      </c>
      <c r="E26" s="483"/>
      <c r="F26" s="206">
        <f>+IF(F25="","",F25*F$18*F$17*24/10^6)</f>
        <v>1.5994684385382062E-2</v>
      </c>
      <c r="G26" s="144"/>
      <c r="H26" s="207">
        <f>+IF(H25="","",H25*H$18*H$17*24/10^6)</f>
        <v>3.0235215946843849E-2</v>
      </c>
      <c r="I26" s="144"/>
      <c r="J26" s="206">
        <f>+IF(J25="","",J25*J$18*J$17*24/10^6)</f>
        <v>8.701811999999999E-2</v>
      </c>
      <c r="K26" s="144"/>
      <c r="L26" s="207">
        <f>+IF(L25="","",L25*L$18*L$17*24/10^6)</f>
        <v>0.14461977599999998</v>
      </c>
      <c r="M26" s="142"/>
      <c r="N26" s="207">
        <f>+IF(N25="","",N25*N$18*N$17*24/10^6)</f>
        <v>0.11802890639505705</v>
      </c>
      <c r="O26" s="142"/>
      <c r="P26" s="207">
        <f>+IF(P25="","",P25*P$18*P$17*24/10^6)</f>
        <v>0.33459087303955887</v>
      </c>
      <c r="Q26" s="142"/>
      <c r="R26" s="208">
        <f>+IF(R25="","",R25*R$18*R$17*24/10^6)</f>
        <v>0.60034975200000007</v>
      </c>
      <c r="S26" s="144"/>
      <c r="T26" s="207">
        <f>+IF(T25="","",T25*T$18*T$17*24/10^6)</f>
        <v>0.71679038399999984</v>
      </c>
      <c r="U26" s="140"/>
      <c r="V26" s="209">
        <f>+IF(V25="","",V25*V$18*V$17*24/10^6)</f>
        <v>3.5513621262458467E-2</v>
      </c>
      <c r="W26" s="142"/>
      <c r="X26" s="149">
        <f>+IF(X25="","",X25*X$18*X$17*24/10^6)</f>
        <v>4.8343707641196012</v>
      </c>
      <c r="Y26" s="153"/>
      <c r="Z26" s="149">
        <f>+IF(Z25="","",Z25*Z$18*Z$17*24/10^6)</f>
        <v>5.5489897674418591</v>
      </c>
      <c r="AA26" s="153"/>
      <c r="AB26" s="152">
        <f>+IF(AB25="","",AB25*AB$18*AB$17*24/10^6)</f>
        <v>10.630839867109634</v>
      </c>
      <c r="AC26" s="149"/>
      <c r="AD26" s="152">
        <f>+IF(AD25="","",AD25*AD$18*AD$17*24/10^6)</f>
        <v>13.141395348837207</v>
      </c>
      <c r="AE26" s="153"/>
      <c r="AF26" s="152">
        <f>+IF(AF25="","",AF25*AF$18*AF$17*24/10^6)</f>
        <v>12.62224584717608</v>
      </c>
      <c r="AG26" s="153"/>
      <c r="AH26" s="152">
        <f>+IF(AH25="","",AH25*AH$18*AH$17*24/10^6)</f>
        <v>51.039404651162783</v>
      </c>
      <c r="AI26" s="153"/>
      <c r="AJ26" s="152">
        <f>+IF(AJ25="","",AJ25*AJ$18*AJ$17*24/10^6)</f>
        <v>11.852396013289034</v>
      </c>
      <c r="AK26" s="153"/>
      <c r="AL26" s="152">
        <f>+IF(AL25="","",AL25*AL$18*AL$17*24/10^6)</f>
        <v>3.6841812624584716</v>
      </c>
      <c r="AM26" s="140"/>
      <c r="AN26" s="11"/>
    </row>
    <row r="27" spans="1:40" s="1" customFormat="1" ht="15.9" customHeight="1" x14ac:dyDescent="0.25">
      <c r="A27" s="91"/>
      <c r="B27" s="470"/>
      <c r="C27" s="471"/>
      <c r="D27" s="118" t="s">
        <v>38</v>
      </c>
      <c r="E27" s="485"/>
      <c r="F27" s="210">
        <f>+IF(F26="","",F26*365/2000)</f>
        <v>2.9190299003322264E-3</v>
      </c>
      <c r="G27" s="186"/>
      <c r="H27" s="211">
        <f>+IF(H26="","",H26*365/2000)</f>
        <v>5.5179269102990022E-3</v>
      </c>
      <c r="I27" s="186"/>
      <c r="J27" s="210">
        <f>+IF(J26="","",J26*365/2000)</f>
        <v>1.5880806899999999E-2</v>
      </c>
      <c r="K27" s="186"/>
      <c r="L27" s="211">
        <f>+IF(L26="","",L26*365/2000)</f>
        <v>2.6393109119999994E-2</v>
      </c>
      <c r="M27" s="184"/>
      <c r="N27" s="211">
        <f>+IF(N26="","",N26*365/2000)</f>
        <v>2.1540275417097909E-2</v>
      </c>
      <c r="O27" s="184"/>
      <c r="P27" s="211">
        <f>+IF(P26="","",P26*365/2000)</f>
        <v>6.1062834329719491E-2</v>
      </c>
      <c r="Q27" s="184"/>
      <c r="R27" s="212">
        <f>+IF(R26="","",R26*365/2000)</f>
        <v>0.10956382974000002</v>
      </c>
      <c r="S27" s="186"/>
      <c r="T27" s="211">
        <f>+IF(T26="","",T26*365/2000)</f>
        <v>0.13081424507999997</v>
      </c>
      <c r="U27" s="190"/>
      <c r="V27" s="213">
        <f>+IF(V26="","",V26*365/2000)</f>
        <v>6.4812358803986699E-3</v>
      </c>
      <c r="W27" s="184"/>
      <c r="X27" s="214">
        <f>+IF(X26="","",X26*365/2000)</f>
        <v>0.88227266445182728</v>
      </c>
      <c r="Y27" s="215"/>
      <c r="Z27" s="214">
        <f>+IF(Z26="","",Z26*365/2000)</f>
        <v>1.0126906325581393</v>
      </c>
      <c r="AA27" s="215"/>
      <c r="AB27" s="216">
        <f>+IF(AB26="","",AB26*365/2000)</f>
        <v>1.9401282757475082</v>
      </c>
      <c r="AC27" s="214"/>
      <c r="AD27" s="216">
        <f>+IF(AD26="","",AD26*365/2000)</f>
        <v>2.3983046511627903</v>
      </c>
      <c r="AE27" s="215"/>
      <c r="AF27" s="216">
        <f>+IF(AF26="","",AF26*365/2000)</f>
        <v>2.3035598671096347</v>
      </c>
      <c r="AG27" s="215"/>
      <c r="AH27" s="216">
        <f>+IF(AH26="","",AH26*365/2000)</f>
        <v>9.3146913488372078</v>
      </c>
      <c r="AI27" s="215"/>
      <c r="AJ27" s="216">
        <f>+IF(AJ26="","",AJ26*365/2000)</f>
        <v>2.1630622724252491</v>
      </c>
      <c r="AK27" s="215"/>
      <c r="AL27" s="216">
        <f>+IF(AL26="","",AL26*365/2000)</f>
        <v>0.6723630803986711</v>
      </c>
      <c r="AM27" s="190"/>
      <c r="AN27" s="11"/>
    </row>
    <row r="28" spans="1:40" s="1" customFormat="1" ht="15.9" customHeight="1" x14ac:dyDescent="0.25">
      <c r="A28" s="91"/>
      <c r="B28" s="466" t="s">
        <v>39</v>
      </c>
      <c r="C28" s="467"/>
      <c r="D28" s="139" t="s">
        <v>32</v>
      </c>
      <c r="E28" s="217"/>
      <c r="F28" s="218" t="s">
        <v>45</v>
      </c>
      <c r="G28" s="219"/>
      <c r="H28" s="220" t="s">
        <v>45</v>
      </c>
      <c r="I28" s="221"/>
      <c r="J28" s="222">
        <f>+'Tb03-Engines'!B31</f>
        <v>6.4773386979040934E-2</v>
      </c>
      <c r="K28" s="221"/>
      <c r="L28" s="223">
        <f>+'Tb03-Engines'!B129</f>
        <v>3.2970017401861847E-2</v>
      </c>
      <c r="M28" s="224"/>
      <c r="N28" s="223">
        <f>+'Tb03-Engines'!B223</f>
        <v>3.6692596822440554E-2</v>
      </c>
      <c r="O28" s="224"/>
      <c r="P28" s="223">
        <f>+'Tb03-Engines'!B317</f>
        <v>3.4301095932112849E-2</v>
      </c>
      <c r="Q28" s="224"/>
      <c r="R28" s="225">
        <f>+'Tb03-Engines'!B411</f>
        <v>0.13</v>
      </c>
      <c r="S28" s="221"/>
      <c r="T28" s="223">
        <f>+'Tb03-Engines'!B460</f>
        <v>0.01</v>
      </c>
      <c r="U28" s="217"/>
      <c r="V28" s="218"/>
      <c r="W28" s="148"/>
      <c r="X28" s="221"/>
      <c r="Y28" s="148"/>
      <c r="Z28" s="221"/>
      <c r="AA28" s="148"/>
      <c r="AB28" s="139"/>
      <c r="AC28" s="148"/>
      <c r="AD28" s="221"/>
      <c r="AE28" s="148"/>
      <c r="AF28" s="139"/>
      <c r="AG28" s="148"/>
      <c r="AH28" s="226"/>
      <c r="AI28" s="148"/>
      <c r="AJ28" s="226"/>
      <c r="AK28" s="148"/>
      <c r="AL28" s="139"/>
      <c r="AM28" s="217"/>
      <c r="AN28" s="11"/>
    </row>
    <row r="29" spans="1:40" s="1" customFormat="1" ht="15.9" customHeight="1" x14ac:dyDescent="0.25">
      <c r="A29" s="91"/>
      <c r="B29" s="468"/>
      <c r="C29" s="469"/>
      <c r="D29" s="143" t="s">
        <v>33</v>
      </c>
      <c r="E29" s="140"/>
      <c r="F29" s="155">
        <v>0</v>
      </c>
      <c r="G29" s="162"/>
      <c r="H29" s="227">
        <v>0</v>
      </c>
      <c r="I29" s="144"/>
      <c r="J29" s="150"/>
      <c r="K29" s="144"/>
      <c r="L29" s="143"/>
      <c r="M29" s="142"/>
      <c r="N29" s="143"/>
      <c r="O29" s="142"/>
      <c r="P29" s="143"/>
      <c r="Q29" s="142"/>
      <c r="R29" s="144"/>
      <c r="S29" s="144"/>
      <c r="T29" s="143"/>
      <c r="U29" s="140"/>
      <c r="V29" s="155"/>
      <c r="W29" s="142"/>
      <c r="X29" s="144"/>
      <c r="Y29" s="142"/>
      <c r="Z29" s="144"/>
      <c r="AA29" s="142"/>
      <c r="AB29" s="143"/>
      <c r="AC29" s="142"/>
      <c r="AD29" s="144"/>
      <c r="AE29" s="142"/>
      <c r="AF29" s="143"/>
      <c r="AG29" s="142"/>
      <c r="AH29" s="143"/>
      <c r="AI29" s="142"/>
      <c r="AJ29" s="143"/>
      <c r="AK29" s="142"/>
      <c r="AL29" s="143"/>
      <c r="AM29" s="140"/>
      <c r="AN29" s="11"/>
    </row>
    <row r="30" spans="1:40" s="1" customFormat="1" ht="15.9" customHeight="1" x14ac:dyDescent="0.25">
      <c r="A30" s="91"/>
      <c r="B30" s="468"/>
      <c r="C30" s="469"/>
      <c r="D30" s="228" t="s">
        <v>36</v>
      </c>
      <c r="E30" s="229"/>
      <c r="F30" s="230">
        <v>0</v>
      </c>
      <c r="G30" s="231"/>
      <c r="H30" s="232">
        <v>0</v>
      </c>
      <c r="I30" s="233"/>
      <c r="J30" s="234">
        <f>+IF(J28="","",J28/453.59245/0.7457/J18*10^6)</f>
        <v>1.941E-2</v>
      </c>
      <c r="K30" s="233"/>
      <c r="L30" s="235">
        <f>+IF(L28="","",L28/453.59245/0.7457/L18*10^6)</f>
        <v>9.9871000000000005E-3</v>
      </c>
      <c r="M30" s="236"/>
      <c r="N30" s="235">
        <f>+IF(N28="","",N28/453.59245/0.7457/N18*10^6)</f>
        <v>9.9871000000000022E-3</v>
      </c>
      <c r="O30" s="236"/>
      <c r="P30" s="235">
        <f>+IF(P28="","",P28/453.59245/0.7457/P18*10^6)</f>
        <v>9.9871000000000005E-3</v>
      </c>
      <c r="Q30" s="236"/>
      <c r="R30" s="237">
        <f>+IF(R28="","",R28/453.59245/0.7457/R18*10^6)</f>
        <v>3.8433973167616417E-2</v>
      </c>
      <c r="S30" s="233"/>
      <c r="T30" s="235">
        <f>+IF(T28="","",T28/453.59245/0.7457/T18*10^6)</f>
        <v>3.0952384265546329E-3</v>
      </c>
      <c r="U30" s="229"/>
      <c r="V30" s="238">
        <f>+'TB04-Turbines'!B24</f>
        <v>6.6E-3</v>
      </c>
      <c r="W30" s="239"/>
      <c r="X30" s="240">
        <f>+'TB04-Turbines'!B75</f>
        <v>1.7999999999999999E-2</v>
      </c>
      <c r="Y30" s="236"/>
      <c r="Z30" s="240">
        <f>+'TB04-Turbines'!B124</f>
        <v>1.7999999999999999E-2</v>
      </c>
      <c r="AA30" s="236"/>
      <c r="AB30" s="241">
        <f>+'TB04-Turbines'!B173</f>
        <v>1.7999999999999999E-2</v>
      </c>
      <c r="AC30" s="236"/>
      <c r="AD30" s="240">
        <f>+'TB04-Turbines'!B223</f>
        <v>1.7999999999999999E-2</v>
      </c>
      <c r="AE30" s="236"/>
      <c r="AF30" s="228"/>
      <c r="AG30" s="236"/>
      <c r="AH30" s="241">
        <f>+'TB04-Turbines'!B317</f>
        <v>6.6E-3</v>
      </c>
      <c r="AI30" s="236"/>
      <c r="AJ30" s="241">
        <f>+'TB04-Turbines'!B368</f>
        <v>6.6E-3</v>
      </c>
      <c r="AK30" s="236"/>
      <c r="AL30" s="228">
        <f>+'TB04-Turbines'!B418</f>
        <v>1.7999999999999999E-2</v>
      </c>
      <c r="AM30" s="229"/>
      <c r="AN30" s="11"/>
    </row>
    <row r="31" spans="1:40" s="1" customFormat="1" ht="15.9" customHeight="1" x14ac:dyDescent="0.25">
      <c r="A31" s="91"/>
      <c r="B31" s="468"/>
      <c r="C31" s="469"/>
      <c r="D31" s="143" t="s">
        <v>37</v>
      </c>
      <c r="E31" s="483"/>
      <c r="F31" s="155" t="s">
        <v>45</v>
      </c>
      <c r="G31" s="162"/>
      <c r="H31" s="227" t="s">
        <v>45</v>
      </c>
      <c r="I31" s="144"/>
      <c r="J31" s="176">
        <f>+IF(J30="","",J30*J$18*J$17*24/10^6)</f>
        <v>2.8724859000000005</v>
      </c>
      <c r="K31" s="144"/>
      <c r="L31" s="242">
        <f>+IF(L30="","",L30*L$18*L$17*24/10^6)</f>
        <v>2.4563472192</v>
      </c>
      <c r="M31" s="142"/>
      <c r="N31" s="242">
        <f>+IF(N30="","",N30*N$18*N$17*24/10^6)</f>
        <v>2.0047049167654327</v>
      </c>
      <c r="O31" s="142"/>
      <c r="P31" s="242">
        <f>+IF(P30="","",P30*P$18*P$17*24/10^6)</f>
        <v>5.6829804560091475</v>
      </c>
      <c r="Q31" s="142"/>
      <c r="R31" s="243">
        <f>+IF(R30="","",R30*R$18*R$17*24/10^6)</f>
        <v>15.127545986209727</v>
      </c>
      <c r="S31" s="144"/>
      <c r="T31" s="242">
        <f>+IF(T30="","",T30*T$18*T$17*24/10^6)</f>
        <v>1.4545717294432428</v>
      </c>
      <c r="U31" s="140"/>
      <c r="V31" s="176">
        <f>+IF(V30="","",V30*V$18*V$17*24/10^6)</f>
        <v>6.8938205980066447E-2</v>
      </c>
      <c r="W31" s="142"/>
      <c r="X31" s="244">
        <f>+IF(X30="","",X30*X$18*X$17*24/10^6)</f>
        <v>25.593727574750829</v>
      </c>
      <c r="Y31" s="245"/>
      <c r="Z31" s="244">
        <f>+IF(Z30="","",Z30*Z$18*Z$17*24/10^6)</f>
        <v>29.377004651162789</v>
      </c>
      <c r="AA31" s="245"/>
      <c r="AB31" s="246">
        <f>+IF(AB30="","",AB30*AB$18*AB$17*24/10^6)</f>
        <v>56.280916943521603</v>
      </c>
      <c r="AC31" s="245"/>
      <c r="AD31" s="244">
        <f>+IF(AD30="","",AD30*AD$18*AD$17*24/10^6)</f>
        <v>69.572093023255803</v>
      </c>
      <c r="AE31" s="245"/>
      <c r="AF31" s="247"/>
      <c r="AG31" s="245"/>
      <c r="AH31" s="244">
        <f>+IF(AH30="","",AH30*AH$18*AH$17*24/10^6)</f>
        <v>561.43345116279067</v>
      </c>
      <c r="AI31" s="245"/>
      <c r="AJ31" s="244">
        <f>+IF(AJ30="","",AJ30*AJ$18*AJ$17*24/10^6)</f>
        <v>130.3763561461794</v>
      </c>
      <c r="AK31" s="245"/>
      <c r="AL31" s="244">
        <f>+IF(AL30="","",AL30*AL$18*AL$17*24/10^6)</f>
        <v>19.504489036544847</v>
      </c>
      <c r="AM31" s="140"/>
      <c r="AN31" s="11"/>
    </row>
    <row r="32" spans="1:40" s="1" customFormat="1" ht="15.9" customHeight="1" x14ac:dyDescent="0.25">
      <c r="A32" s="91"/>
      <c r="B32" s="470"/>
      <c r="C32" s="471"/>
      <c r="D32" s="118" t="s">
        <v>34</v>
      </c>
      <c r="E32" s="485"/>
      <c r="F32" s="248" t="s">
        <v>45</v>
      </c>
      <c r="G32" s="249"/>
      <c r="H32" s="250" t="s">
        <v>45</v>
      </c>
      <c r="I32" s="186"/>
      <c r="J32" s="251">
        <f>+IF(J31="","",J31*365/2000)</f>
        <v>0.52422867675000007</v>
      </c>
      <c r="K32" s="186"/>
      <c r="L32" s="252">
        <f>+IF(L31="","",L31*365/2000)</f>
        <v>0.448283367504</v>
      </c>
      <c r="M32" s="184"/>
      <c r="N32" s="252">
        <f>+IF(N31="","",N31*365/2000)</f>
        <v>0.36585864730969148</v>
      </c>
      <c r="O32" s="184"/>
      <c r="P32" s="252">
        <f>+IF(P31="","",P31*365/2000)</f>
        <v>1.0371439332216694</v>
      </c>
      <c r="Q32" s="184"/>
      <c r="R32" s="253">
        <f>+IF(R31="","",R31*365/2000)</f>
        <v>2.760777142483275</v>
      </c>
      <c r="S32" s="186"/>
      <c r="T32" s="252">
        <f>+IF(T31="","",T31*365/2000)</f>
        <v>0.26545934062339183</v>
      </c>
      <c r="U32" s="190"/>
      <c r="V32" s="191">
        <f>+IF(V31="","",V31*365/2000)</f>
        <v>1.2581222591362125E-2</v>
      </c>
      <c r="W32" s="184"/>
      <c r="X32" s="253">
        <f>+IF(X31="","",X31*365/2000)</f>
        <v>4.6708552823920266</v>
      </c>
      <c r="Y32" s="215"/>
      <c r="Z32" s="253">
        <f>+IF(Z31="","",Z31*365/2000)</f>
        <v>5.3613033488372093</v>
      </c>
      <c r="AA32" s="215"/>
      <c r="AB32" s="252">
        <f>+IF(AB31="","",AB31*365/2000)</f>
        <v>10.271267342192692</v>
      </c>
      <c r="AC32" s="215"/>
      <c r="AD32" s="253">
        <f>+IF(AD31="","",AD31*365/2000)</f>
        <v>12.696906976744183</v>
      </c>
      <c r="AE32" s="184"/>
      <c r="AF32" s="118"/>
      <c r="AG32" s="184"/>
      <c r="AH32" s="254">
        <f>+IF(AH31="","",AH31*365/2000)</f>
        <v>102.46160483720929</v>
      </c>
      <c r="AI32" s="255"/>
      <c r="AJ32" s="254">
        <f>+IF(AJ31="","",AJ31*365/2000)</f>
        <v>23.79368499667774</v>
      </c>
      <c r="AK32" s="184"/>
      <c r="AL32" s="253">
        <f>+IF(AL31="","",AL31*365/2000)</f>
        <v>3.5595692491694346</v>
      </c>
      <c r="AM32" s="190"/>
      <c r="AN32" s="11"/>
    </row>
    <row r="33" spans="1:40" s="1" customFormat="1" ht="15.9" customHeight="1" x14ac:dyDescent="0.25">
      <c r="A33" s="91"/>
      <c r="B33" s="476" t="s">
        <v>40</v>
      </c>
      <c r="C33" s="491"/>
      <c r="D33" s="164" t="s">
        <v>36</v>
      </c>
      <c r="E33" s="173"/>
      <c r="F33" s="256">
        <f>+'TB02-Fuel Cells'!B29</f>
        <v>116.88876030305552</v>
      </c>
      <c r="G33" s="169"/>
      <c r="H33" s="257">
        <f>+'TB02-Fuel Cells'!B83</f>
        <v>116.88876030305552</v>
      </c>
      <c r="I33" s="169"/>
      <c r="J33" s="256">
        <f>+'Tb03-Engines'!B45</f>
        <v>116.88</v>
      </c>
      <c r="K33" s="169"/>
      <c r="L33" s="257">
        <f>+'Tb03-Engines'!B143</f>
        <v>116.88</v>
      </c>
      <c r="M33" s="172"/>
      <c r="N33" s="257">
        <f>+'Tb03-Engines'!B229</f>
        <v>116.88</v>
      </c>
      <c r="O33" s="172"/>
      <c r="P33" s="257">
        <f>+'Tb03-Engines'!B323</f>
        <v>116.88</v>
      </c>
      <c r="Q33" s="172"/>
      <c r="R33" s="258">
        <f>+'Tb03-Engines'!B417</f>
        <v>161.41999999999999</v>
      </c>
      <c r="S33" s="169"/>
      <c r="T33" s="257">
        <f>+'Tb03-Engines'!B466</f>
        <v>161.41999999999999</v>
      </c>
      <c r="U33" s="173"/>
      <c r="V33" s="259">
        <f>+'TB04-Turbines'!B30</f>
        <v>116.88</v>
      </c>
      <c r="W33" s="172"/>
      <c r="X33" s="258">
        <f>+'TB04-Turbines'!B81</f>
        <v>116.88</v>
      </c>
      <c r="Y33" s="172"/>
      <c r="Z33" s="258">
        <f>+'TB04-Turbines'!B130</f>
        <v>116.95906432748538</v>
      </c>
      <c r="AA33" s="172"/>
      <c r="AB33" s="257">
        <f>+'TB04-Turbines'!B179</f>
        <v>116.99025081243229</v>
      </c>
      <c r="AC33" s="172"/>
      <c r="AD33" s="258">
        <f>+'TB04-Turbines'!B229</f>
        <v>116.88</v>
      </c>
      <c r="AE33" s="172"/>
      <c r="AF33" s="257">
        <f>+'TB04-Turbines'!B282</f>
        <v>116.88</v>
      </c>
      <c r="AG33" s="172"/>
      <c r="AH33" s="257">
        <f>+'TB04-Turbines'!B323</f>
        <v>116.88</v>
      </c>
      <c r="AI33" s="172"/>
      <c r="AJ33" s="257">
        <f>+'TB04-Turbines'!B374</f>
        <v>116.88</v>
      </c>
      <c r="AK33" s="172"/>
      <c r="AL33" s="257">
        <f>+'TB04-Turbines'!B424</f>
        <v>116.88</v>
      </c>
      <c r="AM33" s="173"/>
      <c r="AN33" s="11"/>
    </row>
    <row r="34" spans="1:40" s="1" customFormat="1" ht="15.9" customHeight="1" x14ac:dyDescent="0.25">
      <c r="A34" s="91"/>
      <c r="B34" s="478"/>
      <c r="C34" s="492"/>
      <c r="D34" s="143" t="s">
        <v>37</v>
      </c>
      <c r="E34" s="483"/>
      <c r="F34" s="161">
        <f>+IF(F33="","",F33*F$18*F$17*24/10^6)</f>
        <v>3115.9980487432476</v>
      </c>
      <c r="G34" s="144"/>
      <c r="H34" s="180">
        <f>+IF(H33="","",H33*H$18*H$17*24/10^6)</f>
        <v>5890.261515869588</v>
      </c>
      <c r="I34" s="144"/>
      <c r="J34" s="260">
        <f>+IF(J33="","",J33*J$18*J$17*24/10^6)</f>
        <v>17297.071199999995</v>
      </c>
      <c r="K34" s="144"/>
      <c r="L34" s="180">
        <f>+IF(L33="","",L33*L$18*L$17*24/10^6)</f>
        <v>28746.869760000001</v>
      </c>
      <c r="M34" s="142"/>
      <c r="N34" s="180">
        <f>+IF(N33="","",N33*N$18*N$17*24/10^6)</f>
        <v>23461.256087507256</v>
      </c>
      <c r="O34" s="142"/>
      <c r="P34" s="180">
        <f>+IF(P33="","",P33*P$18*P$17*24/10^6)</f>
        <v>66508.471498067433</v>
      </c>
      <c r="Q34" s="142"/>
      <c r="R34" s="161">
        <f>+IF(R33="","",R33*R$18*R$17*24/10^6)</f>
        <v>63534.635423835207</v>
      </c>
      <c r="S34" s="144"/>
      <c r="T34" s="180">
        <f>+IF(T33="","",T33*T$18*T$17*24/10^6)</f>
        <v>75857.474032488375</v>
      </c>
      <c r="U34" s="140"/>
      <c r="V34" s="261">
        <f>+IF(V33="","",V33*V$18*V$17*24/10^6)</f>
        <v>1220.8329568106312</v>
      </c>
      <c r="W34" s="142"/>
      <c r="X34" s="161">
        <f>+IF(X33="","",X33*X$18*X$17*24/10^6)</f>
        <v>166188.60438538206</v>
      </c>
      <c r="Y34" s="142"/>
      <c r="Z34" s="161">
        <f>+IF(Z33="","",Z33*Z$18*Z$17*24/10^6)</f>
        <v>190883.72093023255</v>
      </c>
      <c r="AA34" s="142"/>
      <c r="AB34" s="180">
        <f>+IF(AB33="","",AB33*AB$18*AB$17*24/10^6)</f>
        <v>365795.47717645898</v>
      </c>
      <c r="AC34" s="142"/>
      <c r="AD34" s="161">
        <f>+IF(AD33="","",AD33*AD$18*AD$17*24/10^6)</f>
        <v>451754.79069767433</v>
      </c>
      <c r="AE34" s="142"/>
      <c r="AF34" s="180">
        <f>+IF(AF33="","",AF33*AF$18*AF$17*24/10^6)</f>
        <v>433908.26312292356</v>
      </c>
      <c r="AG34" s="142"/>
      <c r="AH34" s="180">
        <f>+IF(AH33="","",AH33*AH$18*AH$17*24/10^6)</f>
        <v>9942476.0260465126</v>
      </c>
      <c r="AI34" s="142"/>
      <c r="AJ34" s="180">
        <f>+IF(AJ33="","",AJ33*AJ$18*AJ$17*24/10^6)</f>
        <v>2308846.743388704</v>
      </c>
      <c r="AK34" s="142"/>
      <c r="AL34" s="180">
        <f>+IF(AL33="","",AL33*AL$18*AL$17*24/10^6)</f>
        <v>126649.14881063123</v>
      </c>
      <c r="AM34" s="140"/>
      <c r="AN34" s="11"/>
    </row>
    <row r="35" spans="1:40" s="1" customFormat="1" ht="15.9" customHeight="1" x14ac:dyDescent="0.25">
      <c r="A35" s="91"/>
      <c r="B35" s="480"/>
      <c r="C35" s="493"/>
      <c r="D35" s="118" t="s">
        <v>38</v>
      </c>
      <c r="E35" s="485"/>
      <c r="F35" s="262">
        <f>+IF(F34="","",F34*365/2000)</f>
        <v>568.66964389564271</v>
      </c>
      <c r="G35" s="186"/>
      <c r="H35" s="263">
        <f>+IF(H34="","",H34*365/2000)</f>
        <v>1074.9727266461998</v>
      </c>
      <c r="I35" s="186"/>
      <c r="J35" s="264">
        <f>+IF(J34="","",J34*365/2000)</f>
        <v>3156.7154939999991</v>
      </c>
      <c r="K35" s="186"/>
      <c r="L35" s="263">
        <f>+IF(L34="","",L34*365/2000)</f>
        <v>5246.3037312000006</v>
      </c>
      <c r="M35" s="184"/>
      <c r="N35" s="263">
        <f>+IF(N34="","",N34*365/2000)</f>
        <v>4281.6792359700739</v>
      </c>
      <c r="O35" s="184"/>
      <c r="P35" s="263">
        <f>+IF(P34="","",P34*365/2000)</f>
        <v>12137.796048397306</v>
      </c>
      <c r="Q35" s="184"/>
      <c r="R35" s="262">
        <f>+IF(R34="","",R34*365/2000)</f>
        <v>11595.070964849925</v>
      </c>
      <c r="S35" s="186"/>
      <c r="T35" s="263">
        <f>+IF(T34="","",T34*365/2000)</f>
        <v>13843.989010929128</v>
      </c>
      <c r="U35" s="190"/>
      <c r="V35" s="265">
        <f>+IF(V34="","",V34*365/2000)</f>
        <v>222.80201461794022</v>
      </c>
      <c r="W35" s="184"/>
      <c r="X35" s="262">
        <f>+IF(X34="","",X34*365/2000)</f>
        <v>30329.420300332225</v>
      </c>
      <c r="Y35" s="184"/>
      <c r="Z35" s="262">
        <f>+IF(Z34="","",Z34*365/2000)</f>
        <v>34836.279069767435</v>
      </c>
      <c r="AA35" s="184"/>
      <c r="AB35" s="263">
        <f>+IF(AB34="","",AB34*365/2000)</f>
        <v>66757.674584703767</v>
      </c>
      <c r="AC35" s="184"/>
      <c r="AD35" s="262">
        <f>+IF(AD34="","",AD34*365/2000)</f>
        <v>82445.249302325567</v>
      </c>
      <c r="AE35" s="184"/>
      <c r="AF35" s="263">
        <f>+IF(AF34="","",AF34*365/2000)</f>
        <v>79188.25801993355</v>
      </c>
      <c r="AG35" s="184"/>
      <c r="AH35" s="263">
        <f>+IF(AH34="","",AH34*365/2000)</f>
        <v>1814501.8747534885</v>
      </c>
      <c r="AI35" s="184"/>
      <c r="AJ35" s="263">
        <f>+IF(AJ34="","",AJ34*365/2000)</f>
        <v>421364.53066843847</v>
      </c>
      <c r="AK35" s="184"/>
      <c r="AL35" s="263">
        <f>+IF(AL34="","",AL34*365/2000)</f>
        <v>23113.469657940201</v>
      </c>
      <c r="AM35" s="190"/>
      <c r="AN35" s="11"/>
    </row>
    <row r="36" spans="1:40" s="1" customFormat="1" ht="15.9" customHeight="1" x14ac:dyDescent="0.25">
      <c r="A36" s="91"/>
      <c r="B36" s="466" t="s">
        <v>41</v>
      </c>
      <c r="C36" s="467"/>
      <c r="D36" s="139" t="s">
        <v>44</v>
      </c>
      <c r="E36" s="266"/>
      <c r="F36" s="146">
        <f>+'TB02-Fuel Cells'!B25</f>
        <v>0.04</v>
      </c>
      <c r="G36" s="144"/>
      <c r="H36" s="267">
        <f>+'TB02-Fuel Cells'!B79</f>
        <v>4.2000000000000003E-2</v>
      </c>
      <c r="I36" s="144"/>
      <c r="J36" s="268">
        <f>+IF(J37="","",J37/453.59245/0.7457*1000)</f>
        <v>1.8700000000000006</v>
      </c>
      <c r="K36" s="144"/>
      <c r="L36" s="269">
        <f>+IF(L37="","",L37/453.59245/0.7457*1000)</f>
        <v>2.5721085459667101</v>
      </c>
      <c r="M36" s="142"/>
      <c r="N36" s="269">
        <f>+IF(N37="","",N37/453.59245/0.7457*1000)</f>
        <v>5.0259592277510423</v>
      </c>
      <c r="O36" s="142"/>
      <c r="P36" s="269">
        <f>+IF(P37="","",P37/453.59245/0.7457*1000)</f>
        <v>8.2780504927664218</v>
      </c>
      <c r="Q36" s="142"/>
      <c r="R36" s="270">
        <f>+IF(R37="","",R37/453.59245/0.7457*1000)</f>
        <v>1.5077877683253129</v>
      </c>
      <c r="S36" s="144"/>
      <c r="T36" s="269">
        <f>+IF(T37="","",T37/453.59245/0.7457*1000)</f>
        <v>8.8693398136783091E-2</v>
      </c>
      <c r="U36" s="140"/>
      <c r="V36" s="268">
        <f>+V39*V18/10^6*10^3</f>
        <v>1.2687350000000002</v>
      </c>
      <c r="W36" s="148"/>
      <c r="X36" s="226">
        <f>+X39*X18/10^6*10^3</f>
        <v>0.70396389999999998</v>
      </c>
      <c r="Y36" s="142"/>
      <c r="Z36" s="226">
        <f>+Z39*Z18/10^6*10^3</f>
        <v>0.65553989999999995</v>
      </c>
      <c r="AA36" s="142"/>
      <c r="AB36" s="271">
        <f>+AB39*AB18/10^6*10^3</f>
        <v>0.62739345000000002</v>
      </c>
      <c r="AC36" s="142"/>
      <c r="AD36" s="226">
        <f>+AD39*AD18/10^6*10^3</f>
        <v>0.58683835000000006</v>
      </c>
      <c r="AE36" s="142"/>
      <c r="AF36" s="226">
        <f>+AF39*AF18/10^6*10^3</f>
        <v>0.23483700000000002</v>
      </c>
      <c r="AG36" s="142"/>
      <c r="AH36" s="226">
        <f>+AH39*AH18/10^6*10^3</f>
        <v>0.1316116</v>
      </c>
      <c r="AI36" s="142"/>
      <c r="AJ36" s="226">
        <f>+AJ39*AJ18/10^6*10^3</f>
        <v>0.21005560000000001</v>
      </c>
      <c r="AK36" s="142"/>
      <c r="AL36" s="226">
        <f>+AL39*AL18/10^6*10^3</f>
        <v>0.21457323</v>
      </c>
      <c r="AM36" s="140"/>
      <c r="AN36" s="11"/>
    </row>
    <row r="37" spans="1:40" s="1" customFormat="1" ht="15.9" customHeight="1" x14ac:dyDescent="0.25">
      <c r="A37" s="91"/>
      <c r="B37" s="468"/>
      <c r="C37" s="469"/>
      <c r="D37" s="143" t="s">
        <v>32</v>
      </c>
      <c r="E37" s="156"/>
      <c r="F37" s="144"/>
      <c r="G37" s="144"/>
      <c r="H37" s="143"/>
      <c r="I37" s="144"/>
      <c r="J37" s="151">
        <f>+'Tb03-Engines'!B35</f>
        <v>0.63251607423455014</v>
      </c>
      <c r="K37" s="144"/>
      <c r="L37" s="152">
        <f>+'Tb03-Engines'!B131</f>
        <v>0.87</v>
      </c>
      <c r="M37" s="142"/>
      <c r="N37" s="143">
        <f>+'Tb03-Engines'!B225</f>
        <v>1.7</v>
      </c>
      <c r="O37" s="142"/>
      <c r="P37" s="143">
        <f>+'Tb03-Engines'!B319</f>
        <v>2.8</v>
      </c>
      <c r="Q37" s="142"/>
      <c r="R37" s="144">
        <f>+'Tb03-Engines'!B413</f>
        <v>0.51</v>
      </c>
      <c r="S37" s="144"/>
      <c r="T37" s="152">
        <f>+'Tb03-Engines'!B462</f>
        <v>0.03</v>
      </c>
      <c r="U37" s="140"/>
      <c r="V37" s="155"/>
      <c r="W37" s="142"/>
      <c r="X37" s="144"/>
      <c r="Y37" s="142"/>
      <c r="Z37" s="144"/>
      <c r="AA37" s="142"/>
      <c r="AB37" s="143"/>
      <c r="AC37" s="142"/>
      <c r="AD37" s="144"/>
      <c r="AE37" s="142"/>
      <c r="AF37" s="143"/>
      <c r="AG37" s="142"/>
      <c r="AH37" s="143"/>
      <c r="AI37" s="142"/>
      <c r="AJ37" s="143"/>
      <c r="AK37" s="142"/>
      <c r="AL37" s="143"/>
      <c r="AM37" s="140"/>
      <c r="AN37" s="11"/>
    </row>
    <row r="38" spans="1:40" s="1" customFormat="1" ht="15.9" customHeight="1" x14ac:dyDescent="0.25">
      <c r="A38" s="91"/>
      <c r="B38" s="468"/>
      <c r="C38" s="469"/>
      <c r="D38" s="143" t="s">
        <v>33</v>
      </c>
      <c r="E38" s="140"/>
      <c r="F38" s="161">
        <f>+'TB02-Fuel Cells'!B27</f>
        <v>2</v>
      </c>
      <c r="G38" s="158"/>
      <c r="H38" s="180">
        <f>+'TB02-Fuel Cells'!B81</f>
        <v>2</v>
      </c>
      <c r="I38" s="144"/>
      <c r="J38" s="260"/>
      <c r="K38" s="158"/>
      <c r="L38" s="180"/>
      <c r="M38" s="142"/>
      <c r="N38" s="180"/>
      <c r="O38" s="142"/>
      <c r="P38" s="180"/>
      <c r="Q38" s="142"/>
      <c r="R38" s="161"/>
      <c r="S38" s="144"/>
      <c r="T38" s="180"/>
      <c r="U38" s="140"/>
      <c r="V38" s="261">
        <f>+'TB04-Turbines'!B26</f>
        <v>40</v>
      </c>
      <c r="W38" s="142"/>
      <c r="X38" s="161">
        <f>+'TB04-Turbines'!B77</f>
        <v>25</v>
      </c>
      <c r="Y38" s="142"/>
      <c r="Z38" s="161">
        <f>+'TB04-Turbines'!B126</f>
        <v>25</v>
      </c>
      <c r="AA38" s="142"/>
      <c r="AB38" s="180">
        <f>+'TB04-Turbines'!B175</f>
        <v>25</v>
      </c>
      <c r="AC38" s="157"/>
      <c r="AD38" s="161">
        <f>+'TB04-Turbines'!B225</f>
        <v>25</v>
      </c>
      <c r="AE38" s="142"/>
      <c r="AF38" s="272" t="str">
        <f>+'TB04-Turbines'!B278</f>
        <v>≤ 10</v>
      </c>
      <c r="AG38" s="142"/>
      <c r="AH38" s="272" t="str">
        <f>+'TB04-Turbines'!B319</f>
        <v>≤ 9</v>
      </c>
      <c r="AI38" s="142"/>
      <c r="AJ38" s="180">
        <f>+'TB04-Turbines'!B370</f>
        <v>9</v>
      </c>
      <c r="AK38" s="142"/>
      <c r="AL38" s="180">
        <f>+'TB04-Turbines'!B420</f>
        <v>10</v>
      </c>
      <c r="AM38" s="140"/>
      <c r="AN38" s="11"/>
    </row>
    <row r="39" spans="1:40" s="1" customFormat="1" ht="15.9" customHeight="1" x14ac:dyDescent="0.25">
      <c r="A39" s="91"/>
      <c r="B39" s="468"/>
      <c r="C39" s="469"/>
      <c r="D39" s="241" t="s">
        <v>36</v>
      </c>
      <c r="E39" s="140"/>
      <c r="F39" s="273">
        <f>+IF(F36="","",F36/1000/F18*10^6)</f>
        <v>4.5014955134596215E-3</v>
      </c>
      <c r="G39" s="158"/>
      <c r="H39" s="274">
        <f>+IF(H36="","",H36/1000/H18*10^6)</f>
        <v>4.0006329113924056E-3</v>
      </c>
      <c r="I39" s="144"/>
      <c r="J39" s="275">
        <f>+IF(J37="","",J37/453.59245/0.7457/J18*10^6)</f>
        <v>0.18953983377255224</v>
      </c>
      <c r="K39" s="158"/>
      <c r="L39" s="274">
        <f>+IF(L37="","",L37/453.59245/0.7457/L18*10^6)</f>
        <v>0.26353571167691703</v>
      </c>
      <c r="M39" s="142"/>
      <c r="N39" s="274">
        <f>+IF(N37="","",N37/453.59245/0.7457/N18*10^6)</f>
        <v>0.46271104991992573</v>
      </c>
      <c r="O39" s="142"/>
      <c r="P39" s="274">
        <f>+IF(P37="","",P37/453.59245/0.7457/P18*10^6)</f>
        <v>0.81524742111286541</v>
      </c>
      <c r="Q39" s="142"/>
      <c r="R39" s="273">
        <f>+IF(R37="","",R37/453.59245/0.7457/R18*10^6)</f>
        <v>0.15077943319603362</v>
      </c>
      <c r="S39" s="144"/>
      <c r="T39" s="274">
        <f>+IF(T37="","",T37/453.59245/0.7457/T18*10^6)</f>
        <v>9.2857152796638979E-3</v>
      </c>
      <c r="U39" s="140"/>
      <c r="V39" s="276">
        <f>0.09685*0.903</f>
        <v>8.7455550000000007E-2</v>
      </c>
      <c r="W39" s="142"/>
      <c r="X39" s="273">
        <f>0.06053*0.903</f>
        <v>5.465859E-2</v>
      </c>
      <c r="Y39" s="142"/>
      <c r="Z39" s="273">
        <f>0.06053*0.903</f>
        <v>5.465859E-2</v>
      </c>
      <c r="AA39" s="142"/>
      <c r="AB39" s="274">
        <f>0.06053*0.903</f>
        <v>5.465859E-2</v>
      </c>
      <c r="AC39" s="157"/>
      <c r="AD39" s="273">
        <f>0.06053*0.903</f>
        <v>5.465859E-2</v>
      </c>
      <c r="AE39" s="142"/>
      <c r="AF39" s="274">
        <f>0.02421*0.903</f>
        <v>2.186163E-2</v>
      </c>
      <c r="AG39" s="142"/>
      <c r="AH39" s="274">
        <f>0.02179*0.903</f>
        <v>1.9676370000000002E-2</v>
      </c>
      <c r="AI39" s="142"/>
      <c r="AJ39" s="274">
        <f>0.02179*0.903</f>
        <v>1.9676370000000002E-2</v>
      </c>
      <c r="AK39" s="142"/>
      <c r="AL39" s="274">
        <f>0.02421*0.903</f>
        <v>2.186163E-2</v>
      </c>
      <c r="AM39" s="140"/>
      <c r="AN39" s="11"/>
    </row>
    <row r="40" spans="1:40" s="1" customFormat="1" ht="15.9" customHeight="1" x14ac:dyDescent="0.25">
      <c r="A40" s="91"/>
      <c r="B40" s="468"/>
      <c r="C40" s="469"/>
      <c r="D40" s="143" t="s">
        <v>37</v>
      </c>
      <c r="E40" s="483"/>
      <c r="F40" s="150">
        <f>+IF(F39="","",F39*F$18*F$17*24/10^6)</f>
        <v>0.12000000000000002</v>
      </c>
      <c r="G40" s="144"/>
      <c r="H40" s="152">
        <f>+IF(H39="","",H39*H$18*H$17*24/10^6)</f>
        <v>0.20160000000000006</v>
      </c>
      <c r="I40" s="144"/>
      <c r="J40" s="277">
        <f>+IF(J39="","",J39*J$18*J$17*24/10^6)</f>
        <v>28.050000000000008</v>
      </c>
      <c r="K40" s="144"/>
      <c r="L40" s="247">
        <f>+IF(L39="","",L39*L$18*L$17*24/10^6)</f>
        <v>64.817135358361099</v>
      </c>
      <c r="M40" s="142"/>
      <c r="N40" s="247">
        <f>+IF(N39="","",N39*N$18*N$17*24/10^6)</f>
        <v>92.879726528839257</v>
      </c>
      <c r="O40" s="142"/>
      <c r="P40" s="247">
        <f>+IF(P39="","",P39*P$18*P$17*24/10^6)</f>
        <v>463.90194961463021</v>
      </c>
      <c r="Q40" s="142"/>
      <c r="R40" s="278">
        <f>+IF(R39="","",R39*R$18*R$17*24/10^6)</f>
        <v>59.346526561284307</v>
      </c>
      <c r="S40" s="144"/>
      <c r="T40" s="247">
        <f>+IF(T39="","",T39*T$18*T$17*24/10^6)</f>
        <v>4.3637151883297278</v>
      </c>
      <c r="U40" s="140"/>
      <c r="V40" s="279">
        <f>+IF(V39="","",V39*V$18*V$17*24/10^6)</f>
        <v>0.91348920000000011</v>
      </c>
      <c r="W40" s="142"/>
      <c r="X40" s="278">
        <f>+IF(X39="","",X39*X$18*X$17*24/10^6)</f>
        <v>77.717614560000001</v>
      </c>
      <c r="Y40" s="245"/>
      <c r="Z40" s="278">
        <f>+IF(Z39="","",Z39*Z$18*Z$17*24/10^6)</f>
        <v>89.205869592000013</v>
      </c>
      <c r="AA40" s="245"/>
      <c r="AB40" s="247">
        <f>+IF(AB39="","",AB39*AB$18*AB$17*24/10^6)</f>
        <v>170.90197578000004</v>
      </c>
      <c r="AC40" s="245"/>
      <c r="AD40" s="278">
        <f>+IF(AD39="","",AD39*AD$18*AD$17*24/10^6)</f>
        <v>211.26180600000001</v>
      </c>
      <c r="AE40" s="245"/>
      <c r="AF40" s="247">
        <f>+IF(AF39="","",AF39*AF$18*AF$17*24/10^6)</f>
        <v>81.159667200000001</v>
      </c>
      <c r="AG40" s="245"/>
      <c r="AH40" s="280">
        <f>+IF(AH39="","",AH39*AH$18*AH$17*24/10^6)</f>
        <v>1673.7836841600001</v>
      </c>
      <c r="AI40" s="142"/>
      <c r="AJ40" s="247">
        <f>+IF(AJ39="","",AJ39*AJ$18*AJ$17*24/10^6)</f>
        <v>388.68688223999999</v>
      </c>
      <c r="AK40" s="142"/>
      <c r="AL40" s="247">
        <f>+IF(AL39="","",AL39*AL$18*AL$17*24/10^6)</f>
        <v>23.688884592000001</v>
      </c>
      <c r="AM40" s="140"/>
      <c r="AN40" s="11"/>
    </row>
    <row r="41" spans="1:40" s="1" customFormat="1" ht="15.9" customHeight="1" x14ac:dyDescent="0.25">
      <c r="A41" s="91"/>
      <c r="B41" s="470"/>
      <c r="C41" s="471"/>
      <c r="D41" s="118" t="s">
        <v>34</v>
      </c>
      <c r="E41" s="485"/>
      <c r="F41" s="183">
        <f>+IF(F40="","",F40*365/2000)</f>
        <v>2.1900000000000006E-2</v>
      </c>
      <c r="G41" s="186"/>
      <c r="H41" s="185">
        <f>+IF(H40="","",H40*365/2000)</f>
        <v>3.6792000000000005E-2</v>
      </c>
      <c r="I41" s="186"/>
      <c r="J41" s="281">
        <f>+IF(J40="","",J40*365/2000)</f>
        <v>5.1191250000000021</v>
      </c>
      <c r="K41" s="186"/>
      <c r="L41" s="282">
        <f>+IF(L40="","",L40*365/2000)</f>
        <v>11.829127202900901</v>
      </c>
      <c r="M41" s="184"/>
      <c r="N41" s="282">
        <f>+IF(N40="","",N40*365/2000)</f>
        <v>16.950550091513165</v>
      </c>
      <c r="O41" s="184"/>
      <c r="P41" s="282">
        <f>+IF(P40="","",P40*365/2000)</f>
        <v>84.66210580467002</v>
      </c>
      <c r="Q41" s="184"/>
      <c r="R41" s="283">
        <f>+IF(R40="","",R40*365/2000)</f>
        <v>10.830741097434386</v>
      </c>
      <c r="S41" s="186"/>
      <c r="T41" s="282">
        <f>+IF(T40="","",T40*365/2000)</f>
        <v>0.79637802187017526</v>
      </c>
      <c r="U41" s="190"/>
      <c r="V41" s="191">
        <f>+IF(V40="","",V40*365/2000)</f>
        <v>0.166711779</v>
      </c>
      <c r="W41" s="184"/>
      <c r="X41" s="214">
        <f>+IF(X40="","",X40*365/2000)</f>
        <v>14.1834646572</v>
      </c>
      <c r="Y41" s="184"/>
      <c r="Z41" s="214">
        <f>+IF(Z40="","",Z40*365/2000)</f>
        <v>16.28007120054</v>
      </c>
      <c r="AA41" s="215"/>
      <c r="AB41" s="216">
        <f>+IF(AB40="","",AB40*365/2000)</f>
        <v>31.189610579850008</v>
      </c>
      <c r="AC41" s="215"/>
      <c r="AD41" s="214">
        <f>+IF(AD40="","",AD40*365/2000)</f>
        <v>38.555279595000002</v>
      </c>
      <c r="AE41" s="215"/>
      <c r="AF41" s="216">
        <f>+IF(AF40="","",AF40*365/2000)</f>
        <v>14.811639264</v>
      </c>
      <c r="AG41" s="184"/>
      <c r="AH41" s="282">
        <f>+IF(AH40="","",AH40*365/2000)</f>
        <v>305.46552235920001</v>
      </c>
      <c r="AI41" s="255"/>
      <c r="AJ41" s="282">
        <f>+IF(AJ40="","",AJ40*365/2000)</f>
        <v>70.935356008799999</v>
      </c>
      <c r="AK41" s="184"/>
      <c r="AL41" s="216">
        <f>+IF(AL40="","",AL40*365/2000)</f>
        <v>4.32322143804</v>
      </c>
      <c r="AM41" s="190"/>
      <c r="AN41" s="11"/>
    </row>
    <row r="42" spans="1:40" s="1" customFormat="1" ht="15.9" customHeight="1" x14ac:dyDescent="0.25">
      <c r="A42" s="91"/>
      <c r="B42" s="466" t="s">
        <v>276</v>
      </c>
      <c r="C42" s="467"/>
      <c r="D42" s="143" t="s">
        <v>32</v>
      </c>
      <c r="E42" s="140"/>
      <c r="F42" s="155"/>
      <c r="G42" s="162"/>
      <c r="H42" s="227"/>
      <c r="I42" s="144"/>
      <c r="J42" s="151">
        <f>+'Tb03-Engines'!B41</f>
        <v>0.15897462828355</v>
      </c>
      <c r="K42" s="144"/>
      <c r="L42" s="152">
        <f>+'Tb03-Engines'!B139</f>
        <v>0.1285326781867</v>
      </c>
      <c r="M42" s="142"/>
      <c r="N42" s="143">
        <f>+'Tb03-Engines'!B227</f>
        <v>4.5999999999999996</v>
      </c>
      <c r="O42" s="142"/>
      <c r="P42" s="143">
        <f>+'Tb03-Engines'!B321</f>
        <v>9.3000000000000007</v>
      </c>
      <c r="Q42" s="142"/>
      <c r="R42" s="144">
        <f>+'Tb03-Engines'!B415</f>
        <v>0.26</v>
      </c>
      <c r="S42" s="144"/>
      <c r="T42" s="152">
        <f>+'Tb03-Engines'!B464</f>
        <v>0.01</v>
      </c>
      <c r="U42" s="140"/>
      <c r="V42" s="279"/>
      <c r="W42" s="142"/>
      <c r="X42" s="144"/>
      <c r="Y42" s="142"/>
      <c r="Z42" s="144"/>
      <c r="AA42" s="142"/>
      <c r="AB42" s="143"/>
      <c r="AC42" s="142"/>
      <c r="AD42" s="144"/>
      <c r="AE42" s="142"/>
      <c r="AF42" s="143"/>
      <c r="AG42" s="142"/>
      <c r="AH42" s="143"/>
      <c r="AI42" s="142"/>
      <c r="AJ42" s="143"/>
      <c r="AK42" s="142"/>
      <c r="AL42" s="144"/>
      <c r="AM42" s="140"/>
      <c r="AN42" s="11"/>
    </row>
    <row r="43" spans="1:40" s="1" customFormat="1" ht="15.9" customHeight="1" x14ac:dyDescent="0.25">
      <c r="A43" s="91"/>
      <c r="B43" s="468"/>
      <c r="C43" s="469"/>
      <c r="D43" s="143" t="s">
        <v>33</v>
      </c>
      <c r="E43" s="140"/>
      <c r="F43" s="155" t="s">
        <v>42</v>
      </c>
      <c r="G43" s="162"/>
      <c r="H43" s="227" t="s">
        <v>42</v>
      </c>
      <c r="I43" s="144"/>
      <c r="J43" s="150"/>
      <c r="K43" s="144"/>
      <c r="L43" s="143"/>
      <c r="M43" s="142"/>
      <c r="N43" s="143"/>
      <c r="O43" s="142"/>
      <c r="P43" s="143"/>
      <c r="Q43" s="142"/>
      <c r="R43" s="144"/>
      <c r="S43" s="144"/>
      <c r="T43" s="143"/>
      <c r="U43" s="140"/>
      <c r="V43" s="261">
        <f>+'TB04-Turbines'!B28</f>
        <v>9</v>
      </c>
      <c r="W43" s="142"/>
      <c r="X43" s="160">
        <f>+'TB04-Turbines'!B79</f>
        <v>25</v>
      </c>
      <c r="Y43" s="142"/>
      <c r="Z43" s="160">
        <f>+'TB04-Turbines'!B128</f>
        <v>25</v>
      </c>
      <c r="AA43" s="142"/>
      <c r="AB43" s="280">
        <f>+'TB04-Turbines'!B177</f>
        <v>25</v>
      </c>
      <c r="AC43" s="142"/>
      <c r="AD43" s="161">
        <f>+'TB04-Turbines'!B227</f>
        <v>25</v>
      </c>
      <c r="AE43" s="142"/>
      <c r="AF43" s="143"/>
      <c r="AG43" s="142"/>
      <c r="AH43" s="143"/>
      <c r="AI43" s="142"/>
      <c r="AJ43" s="143"/>
      <c r="AK43" s="142"/>
      <c r="AL43" s="180">
        <f>+'TB04-Turbines'!B422</f>
        <v>10</v>
      </c>
      <c r="AM43" s="140"/>
      <c r="AN43" s="11"/>
    </row>
    <row r="44" spans="1:40" s="1" customFormat="1" ht="15.9" customHeight="1" x14ac:dyDescent="0.25">
      <c r="A44" s="91"/>
      <c r="B44" s="468"/>
      <c r="C44" s="469"/>
      <c r="D44" s="241" t="s">
        <v>36</v>
      </c>
      <c r="E44" s="140"/>
      <c r="F44" s="155" t="s">
        <v>45</v>
      </c>
      <c r="G44" s="162"/>
      <c r="H44" s="227" t="s">
        <v>45</v>
      </c>
      <c r="I44" s="144"/>
      <c r="J44" s="234">
        <f>+IF(J42="","",J42/453.59245/0.7457/J18*10^6)</f>
        <v>4.7638353942833972E-2</v>
      </c>
      <c r="K44" s="144"/>
      <c r="L44" s="235">
        <f>+IF(L42="","",L42/453.59245/0.7457/L18*10^6)</f>
        <v>3.8934426229508198E-2</v>
      </c>
      <c r="M44" s="142"/>
      <c r="N44" s="235">
        <f>+IF(N42="","",N42/453.59245/0.7457/N18*10^6)</f>
        <v>1.2520416644892107</v>
      </c>
      <c r="O44" s="142"/>
      <c r="P44" s="235">
        <f>+IF(P42="","",P42/453.59245/0.7457/P18*10^6)</f>
        <v>2.7077860772677322</v>
      </c>
      <c r="Q44" s="142"/>
      <c r="R44" s="237">
        <f>+IF(R42="","",R42/453.59245/0.7457/R18*10^6)</f>
        <v>7.6867946335232834E-2</v>
      </c>
      <c r="S44" s="144"/>
      <c r="T44" s="235">
        <f>+IF(T42="","",T42/453.59245/0.7457/T18*10^6)</f>
        <v>3.0952384265546329E-3</v>
      </c>
      <c r="U44" s="140"/>
      <c r="V44" s="276">
        <f>0.01243*0.903</f>
        <v>1.122429E-2</v>
      </c>
      <c r="W44" s="142"/>
      <c r="X44" s="284">
        <f>0.03453*0.903</f>
        <v>3.1180589999999998E-2</v>
      </c>
      <c r="Y44" s="285"/>
      <c r="Z44" s="284">
        <f>0.03453*0.903</f>
        <v>3.1180589999999998E-2</v>
      </c>
      <c r="AA44" s="285"/>
      <c r="AB44" s="286">
        <f>0.03453*0.903</f>
        <v>3.1180589999999998E-2</v>
      </c>
      <c r="AC44" s="285"/>
      <c r="AD44" s="284">
        <f>0.03453*0.903</f>
        <v>3.1180589999999998E-2</v>
      </c>
      <c r="AE44" s="285"/>
      <c r="AF44" s="287" t="s">
        <v>45</v>
      </c>
      <c r="AG44" s="285"/>
      <c r="AH44" s="287" t="s">
        <v>45</v>
      </c>
      <c r="AI44" s="285"/>
      <c r="AJ44" s="287" t="s">
        <v>45</v>
      </c>
      <c r="AK44" s="285"/>
      <c r="AL44" s="288">
        <f>0.01381*0.903</f>
        <v>1.2470429999999999E-2</v>
      </c>
      <c r="AM44" s="140"/>
      <c r="AN44" s="11"/>
    </row>
    <row r="45" spans="1:40" s="1" customFormat="1" ht="15.9" customHeight="1" x14ac:dyDescent="0.25">
      <c r="A45" s="91"/>
      <c r="B45" s="468"/>
      <c r="C45" s="469"/>
      <c r="D45" s="143" t="s">
        <v>37</v>
      </c>
      <c r="E45" s="483"/>
      <c r="F45" s="150">
        <v>0</v>
      </c>
      <c r="G45" s="144"/>
      <c r="H45" s="143">
        <v>0</v>
      </c>
      <c r="I45" s="144"/>
      <c r="J45" s="289">
        <f>+IF(J44="","",J44*J$18*J$17*24/10^6)</f>
        <v>7.049999999999998</v>
      </c>
      <c r="K45" s="144"/>
      <c r="L45" s="246">
        <f>+IF(L44="","",L44*L$18*L$17*24/10^6)</f>
        <v>9.5760000000000005</v>
      </c>
      <c r="M45" s="142"/>
      <c r="N45" s="246">
        <f>+IF(N44="","",N44*N$18*N$17*24/10^6)</f>
        <v>251.32161296038853</v>
      </c>
      <c r="O45" s="142"/>
      <c r="P45" s="246">
        <f>+IF(P44="","",P44*P$18*P$17*24/10^6)</f>
        <v>1540.817189791451</v>
      </c>
      <c r="Q45" s="142"/>
      <c r="R45" s="244">
        <f>+IF(R44="","",R44*R$18*R$17*24/10^6)</f>
        <v>30.255091972419454</v>
      </c>
      <c r="S45" s="144"/>
      <c r="T45" s="246">
        <f>+IF(T44="","",T44*T$18*T$17*24/10^6)</f>
        <v>1.4545717294432428</v>
      </c>
      <c r="U45" s="140"/>
      <c r="V45" s="279">
        <f>+IF(V44="","",V44*V$18*V$17*24/10^6)</f>
        <v>0.11723976</v>
      </c>
      <c r="W45" s="142"/>
      <c r="X45" s="244">
        <f>+IF(X44="","",X44*X$18*X$17*24/10^6)</f>
        <v>44.334862560000005</v>
      </c>
      <c r="Y45" s="245"/>
      <c r="Z45" s="244">
        <f>+IF(Z44="","",Z44*Z$18*Z$17*24/10^6)</f>
        <v>50.888463192000003</v>
      </c>
      <c r="AA45" s="245"/>
      <c r="AB45" s="246">
        <f>+IF(AB44="","",AB44*AB$18*AB$17*24/10^6)</f>
        <v>97.492899780000002</v>
      </c>
      <c r="AC45" s="245"/>
      <c r="AD45" s="244">
        <f>+IF(AD44="","",AD44*AD$18*AD$17*24/10^6)</f>
        <v>120.516606</v>
      </c>
      <c r="AE45" s="245"/>
      <c r="AF45" s="247"/>
      <c r="AG45" s="245"/>
      <c r="AH45" s="247"/>
      <c r="AI45" s="245"/>
      <c r="AJ45" s="247"/>
      <c r="AK45" s="245"/>
      <c r="AL45" s="244">
        <f>+IF(AL44="","",AL44*AL$18*AL$17*24/10^6)</f>
        <v>13.512742511999999</v>
      </c>
      <c r="AM45" s="140"/>
      <c r="AN45" s="11"/>
    </row>
    <row r="46" spans="1:40" s="1" customFormat="1" ht="15.9" customHeight="1" x14ac:dyDescent="0.25">
      <c r="A46" s="91"/>
      <c r="B46" s="470"/>
      <c r="C46" s="471"/>
      <c r="D46" s="118" t="s">
        <v>34</v>
      </c>
      <c r="E46" s="485"/>
      <c r="F46" s="290">
        <v>0</v>
      </c>
      <c r="G46" s="186"/>
      <c r="H46" s="118">
        <v>0</v>
      </c>
      <c r="I46" s="186"/>
      <c r="J46" s="291">
        <f>+IF(J45="","",J45*365/2000)</f>
        <v>1.2866249999999995</v>
      </c>
      <c r="K46" s="186"/>
      <c r="L46" s="292">
        <f>+IF(L45="","",L45*365/2000)</f>
        <v>1.7476200000000002</v>
      </c>
      <c r="M46" s="184"/>
      <c r="N46" s="292">
        <f>+IF(N45="","",N45*365/2000)</f>
        <v>45.866194365270907</v>
      </c>
      <c r="O46" s="184"/>
      <c r="P46" s="292">
        <f>+IF(P45="","",P45*365/2000)</f>
        <v>281.19913713693978</v>
      </c>
      <c r="Q46" s="184"/>
      <c r="R46" s="254">
        <f>+IF(R45="","",R45*365/2000)</f>
        <v>5.52155428496655</v>
      </c>
      <c r="S46" s="186"/>
      <c r="T46" s="292">
        <f>+IF(T45="","",T45*365/2000)</f>
        <v>0.26545934062339183</v>
      </c>
      <c r="U46" s="190"/>
      <c r="V46" s="191">
        <f>+IF(V45="","",V45*365/2000)</f>
        <v>2.1396256199999998E-2</v>
      </c>
      <c r="W46" s="184"/>
      <c r="X46" s="253">
        <f>+IF(X45="","",X45*365/2000)</f>
        <v>8.0911124172000015</v>
      </c>
      <c r="Y46" s="215"/>
      <c r="Z46" s="253">
        <f>+IF(Z45="","",Z45*365/2000)</f>
        <v>9.2871445325399993</v>
      </c>
      <c r="AA46" s="215"/>
      <c r="AB46" s="252">
        <f>+IF(AB45="","",AB45*365/2000)</f>
        <v>17.79245420985</v>
      </c>
      <c r="AC46" s="215"/>
      <c r="AD46" s="253">
        <f>+IF(AD45="","",AD45*365/2000)</f>
        <v>21.994280594999999</v>
      </c>
      <c r="AE46" s="215"/>
      <c r="AF46" s="216"/>
      <c r="AG46" s="215"/>
      <c r="AH46" s="216"/>
      <c r="AI46" s="215"/>
      <c r="AJ46" s="216"/>
      <c r="AK46" s="215"/>
      <c r="AL46" s="253">
        <f>+IF(AL45="","",AL45*365/2000)</f>
        <v>2.4660755084399999</v>
      </c>
      <c r="AM46" s="190"/>
      <c r="AN46" s="11"/>
    </row>
    <row r="47" spans="1:40" s="1" customFormat="1" ht="15.9" customHeight="1" thickBot="1" x14ac:dyDescent="0.3">
      <c r="A47" s="91"/>
      <c r="B47" s="486"/>
      <c r="C47" s="487"/>
      <c r="D47" s="139"/>
      <c r="E47" s="217"/>
      <c r="F47" s="293"/>
      <c r="G47" s="221"/>
      <c r="H47" s="139"/>
      <c r="I47" s="221"/>
      <c r="J47" s="294"/>
      <c r="K47" s="295"/>
      <c r="L47" s="296"/>
      <c r="M47" s="297"/>
      <c r="N47" s="296"/>
      <c r="O47" s="297"/>
      <c r="P47" s="296"/>
      <c r="Q47" s="297"/>
      <c r="R47" s="221"/>
      <c r="S47" s="221"/>
      <c r="T47" s="139"/>
      <c r="U47" s="217"/>
      <c r="V47" s="218"/>
      <c r="W47" s="148"/>
      <c r="X47" s="221"/>
      <c r="Y47" s="148"/>
      <c r="Z47" s="221"/>
      <c r="AA47" s="148"/>
      <c r="AB47" s="139"/>
      <c r="AC47" s="148"/>
      <c r="AD47" s="221"/>
      <c r="AE47" s="148"/>
      <c r="AF47" s="139"/>
      <c r="AG47" s="148"/>
      <c r="AH47" s="139"/>
      <c r="AI47" s="148"/>
      <c r="AJ47" s="139"/>
      <c r="AK47" s="148"/>
      <c r="AL47" s="139"/>
      <c r="AM47" s="217"/>
      <c r="AN47" s="11"/>
    </row>
    <row r="48" spans="1:40" s="1" customFormat="1" ht="15.9" customHeight="1" x14ac:dyDescent="0.25">
      <c r="A48" s="91"/>
      <c r="B48" s="472" t="s">
        <v>31</v>
      </c>
      <c r="C48" s="473"/>
      <c r="D48" s="298" t="s">
        <v>44</v>
      </c>
      <c r="E48" s="482"/>
      <c r="F48" s="299">
        <f>+IF(F19="","",F19)</f>
        <v>0.05</v>
      </c>
      <c r="G48" s="300"/>
      <c r="H48" s="301">
        <f>+IF(H19="","",H19)</f>
        <v>3.5000000000000003E-2</v>
      </c>
      <c r="I48" s="300"/>
      <c r="J48" s="299">
        <f>+IF(J19="","",J19)</f>
        <v>0.5</v>
      </c>
      <c r="K48" s="300"/>
      <c r="L48" s="301">
        <f>+IF(L19="","",L19)</f>
        <v>1.49</v>
      </c>
      <c r="M48" s="302"/>
      <c r="N48" s="301">
        <f>+IF(N19="","",N19)</f>
        <v>5.9128932091188737</v>
      </c>
      <c r="O48" s="302"/>
      <c r="P48" s="301">
        <f>+IF(P19="","",P19)</f>
        <v>1.4782233022797184</v>
      </c>
      <c r="Q48" s="302"/>
      <c r="R48" s="301">
        <f>+IF(R19="","",R19)</f>
        <v>13.510960982836627</v>
      </c>
      <c r="S48" s="300"/>
      <c r="T48" s="301">
        <f>+IF(T19="","",T19)</f>
        <v>1.1825786418237747</v>
      </c>
      <c r="U48" s="303"/>
      <c r="V48" s="304">
        <f>+IF(V19="","",V19)</f>
        <v>0.64</v>
      </c>
      <c r="W48" s="302"/>
      <c r="X48" s="305">
        <f>+IF(X19="","",X19)</f>
        <v>0.6922176000000001</v>
      </c>
      <c r="Y48" s="302"/>
      <c r="Z48" s="305">
        <f>+IF(Z19="","",Z19)</f>
        <v>0.64460160000000011</v>
      </c>
      <c r="AA48" s="302"/>
      <c r="AB48" s="301">
        <f>+IF(AB19="","",AB19)</f>
        <v>0.61692480000000005</v>
      </c>
      <c r="AC48" s="302"/>
      <c r="AD48" s="301">
        <f>+IF(AD19="","",AD19)</f>
        <v>0.57704640000000007</v>
      </c>
      <c r="AE48" s="302"/>
      <c r="AF48" s="301">
        <f>+IF(AF19="","",AF19)</f>
        <v>0.57734400000000008</v>
      </c>
      <c r="AG48" s="302"/>
      <c r="AH48" s="301">
        <f>+IF(AH19="","",AH19)</f>
        <v>0.21568839999999997</v>
      </c>
      <c r="AI48" s="302"/>
      <c r="AJ48" s="301">
        <f>+IF(AJ19="","",AJ19)</f>
        <v>0.57377280000000008</v>
      </c>
      <c r="AK48" s="302"/>
      <c r="AL48" s="301">
        <f>+IF(AL19="","",AL19)</f>
        <v>0.17584192000000001</v>
      </c>
      <c r="AM48" s="303"/>
      <c r="AN48" s="11"/>
    </row>
    <row r="49" spans="1:40" s="1" customFormat="1" ht="15.9" customHeight="1" x14ac:dyDescent="0.25">
      <c r="A49" s="91"/>
      <c r="B49" s="496" t="s">
        <v>35</v>
      </c>
      <c r="C49" s="497"/>
      <c r="D49" s="143" t="s">
        <v>44</v>
      </c>
      <c r="E49" s="483"/>
      <c r="F49" s="306">
        <f>+IF(F25="-","-",IF(F25="","",F25/10^6*F18*10^3))</f>
        <v>5.33156146179402E-3</v>
      </c>
      <c r="G49" s="307"/>
      <c r="H49" s="159">
        <f>+IF(H25="-","-",IF(H25="","",H25/10^6*H18*10^3))</f>
        <v>6.2990033222591352E-3</v>
      </c>
      <c r="I49" s="307"/>
      <c r="J49" s="306">
        <f>+IF(J25="-","-",IF(J25="","",J25/10^6*J18*10^3))</f>
        <v>5.8012079999999987E-3</v>
      </c>
      <c r="K49" s="307"/>
      <c r="L49" s="159">
        <f>+IF(L25="-","-",IF(L25="","",L25/10^6*L18*10^3))</f>
        <v>5.73888E-3</v>
      </c>
      <c r="M49" s="308"/>
      <c r="N49" s="159">
        <f>+IF(N25="-","-",IF(N25="","",N25/10^6*N18*10^3))</f>
        <v>6.3868455841481079E-3</v>
      </c>
      <c r="O49" s="308"/>
      <c r="P49" s="159">
        <f>+IF(P25="-","-",IF(P25="","",P25/10^6*P18*10^3))</f>
        <v>5.970572324046376E-3</v>
      </c>
      <c r="Q49" s="308"/>
      <c r="R49" s="159">
        <f>+IF(R25="-","-",IF(R25="","",R25/10^6*R18*10^3))</f>
        <v>1.525278841463415E-2</v>
      </c>
      <c r="S49" s="307"/>
      <c r="T49" s="159">
        <f>+IF(T25="-","-",IF(T25="","",T25/10^6*T18*10^3))</f>
        <v>1.4568910243902439E-2</v>
      </c>
      <c r="U49" s="309"/>
      <c r="V49" s="279">
        <f>+IF(V25="-","-",IF(V25="","",V25/10^6*V18*10^3))</f>
        <v>4.932447397563676E-2</v>
      </c>
      <c r="W49" s="308"/>
      <c r="X49" s="307">
        <f>+IF(X25="-","-",IF(X25="","",X25/10^6*X18*10^3))</f>
        <v>4.378959025470653E-2</v>
      </c>
      <c r="Y49" s="308"/>
      <c r="Z49" s="307">
        <f>+IF(Z25="-","-",IF(Z25="","",Z25/10^6*Z18*10^3))</f>
        <v>4.0777408637873748E-2</v>
      </c>
      <c r="AA49" s="308"/>
      <c r="AB49" s="159">
        <f>+IF(AB25="-","-",IF(AB25="","",AB25/10^6*AB18*10^3))</f>
        <v>3.9026578073089707E-2</v>
      </c>
      <c r="AC49" s="308"/>
      <c r="AD49" s="159">
        <f>+IF(AD25="-","-",IF(AD25="","",AD25/10^6*AD18*10^3))</f>
        <v>3.6503875968992246E-2</v>
      </c>
      <c r="AE49" s="308"/>
      <c r="AF49" s="159">
        <f>+IF(AF25="-","-",IF(AF25="","",AF25/10^6*AF18*10^3))</f>
        <v>3.652270210409745E-2</v>
      </c>
      <c r="AG49" s="308"/>
      <c r="AH49" s="159">
        <f>+IF(AH25="-","-",IF(AH25="","",AH25/10^6*AH18*10^3))</f>
        <v>4.0132890365448502E-3</v>
      </c>
      <c r="AI49" s="308"/>
      <c r="AJ49" s="159">
        <f>+IF(AJ25="-","-",IF(AJ25="","",AJ25/10^6*AJ18*10^3))</f>
        <v>6.4053156146179398E-3</v>
      </c>
      <c r="AK49" s="308"/>
      <c r="AL49" s="159">
        <f>+IF(AL25="-","-",IF(AL25="","",AL25/10^6*AL18*10^3))</f>
        <v>3.3371207087486157E-2</v>
      </c>
      <c r="AM49" s="140"/>
      <c r="AN49" s="11"/>
    </row>
    <row r="50" spans="1:40" s="1" customFormat="1" ht="15.9" customHeight="1" x14ac:dyDescent="0.25">
      <c r="A50" s="91"/>
      <c r="B50" s="496" t="s">
        <v>39</v>
      </c>
      <c r="C50" s="497"/>
      <c r="D50" s="143" t="s">
        <v>44</v>
      </c>
      <c r="E50" s="483"/>
      <c r="F50" s="151">
        <f>+IF(F30="-","-",IF(F30="","",F30/10^6*F18*10^3))</f>
        <v>0</v>
      </c>
      <c r="G50" s="149"/>
      <c r="H50" s="152">
        <f>+IF(H30="-","-",IF(H30="","",H30/10^6*H18*10^3))</f>
        <v>0</v>
      </c>
      <c r="I50" s="149"/>
      <c r="J50" s="151">
        <f>+IF(J30="-","-",IF(J30="","",J30/10^6*J18*10^3))</f>
        <v>0.19149906</v>
      </c>
      <c r="K50" s="149"/>
      <c r="L50" s="152">
        <f>+IF(L30="-","-",IF(L30="","",L30/10^6*L18*10^3))</f>
        <v>9.747409600000001E-2</v>
      </c>
      <c r="M50" s="153"/>
      <c r="N50" s="152">
        <f>+IF(N30="-","-",IF(N30="","",N30/10^6*N18*10^3))</f>
        <v>0.10847970328817277</v>
      </c>
      <c r="O50" s="153"/>
      <c r="P50" s="152">
        <f>+IF(P30="-","-",IF(P30="","",P30/10^6*P18*10^3))</f>
        <v>0.10140935860116254</v>
      </c>
      <c r="Q50" s="153"/>
      <c r="R50" s="159">
        <f>+IF(R30="-","-",IF(R30="","",R30/10^6*R18*10^3))</f>
        <v>0.38433805859272679</v>
      </c>
      <c r="S50" s="149"/>
      <c r="T50" s="159">
        <f>+IF(T30="-","-",IF(T30="","",T30/10^6*T18*10^3))</f>
        <v>2.956446604559437E-2</v>
      </c>
      <c r="U50" s="154"/>
      <c r="V50" s="176">
        <f>+IF(V30="-","-",IF(V30="","",V30/10^6*V18*10^3))</f>
        <v>9.5747508305647849E-2</v>
      </c>
      <c r="W50" s="153"/>
      <c r="X50" s="149">
        <f>+IF(X30="-","-",IF(X30="","",X30/10^6*X18*10^3))</f>
        <v>0.23182724252491693</v>
      </c>
      <c r="Y50" s="153"/>
      <c r="Z50" s="149">
        <f>+IF(Z30="-","-",IF(Z30="","",Z30/10^6*Z18*10^3))</f>
        <v>0.21588039867109632</v>
      </c>
      <c r="AA50" s="153"/>
      <c r="AB50" s="152">
        <f>+IF(AB30="-","-",IF(AB30="","",AB30/10^6*AB18*10^3))</f>
        <v>0.20661129568106312</v>
      </c>
      <c r="AC50" s="153"/>
      <c r="AD50" s="152">
        <f>+IF(AD30="-","-",IF(AD30="","",AD30/10^6*AD18*10^3))</f>
        <v>0.19325581395348834</v>
      </c>
      <c r="AE50" s="153"/>
      <c r="AF50" s="242" t="str">
        <f>+IF(AF30="-","-",IF(AF30="","",AF30/10^6*AF18*10^3))</f>
        <v/>
      </c>
      <c r="AG50" s="153"/>
      <c r="AH50" s="152">
        <f>+IF(AH30="-","-",IF(AH30="","",AH30/10^6*AH18*10^3))</f>
        <v>4.4146179401993356E-2</v>
      </c>
      <c r="AI50" s="153"/>
      <c r="AJ50" s="152">
        <f>+IF(AJ30="-","-",IF(AJ30="","",AJ30/10^6*AJ18*10^3))</f>
        <v>7.045847176079735E-2</v>
      </c>
      <c r="AK50" s="153"/>
      <c r="AL50" s="152">
        <f>+IF(AL30="-","-",IF(AL30="","",AL30/10^6*AL18*10^3))</f>
        <v>0.17667109634551495</v>
      </c>
      <c r="AM50" s="140"/>
      <c r="AN50" s="11"/>
    </row>
    <row r="51" spans="1:40" s="1" customFormat="1" ht="15.9" customHeight="1" x14ac:dyDescent="0.25">
      <c r="A51" s="91"/>
      <c r="B51" s="496" t="s">
        <v>40</v>
      </c>
      <c r="C51" s="497"/>
      <c r="D51" s="143" t="s">
        <v>44</v>
      </c>
      <c r="E51" s="483"/>
      <c r="F51" s="260">
        <f>+IF(F33="","",F33/10^6*F18*10^3)</f>
        <v>1038.6660162477492</v>
      </c>
      <c r="G51" s="161"/>
      <c r="H51" s="180">
        <f>+IF(H33="","",H33/10^6*H18*10^3)</f>
        <v>1227.1378158061643</v>
      </c>
      <c r="I51" s="161"/>
      <c r="J51" s="260">
        <f>+IF(J33="","",J33/10^6*J18*10^3)</f>
        <v>1153.1380799999999</v>
      </c>
      <c r="K51" s="161"/>
      <c r="L51" s="180">
        <f>+IF(L33="","",L33/10^6*L18*10^3)</f>
        <v>1140.7487999999998</v>
      </c>
      <c r="M51" s="181"/>
      <c r="N51" s="180">
        <f>+IF(N33="","",N33/10^6*N18*10^3)</f>
        <v>1269.548489583726</v>
      </c>
      <c r="O51" s="181"/>
      <c r="P51" s="180">
        <f>+IF(P33="","",P33/10^6*P18*10^3)</f>
        <v>1186.8035599226878</v>
      </c>
      <c r="Q51" s="181"/>
      <c r="R51" s="180">
        <f>+IF(R33="","",R33/10^6*R18*10^3)</f>
        <v>1614.1929731665448</v>
      </c>
      <c r="S51" s="161"/>
      <c r="T51" s="180">
        <f>+IF(T33="","",T33/10^6*T18*10^3)</f>
        <v>1541.8185778961051</v>
      </c>
      <c r="U51" s="310"/>
      <c r="V51" s="261">
        <f>+IF(V33="","",V33/10^6*V18*10^3)</f>
        <v>1695.6013289036541</v>
      </c>
      <c r="W51" s="181"/>
      <c r="X51" s="161">
        <f>+IF(X33="","",X33/10^6*X18*10^3)</f>
        <v>1505.3315614617939</v>
      </c>
      <c r="Y51" s="181"/>
      <c r="Z51" s="161">
        <f>+IF(Z33="","",Z33/10^6*Z18*10^3)</f>
        <v>1402.7316352897747</v>
      </c>
      <c r="AA51" s="181"/>
      <c r="AB51" s="180">
        <f>+IF(AB33="","",AB33/10^6*AB18*10^3)</f>
        <v>1342.8615168005103</v>
      </c>
      <c r="AC51" s="181"/>
      <c r="AD51" s="180">
        <f>+IF(AD33="","",AD33/10^6*AD18*10^3)</f>
        <v>1254.8744186046511</v>
      </c>
      <c r="AE51" s="181"/>
      <c r="AF51" s="272">
        <f>+IF(AF33="","",AF33/10^6*AF18*10^3)</f>
        <v>1255.5215946843855</v>
      </c>
      <c r="AG51" s="181"/>
      <c r="AH51" s="180">
        <f>+IF(AH33="","",AH33/10^6*AH18*10^3)</f>
        <v>781.78870431893677</v>
      </c>
      <c r="AI51" s="181"/>
      <c r="AJ51" s="180">
        <f>+IF(AJ33="","",AJ33/10^6*AJ18*10^3)</f>
        <v>1247.7554817275748</v>
      </c>
      <c r="AK51" s="181"/>
      <c r="AL51" s="180">
        <f>+IF(AL33="","",AL33/10^6*AL18*10^3)</f>
        <v>1147.1843189368772</v>
      </c>
      <c r="AM51" s="140"/>
      <c r="AN51" s="11"/>
    </row>
    <row r="52" spans="1:40" s="1" customFormat="1" ht="15.9" customHeight="1" x14ac:dyDescent="0.25">
      <c r="A52" s="91"/>
      <c r="B52" s="496" t="s">
        <v>41</v>
      </c>
      <c r="C52" s="497"/>
      <c r="D52" s="143" t="s">
        <v>44</v>
      </c>
      <c r="E52" s="483"/>
      <c r="F52" s="151">
        <f>+IF(F39="-","-",IF(F39="","",F36))</f>
        <v>0.04</v>
      </c>
      <c r="G52" s="149"/>
      <c r="H52" s="152">
        <f>+IF(H39="-","-",IF(H39="","",H36))</f>
        <v>4.2000000000000003E-2</v>
      </c>
      <c r="I52" s="149"/>
      <c r="J52" s="151">
        <f>+IF(J39="-","-",IF(J39="","",J36))</f>
        <v>1.8700000000000006</v>
      </c>
      <c r="K52" s="149"/>
      <c r="L52" s="152">
        <f>+IF(L39="-","-",IF(L39="","",L36))</f>
        <v>2.5721085459667101</v>
      </c>
      <c r="M52" s="153"/>
      <c r="N52" s="152">
        <f>+IF(N39="-","-",IF(N39="","",N36))</f>
        <v>5.0259592277510423</v>
      </c>
      <c r="O52" s="153"/>
      <c r="P52" s="152">
        <f>+IF(P39="-","-",IF(P39="","",P36))</f>
        <v>8.2780504927664218</v>
      </c>
      <c r="Q52" s="153"/>
      <c r="R52" s="152">
        <f>+IF(R39="-","-",IF(R39="","",R36))</f>
        <v>1.5077877683253129</v>
      </c>
      <c r="S52" s="149"/>
      <c r="T52" s="152">
        <f>+IF(T39="-","-",IF(T39="","",T36))</f>
        <v>8.8693398136783091E-2</v>
      </c>
      <c r="U52" s="154"/>
      <c r="V52" s="176">
        <f>+IF(V39="-","-",IF(V39="","",V36))</f>
        <v>1.2687350000000002</v>
      </c>
      <c r="W52" s="153"/>
      <c r="X52" s="149">
        <f>+IF(X39="-","-",IF(X39="","",X36))</f>
        <v>0.70396389999999998</v>
      </c>
      <c r="Y52" s="153"/>
      <c r="Z52" s="149">
        <f>+IF(Z39="-","-",IF(Z39="","",Z36))</f>
        <v>0.65553989999999995</v>
      </c>
      <c r="AA52" s="153"/>
      <c r="AB52" s="152">
        <f>+IF(AB39="-","-",IF(AB39="","",AB36))</f>
        <v>0.62739345000000002</v>
      </c>
      <c r="AC52" s="153"/>
      <c r="AD52" s="152">
        <f>+IF(AD39="-","-",IF(AD39="","",AD36))</f>
        <v>0.58683835000000006</v>
      </c>
      <c r="AE52" s="153"/>
      <c r="AF52" s="242">
        <f>+IF(AF39="-","-",IF(AF39="","",AF36))</f>
        <v>0.23483700000000002</v>
      </c>
      <c r="AG52" s="153"/>
      <c r="AH52" s="152">
        <f>+IF(AH39="-","-",IF(AH39="","",AH36))</f>
        <v>0.1316116</v>
      </c>
      <c r="AI52" s="153"/>
      <c r="AJ52" s="152">
        <f>+IF(AJ39="-","-",IF(AJ39="","",AJ36))</f>
        <v>0.21005560000000001</v>
      </c>
      <c r="AK52" s="153"/>
      <c r="AL52" s="152">
        <f>+IF(AL39="-","-",IF(AL39="","",AL36))</f>
        <v>0.21457323</v>
      </c>
      <c r="AM52" s="140"/>
      <c r="AN52" s="11"/>
    </row>
    <row r="53" spans="1:40" s="1" customFormat="1" ht="15.9" customHeight="1" thickBot="1" x14ac:dyDescent="0.3">
      <c r="A53" s="91"/>
      <c r="B53" s="494" t="s">
        <v>43</v>
      </c>
      <c r="C53" s="495"/>
      <c r="D53" s="311" t="s">
        <v>44</v>
      </c>
      <c r="E53" s="484"/>
      <c r="F53" s="312" t="str">
        <f>+IF(F44="-","-",IF(F44="","",F44*F18/10^6*10^3))</f>
        <v>-</v>
      </c>
      <c r="G53" s="313"/>
      <c r="H53" s="314" t="str">
        <f>+IF(H44="-","-",IF(H44="","",H44*H18/10^6*10^3))</f>
        <v>-</v>
      </c>
      <c r="I53" s="313"/>
      <c r="J53" s="315">
        <f>+IF(J44="-","-",IF(J44="","",J44*J18/10^6*10^3))</f>
        <v>0.46999999999999992</v>
      </c>
      <c r="K53" s="313"/>
      <c r="L53" s="316">
        <f>+IF(L44="-","-",IF(L44="","",L44*L18/10^6*10^3))</f>
        <v>0.38</v>
      </c>
      <c r="M53" s="317"/>
      <c r="N53" s="316">
        <f>+IF(N44="-","-",IF(N44="","",N44*N18/10^6*10^3))</f>
        <v>13.599654380973407</v>
      </c>
      <c r="O53" s="317"/>
      <c r="P53" s="316">
        <f>+IF(P44="-","-",IF(P44="","",P44*P18/10^6*10^3))</f>
        <v>27.494953422402766</v>
      </c>
      <c r="Q53" s="317"/>
      <c r="R53" s="316">
        <f>+IF(R44="-","-",IF(R44="","",R44*R18/10^6*10^3))</f>
        <v>0.76867611718545359</v>
      </c>
      <c r="S53" s="313"/>
      <c r="T53" s="316">
        <f>+IF(T44="-","-",IF(T44="","",T44*T18/10^6*10^3))</f>
        <v>2.9564466045594366E-2</v>
      </c>
      <c r="U53" s="318"/>
      <c r="V53" s="319">
        <f>+IF(V44="-","-",IF(V44="","",V44*V18/10^6*10^3))</f>
        <v>0.16283300000000001</v>
      </c>
      <c r="W53" s="317"/>
      <c r="X53" s="316">
        <f>+IF(X44="-","-",IF(X44="","",X44*X18/10^6*10^3))</f>
        <v>0.40158389999999999</v>
      </c>
      <c r="Y53" s="317"/>
      <c r="Z53" s="316">
        <f>+IF(Z44="-","-",IF(Z44="","",Z44*Z18/10^6*10^3))</f>
        <v>0.37395989999999996</v>
      </c>
      <c r="AA53" s="317"/>
      <c r="AB53" s="316">
        <f>+IF(AB44="-","-",IF(AB44="","",AB44*AB18/10^6*10^3))</f>
        <v>0.35790344999999996</v>
      </c>
      <c r="AC53" s="313"/>
      <c r="AD53" s="316">
        <f>+IF(AD44="-","-",IF(AD44="","",AD44*AD18/10^6*10^3))</f>
        <v>0.33476834999999999</v>
      </c>
      <c r="AE53" s="317"/>
      <c r="AF53" s="320" t="str">
        <f>+IF(AF44="-","-",IF(AF44="","",AF44*AF18/10^6*10^3))</f>
        <v>-</v>
      </c>
      <c r="AG53" s="321"/>
      <c r="AH53" s="320" t="str">
        <f>+IF(AH44="-","-",IF(AH44="","",AH44*AH18/10^6*10^3))</f>
        <v>-</v>
      </c>
      <c r="AI53" s="321"/>
      <c r="AJ53" s="320" t="str">
        <f>+IF(AJ44="-","-",IF(AJ44="","",AJ44*AJ18/10^6*10^3))</f>
        <v>-</v>
      </c>
      <c r="AK53" s="317"/>
      <c r="AL53" s="316">
        <f>+IF(AL44="-","-",IF(AL44="","",AL44*AL18/10^6*10^3))</f>
        <v>0.12239803</v>
      </c>
      <c r="AM53" s="322"/>
      <c r="AN53" s="11"/>
    </row>
    <row r="54" spans="1:40" s="1" customFormat="1" ht="15.9" customHeight="1" x14ac:dyDescent="0.25">
      <c r="A54" s="91"/>
      <c r="B54" s="78"/>
      <c r="C54" s="78"/>
      <c r="D54" s="144"/>
      <c r="E54" s="323"/>
      <c r="F54" s="324"/>
      <c r="G54" s="149"/>
      <c r="H54" s="324"/>
      <c r="I54" s="149"/>
      <c r="J54" s="149"/>
      <c r="K54" s="149"/>
      <c r="L54" s="149"/>
      <c r="M54" s="149"/>
      <c r="N54" s="149"/>
      <c r="O54" s="149"/>
      <c r="P54" s="149"/>
      <c r="Q54" s="149"/>
      <c r="R54" s="149"/>
      <c r="S54" s="149"/>
      <c r="T54" s="149"/>
      <c r="U54" s="149"/>
      <c r="V54" s="243"/>
      <c r="W54" s="149"/>
      <c r="X54" s="149"/>
      <c r="Y54" s="149"/>
      <c r="Z54" s="149"/>
      <c r="AA54" s="149"/>
      <c r="AB54" s="149"/>
      <c r="AC54" s="149"/>
      <c r="AD54" s="149"/>
      <c r="AE54" s="149"/>
      <c r="AF54" s="243"/>
      <c r="AG54" s="243"/>
      <c r="AH54" s="243"/>
      <c r="AI54" s="243"/>
      <c r="AJ54" s="243"/>
      <c r="AK54" s="149"/>
      <c r="AL54" s="149"/>
      <c r="AM54" s="144"/>
      <c r="AN54" s="11"/>
    </row>
    <row r="55" spans="1:40" s="1" customFormat="1" ht="15.9" customHeight="1" thickBot="1" x14ac:dyDescent="0.3">
      <c r="A55" s="91"/>
      <c r="B55" s="489" t="s">
        <v>151</v>
      </c>
      <c r="C55" s="489"/>
      <c r="D55" s="489"/>
      <c r="E55" s="323"/>
      <c r="F55" s="324"/>
      <c r="G55" s="149"/>
      <c r="H55" s="324"/>
      <c r="I55" s="149"/>
      <c r="J55" s="149"/>
      <c r="K55" s="149"/>
      <c r="L55" s="149"/>
      <c r="M55" s="149"/>
      <c r="N55" s="149"/>
      <c r="O55" s="149"/>
      <c r="P55" s="149"/>
      <c r="Q55" s="149"/>
      <c r="R55" s="149"/>
      <c r="S55" s="149"/>
      <c r="T55" s="149"/>
      <c r="U55" s="149"/>
      <c r="V55" s="243"/>
      <c r="W55" s="149"/>
      <c r="X55" s="149"/>
      <c r="Y55" s="149"/>
      <c r="Z55" s="149"/>
      <c r="AA55" s="149"/>
      <c r="AB55" s="149"/>
      <c r="AC55" s="149"/>
      <c r="AD55" s="149"/>
      <c r="AE55" s="149"/>
      <c r="AF55" s="243"/>
      <c r="AG55" s="243"/>
      <c r="AH55" s="243"/>
      <c r="AI55" s="243"/>
      <c r="AJ55" s="243"/>
      <c r="AK55" s="149"/>
      <c r="AL55" s="149"/>
      <c r="AM55" s="144"/>
      <c r="AN55" s="11"/>
    </row>
    <row r="56" spans="1:40" s="1" customFormat="1" ht="15.9" customHeight="1" x14ac:dyDescent="0.25">
      <c r="A56" s="91"/>
      <c r="B56" s="343" t="s">
        <v>31</v>
      </c>
      <c r="C56" s="344" t="s">
        <v>44</v>
      </c>
      <c r="D56" s="345">
        <v>0.15</v>
      </c>
      <c r="E56" s="346"/>
      <c r="F56" s="347" t="str">
        <f>+IF(F48="","",IF(F48&lt;$D56,"Yes","No"))</f>
        <v>Yes</v>
      </c>
      <c r="G56" s="348"/>
      <c r="H56" s="349" t="str">
        <f>+IF(H48="","",IF(H48&lt;$D56,"Yes","No"))</f>
        <v>Yes</v>
      </c>
      <c r="I56" s="348"/>
      <c r="J56" s="347" t="str">
        <f>+IF(J48="","",IF(J48&lt;$D56,"Yes","No"))</f>
        <v>No</v>
      </c>
      <c r="K56" s="348"/>
      <c r="L56" s="349" t="str">
        <f>+IF(L48="","",IF(L48&lt;$D56,"Yes","No"))</f>
        <v>No</v>
      </c>
      <c r="M56" s="350"/>
      <c r="N56" s="349" t="str">
        <f>+IF(N48="","",IF(N48&lt;$D56,"Yes","No"))</f>
        <v>No</v>
      </c>
      <c r="O56" s="350"/>
      <c r="P56" s="349" t="str">
        <f>+IF(P48="","",IF(P48&lt;$D56,"Yes","No"))</f>
        <v>No</v>
      </c>
      <c r="Q56" s="350"/>
      <c r="R56" s="349" t="str">
        <f>+IF(R48="","",IF(R48&lt;$D56,"Yes","No"))</f>
        <v>No</v>
      </c>
      <c r="S56" s="348"/>
      <c r="T56" s="349" t="str">
        <f>+IF(T48="","",IF(T48&lt;$D56,"Yes","No"))</f>
        <v>No</v>
      </c>
      <c r="U56" s="351"/>
      <c r="V56" s="347" t="str">
        <f>+IF(V48="","",IF(V48&lt;$D56,"Yes","No"))</f>
        <v>No</v>
      </c>
      <c r="W56" s="350"/>
      <c r="X56" s="352" t="str">
        <f>+IF(X48="","",IF(X48&lt;$D56,"Yes","No"))</f>
        <v>No</v>
      </c>
      <c r="Y56" s="350"/>
      <c r="Z56" s="352" t="str">
        <f>+IF(Z48="","",IF(Z48&lt;$D56,"Yes","No"))</f>
        <v>No</v>
      </c>
      <c r="AA56" s="350"/>
      <c r="AB56" s="349" t="str">
        <f>+IF(AB48="","",IF(AB48&lt;$D56,"Yes","No"))</f>
        <v>No</v>
      </c>
      <c r="AC56" s="350"/>
      <c r="AD56" s="349" t="str">
        <f>+IF(AD48="","",IF(AD48&lt;$D56,"Yes","No"))</f>
        <v>No</v>
      </c>
      <c r="AE56" s="350"/>
      <c r="AF56" s="349" t="str">
        <f>+IF(AF48="","",IF(AF48&lt;$D56,"Yes","No"))</f>
        <v>No</v>
      </c>
      <c r="AG56" s="350"/>
      <c r="AH56" s="349" t="str">
        <f>+IF(AH48="","",IF(AH48&lt;$D56,"Yes","No"))</f>
        <v>No</v>
      </c>
      <c r="AI56" s="350"/>
      <c r="AJ56" s="349" t="str">
        <f>+IF(AJ48="","",IF(AJ48&lt;$D56,"Yes","No"))</f>
        <v>No</v>
      </c>
      <c r="AK56" s="350"/>
      <c r="AL56" s="349" t="str">
        <f>+IF(AL48="","",IF(AL48&lt;$D56,"Yes","No"))</f>
        <v>No</v>
      </c>
      <c r="AM56" s="351"/>
      <c r="AN56" s="11"/>
    </row>
    <row r="57" spans="1:40" s="1" customFormat="1" ht="15.9" customHeight="1" x14ac:dyDescent="0.25">
      <c r="A57" s="91"/>
      <c r="B57" s="342" t="s">
        <v>35</v>
      </c>
      <c r="C57" s="353" t="s">
        <v>44</v>
      </c>
      <c r="D57" s="354" t="s">
        <v>45</v>
      </c>
      <c r="E57" s="355"/>
      <c r="F57" s="356" t="s">
        <v>45</v>
      </c>
      <c r="G57" s="357"/>
      <c r="H57" s="358" t="s">
        <v>45</v>
      </c>
      <c r="I57" s="357"/>
      <c r="J57" s="356" t="s">
        <v>45</v>
      </c>
      <c r="K57" s="357"/>
      <c r="L57" s="358" t="s">
        <v>45</v>
      </c>
      <c r="M57" s="359"/>
      <c r="N57" s="358" t="s">
        <v>45</v>
      </c>
      <c r="O57" s="359"/>
      <c r="P57" s="358" t="s">
        <v>45</v>
      </c>
      <c r="Q57" s="359"/>
      <c r="R57" s="358" t="s">
        <v>45</v>
      </c>
      <c r="S57" s="357"/>
      <c r="T57" s="358" t="s">
        <v>45</v>
      </c>
      <c r="U57" s="360"/>
      <c r="V57" s="356" t="s">
        <v>45</v>
      </c>
      <c r="W57" s="359"/>
      <c r="X57" s="357" t="s">
        <v>45</v>
      </c>
      <c r="Y57" s="359"/>
      <c r="Z57" s="357" t="s">
        <v>45</v>
      </c>
      <c r="AA57" s="359"/>
      <c r="AB57" s="358" t="s">
        <v>45</v>
      </c>
      <c r="AC57" s="359"/>
      <c r="AD57" s="358" t="s">
        <v>45</v>
      </c>
      <c r="AE57" s="359"/>
      <c r="AF57" s="358" t="s">
        <v>45</v>
      </c>
      <c r="AG57" s="359"/>
      <c r="AH57" s="358" t="s">
        <v>45</v>
      </c>
      <c r="AI57" s="359"/>
      <c r="AJ57" s="358" t="s">
        <v>45</v>
      </c>
      <c r="AK57" s="359"/>
      <c r="AL57" s="358" t="s">
        <v>45</v>
      </c>
      <c r="AM57" s="361"/>
      <c r="AN57" s="11"/>
    </row>
    <row r="58" spans="1:40" s="1" customFormat="1" ht="15.9" customHeight="1" x14ac:dyDescent="0.25">
      <c r="A58" s="91"/>
      <c r="B58" s="342" t="s">
        <v>576</v>
      </c>
      <c r="C58" s="353" t="s">
        <v>44</v>
      </c>
      <c r="D58" s="354" t="s">
        <v>45</v>
      </c>
      <c r="E58" s="355"/>
      <c r="F58" s="356" t="s">
        <v>45</v>
      </c>
      <c r="G58" s="357"/>
      <c r="H58" s="358" t="s">
        <v>45</v>
      </c>
      <c r="I58" s="357"/>
      <c r="J58" s="356" t="s">
        <v>45</v>
      </c>
      <c r="K58" s="357"/>
      <c r="L58" s="358" t="s">
        <v>45</v>
      </c>
      <c r="M58" s="359"/>
      <c r="N58" s="358" t="s">
        <v>45</v>
      </c>
      <c r="O58" s="359"/>
      <c r="P58" s="358" t="s">
        <v>45</v>
      </c>
      <c r="Q58" s="359"/>
      <c r="R58" s="384"/>
      <c r="S58" s="383"/>
      <c r="T58" s="384"/>
      <c r="U58" s="386"/>
      <c r="V58" s="356" t="s">
        <v>45</v>
      </c>
      <c r="W58" s="359"/>
      <c r="X58" s="357" t="s">
        <v>45</v>
      </c>
      <c r="Y58" s="359"/>
      <c r="Z58" s="357" t="s">
        <v>45</v>
      </c>
      <c r="AA58" s="359"/>
      <c r="AB58" s="358" t="s">
        <v>45</v>
      </c>
      <c r="AC58" s="359"/>
      <c r="AD58" s="358" t="s">
        <v>45</v>
      </c>
      <c r="AE58" s="359"/>
      <c r="AF58" s="358" t="s">
        <v>45</v>
      </c>
      <c r="AG58" s="359"/>
      <c r="AH58" s="358" t="s">
        <v>45</v>
      </c>
      <c r="AI58" s="359"/>
      <c r="AJ58" s="358" t="s">
        <v>45</v>
      </c>
      <c r="AK58" s="359"/>
      <c r="AL58" s="358" t="s">
        <v>45</v>
      </c>
      <c r="AM58" s="361"/>
      <c r="AN58" s="11"/>
    </row>
    <row r="59" spans="1:40" s="1" customFormat="1" ht="15.9" customHeight="1" x14ac:dyDescent="0.25">
      <c r="A59" s="91"/>
      <c r="B59" s="342" t="s">
        <v>577</v>
      </c>
      <c r="C59" s="353" t="s">
        <v>44</v>
      </c>
      <c r="D59" s="358">
        <v>0.03</v>
      </c>
      <c r="E59" s="355"/>
      <c r="F59" s="382"/>
      <c r="G59" s="383"/>
      <c r="H59" s="384"/>
      <c r="I59" s="383"/>
      <c r="J59" s="382"/>
      <c r="K59" s="383"/>
      <c r="L59" s="384"/>
      <c r="M59" s="385"/>
      <c r="N59" s="384"/>
      <c r="O59" s="385"/>
      <c r="P59" s="384"/>
      <c r="Q59" s="385"/>
      <c r="R59" s="358" t="str">
        <f>+IF(R50="","",IF(R50&lt;$D59,"Yes","No"))</f>
        <v>No</v>
      </c>
      <c r="S59" s="357"/>
      <c r="T59" s="358" t="str">
        <f>+IF(T50="","",IF(T50&lt;$D59,"Yes","No"))</f>
        <v>Yes</v>
      </c>
      <c r="U59" s="360"/>
      <c r="V59" s="382"/>
      <c r="W59" s="385"/>
      <c r="X59" s="383"/>
      <c r="Y59" s="385"/>
      <c r="Z59" s="383"/>
      <c r="AA59" s="385"/>
      <c r="AB59" s="384"/>
      <c r="AC59" s="385"/>
      <c r="AD59" s="384"/>
      <c r="AE59" s="385"/>
      <c r="AF59" s="384"/>
      <c r="AG59" s="385"/>
      <c r="AH59" s="384"/>
      <c r="AI59" s="385"/>
      <c r="AJ59" s="384"/>
      <c r="AK59" s="385"/>
      <c r="AL59" s="384"/>
      <c r="AM59" s="387"/>
      <c r="AN59" s="11"/>
    </row>
    <row r="60" spans="1:40" s="1" customFormat="1" ht="15.9" customHeight="1" x14ac:dyDescent="0.25">
      <c r="A60" s="91"/>
      <c r="B60" s="342" t="s">
        <v>578</v>
      </c>
      <c r="C60" s="353" t="s">
        <v>44</v>
      </c>
      <c r="D60" s="354" t="s">
        <v>45</v>
      </c>
      <c r="E60" s="355"/>
      <c r="F60" s="382"/>
      <c r="G60" s="383"/>
      <c r="H60" s="384"/>
      <c r="I60" s="383"/>
      <c r="J60" s="382"/>
      <c r="K60" s="383"/>
      <c r="L60" s="384"/>
      <c r="M60" s="385"/>
      <c r="N60" s="384"/>
      <c r="O60" s="385"/>
      <c r="P60" s="384"/>
      <c r="Q60" s="385"/>
      <c r="R60" s="384"/>
      <c r="S60" s="383"/>
      <c r="T60" s="384"/>
      <c r="U60" s="386"/>
      <c r="V60" s="382"/>
      <c r="W60" s="385"/>
      <c r="X60" s="383"/>
      <c r="Y60" s="385"/>
      <c r="Z60" s="383"/>
      <c r="AA60" s="385"/>
      <c r="AB60" s="384"/>
      <c r="AC60" s="385"/>
      <c r="AD60" s="384"/>
      <c r="AE60" s="385"/>
      <c r="AF60" s="384"/>
      <c r="AG60" s="385"/>
      <c r="AH60" s="384"/>
      <c r="AI60" s="385"/>
      <c r="AJ60" s="384"/>
      <c r="AK60" s="385"/>
      <c r="AL60" s="384"/>
      <c r="AM60" s="387"/>
      <c r="AN60" s="11"/>
    </row>
    <row r="61" spans="1:40" s="1" customFormat="1" ht="15.9" customHeight="1" x14ac:dyDescent="0.25">
      <c r="A61" s="91"/>
      <c r="B61" s="342" t="s">
        <v>40</v>
      </c>
      <c r="C61" s="353" t="s">
        <v>44</v>
      </c>
      <c r="D61" s="133">
        <v>1650</v>
      </c>
      <c r="E61" s="355"/>
      <c r="F61" s="137" t="str">
        <f>+IF(F51="","",IF(F51&lt;$D61,"Yes","No"))</f>
        <v>Yes</v>
      </c>
      <c r="G61" s="362"/>
      <c r="H61" s="363" t="str">
        <f>+IF(H51="","",IF(H51&lt;$D61,"Yes","No"))</f>
        <v>Yes</v>
      </c>
      <c r="I61" s="362"/>
      <c r="J61" s="137" t="str">
        <f>+IF(J51="","",IF(J51&lt;$D61,"Yes","No"))</f>
        <v>Yes</v>
      </c>
      <c r="K61" s="362"/>
      <c r="L61" s="363" t="str">
        <f>+IF(L51="","",IF(L51&lt;$D61,"Yes","No"))</f>
        <v>Yes</v>
      </c>
      <c r="M61" s="364"/>
      <c r="N61" s="363" t="str">
        <f>+IF(N51="","",IF(N51&lt;$D61,"Yes","No"))</f>
        <v>Yes</v>
      </c>
      <c r="O61" s="364"/>
      <c r="P61" s="363" t="str">
        <f>+IF(P51="","",IF(P51&lt;$D61,"Yes","No"))</f>
        <v>Yes</v>
      </c>
      <c r="Q61" s="364"/>
      <c r="R61" s="363" t="str">
        <f>+IF(R51="","",IF(R51&lt;$D61,"Yes","No"))</f>
        <v>Yes</v>
      </c>
      <c r="S61" s="362"/>
      <c r="T61" s="363" t="str">
        <f>+IF(T51="","",IF(T51&lt;$D61,"Yes","No"))</f>
        <v>Yes</v>
      </c>
      <c r="U61" s="365"/>
      <c r="V61" s="137" t="str">
        <f>+IF(V51="","",IF(V51&lt;$D61,"Yes","No"))</f>
        <v>No</v>
      </c>
      <c r="W61" s="364"/>
      <c r="X61" s="362" t="str">
        <f>+IF(X51="","",IF(X51&lt;$D61,"Yes","No"))</f>
        <v>Yes</v>
      </c>
      <c r="Y61" s="364"/>
      <c r="Z61" s="362" t="str">
        <f>+IF(Z51="","",IF(Z51&lt;$D61,"Yes","No"))</f>
        <v>Yes</v>
      </c>
      <c r="AA61" s="364"/>
      <c r="AB61" s="363" t="str">
        <f>+IF(AB51="","",IF(AB51&lt;$D61,"Yes","No"))</f>
        <v>Yes</v>
      </c>
      <c r="AC61" s="364"/>
      <c r="AD61" s="363" t="str">
        <f>+IF(AD51="","",IF(AD51&lt;$D61,"Yes","No"))</f>
        <v>Yes</v>
      </c>
      <c r="AE61" s="364"/>
      <c r="AF61" s="363" t="str">
        <f>+IF(AF51="","",IF(AF51&lt;$D61,"Yes","No"))</f>
        <v>Yes</v>
      </c>
      <c r="AG61" s="364"/>
      <c r="AH61" s="363" t="str">
        <f>+IF(AH51="","",IF(AH51&lt;$D61,"Yes","No"))</f>
        <v>Yes</v>
      </c>
      <c r="AI61" s="364"/>
      <c r="AJ61" s="363" t="str">
        <f>+IF(AJ51="","",IF(AJ51&lt;$D61,"Yes","No"))</f>
        <v>Yes</v>
      </c>
      <c r="AK61" s="364"/>
      <c r="AL61" s="363" t="str">
        <f>+IF(AL51="","",IF(AL51&lt;$D61,"Yes","No"))</f>
        <v>Yes</v>
      </c>
      <c r="AM61" s="361"/>
      <c r="AN61" s="11"/>
    </row>
    <row r="62" spans="1:40" s="1" customFormat="1" ht="15.9" customHeight="1" x14ac:dyDescent="0.25">
      <c r="A62" s="91"/>
      <c r="B62" s="342" t="s">
        <v>41</v>
      </c>
      <c r="C62" s="353" t="s">
        <v>44</v>
      </c>
      <c r="D62" s="366">
        <v>1</v>
      </c>
      <c r="E62" s="355"/>
      <c r="F62" s="367" t="str">
        <f>+IF(F52="","",IF(F52&lt;$D62,"Yes","No"))</f>
        <v>Yes</v>
      </c>
      <c r="G62" s="368"/>
      <c r="H62" s="369" t="str">
        <f>+IF(H52="","",IF(H52&lt;$D62,"Yes","No"))</f>
        <v>Yes</v>
      </c>
      <c r="I62" s="368"/>
      <c r="J62" s="367" t="str">
        <f>+IF(J52="","",IF(J52&lt;$D62,"Yes","No"))</f>
        <v>No</v>
      </c>
      <c r="K62" s="368"/>
      <c r="L62" s="369" t="str">
        <f>+IF(L52="","",IF(L52&lt;$D62,"Yes","No"))</f>
        <v>No</v>
      </c>
      <c r="M62" s="370"/>
      <c r="N62" s="369" t="str">
        <f>+IF(N52="","",IF(N52&lt;$D62,"Yes","No"))</f>
        <v>No</v>
      </c>
      <c r="O62" s="370"/>
      <c r="P62" s="369" t="str">
        <f>+IF(P52="","",IF(P52&lt;$D62,"Yes","No"))</f>
        <v>No</v>
      </c>
      <c r="Q62" s="370"/>
      <c r="R62" s="369" t="str">
        <f>+IF(R52="","",IF(R52&lt;$D62,"Yes","No"))</f>
        <v>No</v>
      </c>
      <c r="S62" s="368"/>
      <c r="T62" s="369" t="str">
        <f>+IF(T52="","",IF(T52&lt;$D62,"Yes","No"))</f>
        <v>Yes</v>
      </c>
      <c r="U62" s="371"/>
      <c r="V62" s="367" t="str">
        <f>+IF(V52="","",IF(V52&lt;$D62,"Yes","No"))</f>
        <v>No</v>
      </c>
      <c r="W62" s="370"/>
      <c r="X62" s="368" t="str">
        <f>+IF(X52="","",IF(X52&lt;$D62,"Yes","No"))</f>
        <v>Yes</v>
      </c>
      <c r="Y62" s="370"/>
      <c r="Z62" s="368" t="str">
        <f>+IF(Z52="","",IF(Z52&lt;$D62,"Yes","No"))</f>
        <v>Yes</v>
      </c>
      <c r="AA62" s="370"/>
      <c r="AB62" s="369" t="str">
        <f>+IF(AB52="","",IF(AB52&lt;$D62,"Yes","No"))</f>
        <v>Yes</v>
      </c>
      <c r="AC62" s="370"/>
      <c r="AD62" s="369" t="str">
        <f>+IF(AD52="","",IF(AD52&lt;$D62,"Yes","No"))</f>
        <v>Yes</v>
      </c>
      <c r="AE62" s="370"/>
      <c r="AF62" s="369" t="str">
        <f>+IF(AF52="","",IF(AF52&lt;$D62,"Yes","No"))</f>
        <v>Yes</v>
      </c>
      <c r="AG62" s="370"/>
      <c r="AH62" s="369" t="str">
        <f>+IF(AH52="","",IF(AH52&lt;$D62,"Yes","No"))</f>
        <v>Yes</v>
      </c>
      <c r="AI62" s="370"/>
      <c r="AJ62" s="369" t="str">
        <f>+IF(AJ52="","",IF(AJ52&lt;$D62,"Yes","No"))</f>
        <v>Yes</v>
      </c>
      <c r="AK62" s="370"/>
      <c r="AL62" s="369" t="str">
        <f>+IF(AL52="","",IF(AL52&lt;$D62,"Yes","No"))</f>
        <v>Yes</v>
      </c>
      <c r="AM62" s="361"/>
      <c r="AN62" s="11"/>
    </row>
    <row r="63" spans="1:40" s="1" customFormat="1" ht="15.9" customHeight="1" thickBot="1" x14ac:dyDescent="0.3">
      <c r="A63" s="91"/>
      <c r="B63" s="372" t="s">
        <v>43</v>
      </c>
      <c r="C63" s="373" t="s">
        <v>44</v>
      </c>
      <c r="D63" s="374" t="s">
        <v>45</v>
      </c>
      <c r="E63" s="375"/>
      <c r="F63" s="376" t="s">
        <v>45</v>
      </c>
      <c r="G63" s="377"/>
      <c r="H63" s="378" t="s">
        <v>45</v>
      </c>
      <c r="I63" s="377"/>
      <c r="J63" s="376" t="s">
        <v>45</v>
      </c>
      <c r="K63" s="377"/>
      <c r="L63" s="378" t="s">
        <v>45</v>
      </c>
      <c r="M63" s="379"/>
      <c r="N63" s="378" t="s">
        <v>45</v>
      </c>
      <c r="O63" s="379"/>
      <c r="P63" s="378" t="s">
        <v>45</v>
      </c>
      <c r="Q63" s="379"/>
      <c r="R63" s="378" t="s">
        <v>45</v>
      </c>
      <c r="S63" s="377"/>
      <c r="T63" s="378" t="s">
        <v>45</v>
      </c>
      <c r="U63" s="380"/>
      <c r="V63" s="376" t="s">
        <v>45</v>
      </c>
      <c r="W63" s="379"/>
      <c r="X63" s="378" t="s">
        <v>45</v>
      </c>
      <c r="Y63" s="379"/>
      <c r="Z63" s="378" t="s">
        <v>45</v>
      </c>
      <c r="AA63" s="379"/>
      <c r="AB63" s="378" t="s">
        <v>45</v>
      </c>
      <c r="AC63" s="377"/>
      <c r="AD63" s="378" t="s">
        <v>45</v>
      </c>
      <c r="AE63" s="379"/>
      <c r="AF63" s="378" t="s">
        <v>45</v>
      </c>
      <c r="AG63" s="379"/>
      <c r="AH63" s="378" t="s">
        <v>45</v>
      </c>
      <c r="AI63" s="379"/>
      <c r="AJ63" s="378" t="s">
        <v>45</v>
      </c>
      <c r="AK63" s="379"/>
      <c r="AL63" s="378" t="s">
        <v>45</v>
      </c>
      <c r="AM63" s="381"/>
      <c r="AN63" s="11"/>
    </row>
    <row r="64" spans="1:40" s="1" customFormat="1" ht="12.75" customHeight="1" x14ac:dyDescent="0.25">
      <c r="A64" s="91"/>
      <c r="B64" s="78"/>
      <c r="C64" s="78"/>
      <c r="D64" s="144"/>
      <c r="E64" s="323"/>
      <c r="F64" s="324"/>
      <c r="G64" s="149"/>
      <c r="H64" s="324"/>
      <c r="I64" s="149"/>
      <c r="J64" s="149"/>
      <c r="K64" s="149"/>
      <c r="L64" s="149"/>
      <c r="M64" s="149"/>
      <c r="N64" s="149"/>
      <c r="O64" s="149"/>
      <c r="P64" s="149"/>
      <c r="Q64" s="149"/>
      <c r="R64" s="149"/>
      <c r="S64" s="149"/>
      <c r="T64" s="149"/>
      <c r="U64" s="149"/>
      <c r="V64" s="243"/>
      <c r="W64" s="149"/>
      <c r="X64" s="149"/>
      <c r="Y64" s="149"/>
      <c r="Z64" s="149"/>
      <c r="AA64" s="149"/>
      <c r="AB64" s="149"/>
      <c r="AC64" s="149"/>
      <c r="AD64" s="149"/>
      <c r="AE64" s="149"/>
      <c r="AF64" s="243"/>
      <c r="AG64" s="243"/>
      <c r="AH64" s="243"/>
      <c r="AI64" s="243"/>
      <c r="AJ64" s="243"/>
      <c r="AK64" s="149"/>
      <c r="AL64" s="149"/>
      <c r="AM64" s="144"/>
      <c r="AN64" s="11"/>
    </row>
    <row r="65" spans="1:40" s="1" customFormat="1" ht="12.75" customHeight="1" x14ac:dyDescent="0.25">
      <c r="A65" s="91"/>
      <c r="B65" s="78"/>
      <c r="C65" s="78"/>
      <c r="D65" s="144"/>
      <c r="E65" s="323"/>
      <c r="F65" s="324"/>
      <c r="G65" s="149"/>
      <c r="H65" s="324"/>
      <c r="I65" s="149"/>
      <c r="J65" s="149"/>
      <c r="K65" s="149"/>
      <c r="L65" s="91"/>
      <c r="M65" s="91"/>
      <c r="N65" s="91"/>
      <c r="O65" s="91"/>
      <c r="P65" s="91"/>
      <c r="Q65" s="149"/>
      <c r="R65" s="11"/>
      <c r="S65" s="149"/>
      <c r="T65" s="11"/>
      <c r="U65" s="149"/>
      <c r="V65" s="243"/>
      <c r="W65" s="149"/>
      <c r="X65" s="149"/>
      <c r="Y65" s="149"/>
      <c r="Z65" s="149"/>
      <c r="AA65" s="149"/>
      <c r="AB65" s="149"/>
      <c r="AC65" s="149"/>
      <c r="AD65" s="149"/>
      <c r="AE65" s="149"/>
      <c r="AF65" s="243"/>
      <c r="AG65" s="243"/>
      <c r="AH65" s="243"/>
      <c r="AI65" s="243"/>
      <c r="AJ65" s="243"/>
      <c r="AK65" s="149"/>
      <c r="AL65" s="149"/>
      <c r="AM65" s="144"/>
      <c r="AN65" s="11"/>
    </row>
    <row r="66" spans="1:40" s="1" customFormat="1" ht="12.75" customHeight="1" x14ac:dyDescent="0.25">
      <c r="A66" s="91"/>
      <c r="B66" s="78"/>
      <c r="C66" s="78"/>
      <c r="D66" s="144"/>
      <c r="E66" s="323"/>
      <c r="F66" s="324"/>
      <c r="G66" s="149"/>
      <c r="H66" s="324"/>
      <c r="I66" s="149"/>
      <c r="J66" s="149"/>
      <c r="K66" s="149"/>
      <c r="L66" s="91"/>
      <c r="M66" s="91"/>
      <c r="N66" s="91"/>
      <c r="O66" s="91"/>
      <c r="P66" s="91"/>
      <c r="Q66" s="149"/>
      <c r="R66" s="149"/>
      <c r="S66" s="149"/>
      <c r="T66" s="149"/>
      <c r="U66" s="149"/>
      <c r="V66" s="243"/>
      <c r="W66" s="149"/>
      <c r="X66" s="149"/>
      <c r="Y66" s="149"/>
      <c r="Z66" s="149"/>
      <c r="AA66" s="149"/>
      <c r="AB66" s="149"/>
      <c r="AC66" s="149"/>
      <c r="AD66" s="149"/>
      <c r="AE66" s="149"/>
      <c r="AF66" s="243"/>
      <c r="AG66" s="243"/>
      <c r="AH66" s="243"/>
      <c r="AI66" s="243"/>
      <c r="AJ66" s="243"/>
      <c r="AK66" s="149"/>
      <c r="AL66" s="149"/>
      <c r="AM66" s="144"/>
      <c r="AN66" s="11"/>
    </row>
    <row r="67" spans="1:40"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row>
    <row r="68" spans="1:40" hidden="1" x14ac:dyDescent="0.25"/>
    <row r="69" spans="1:40" hidden="1" x14ac:dyDescent="0.25"/>
    <row r="70" spans="1:40" hidden="1" x14ac:dyDescent="0.25"/>
    <row r="71" spans="1:40" hidden="1" x14ac:dyDescent="0.25"/>
    <row r="72" spans="1:40" hidden="1" x14ac:dyDescent="0.25"/>
    <row r="73" spans="1:40" hidden="1" x14ac:dyDescent="0.25"/>
    <row r="74" spans="1:40" hidden="1" x14ac:dyDescent="0.25"/>
    <row r="75" spans="1:40" hidden="1" x14ac:dyDescent="0.25"/>
    <row r="76" spans="1:40" hidden="1" x14ac:dyDescent="0.25"/>
    <row r="77" spans="1:40" hidden="1" x14ac:dyDescent="0.25"/>
    <row r="78" spans="1:40" hidden="1" x14ac:dyDescent="0.25">
      <c r="K78" s="80"/>
    </row>
    <row r="79" spans="1:40" hidden="1" x14ac:dyDescent="0.25">
      <c r="L79" s="81"/>
    </row>
    <row r="80" spans="1:40" hidden="1" x14ac:dyDescent="0.25"/>
    <row r="81" spans="5:6" hidden="1" x14ac:dyDescent="0.25"/>
    <row r="82" spans="5:6" hidden="1" x14ac:dyDescent="0.25">
      <c r="E82" s="80"/>
      <c r="F82" s="80"/>
    </row>
    <row r="83" spans="5:6" hidden="1" x14ac:dyDescent="0.25">
      <c r="E83" s="80"/>
      <c r="F83" s="80"/>
    </row>
    <row r="84" spans="5:6" hidden="1" x14ac:dyDescent="0.25"/>
    <row r="85" spans="5:6" hidden="1" x14ac:dyDescent="0.25"/>
    <row r="86" spans="5:6" hidden="1" x14ac:dyDescent="0.25"/>
    <row r="87" spans="5:6" hidden="1" x14ac:dyDescent="0.25"/>
    <row r="88" spans="5:6" hidden="1" x14ac:dyDescent="0.25"/>
    <row r="89" spans="5:6" hidden="1" x14ac:dyDescent="0.25"/>
    <row r="90" spans="5:6" hidden="1" x14ac:dyDescent="0.25"/>
    <row r="91" spans="5:6" hidden="1" x14ac:dyDescent="0.25"/>
    <row r="92" spans="5:6" hidden="1" x14ac:dyDescent="0.25"/>
    <row r="93" spans="5:6" hidden="1" x14ac:dyDescent="0.25"/>
    <row r="94" spans="5:6" hidden="1" x14ac:dyDescent="0.25"/>
    <row r="95" spans="5:6" hidden="1" x14ac:dyDescent="0.25"/>
    <row r="96" spans="5: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sheetData>
  <sheetProtection password="EDBF" sheet="1" objects="1" scenarios="1"/>
  <mergeCells count="73">
    <mergeCell ref="B55:D55"/>
    <mergeCell ref="AH13:AI13"/>
    <mergeCell ref="R14:S14"/>
    <mergeCell ref="V13:W13"/>
    <mergeCell ref="V14:W14"/>
    <mergeCell ref="B42:C46"/>
    <mergeCell ref="C33:C35"/>
    <mergeCell ref="B53:C53"/>
    <mergeCell ref="B52:C52"/>
    <mergeCell ref="B51:C51"/>
    <mergeCell ref="B50:C50"/>
    <mergeCell ref="B36:C41"/>
    <mergeCell ref="B49:C49"/>
    <mergeCell ref="E23:E24"/>
    <mergeCell ref="E26:E27"/>
    <mergeCell ref="N14:O14"/>
    <mergeCell ref="T14:U14"/>
    <mergeCell ref="E31:E32"/>
    <mergeCell ref="E40:E41"/>
    <mergeCell ref="E45:E46"/>
    <mergeCell ref="N13:O13"/>
    <mergeCell ref="E48:E53"/>
    <mergeCell ref="E34:E35"/>
    <mergeCell ref="B48:C48"/>
    <mergeCell ref="B47:C47"/>
    <mergeCell ref="B33:B35"/>
    <mergeCell ref="B17:C17"/>
    <mergeCell ref="B18:C18"/>
    <mergeCell ref="B25:C27"/>
    <mergeCell ref="B28:C32"/>
    <mergeCell ref="B15:C16"/>
    <mergeCell ref="B19:C24"/>
    <mergeCell ref="V11:AM11"/>
    <mergeCell ref="J11:Q11"/>
    <mergeCell ref="X12:AA12"/>
    <mergeCell ref="AB12:AG12"/>
    <mergeCell ref="AL12:AM12"/>
    <mergeCell ref="AH12:AI12"/>
    <mergeCell ref="AJ12:AK12"/>
    <mergeCell ref="L12:Q12"/>
    <mergeCell ref="V12:W12"/>
    <mergeCell ref="J12:K12"/>
    <mergeCell ref="AL14:AM14"/>
    <mergeCell ref="AL13:AM13"/>
    <mergeCell ref="X13:Y13"/>
    <mergeCell ref="AD13:AE13"/>
    <mergeCell ref="AF13:AG13"/>
    <mergeCell ref="AJ13:AK13"/>
    <mergeCell ref="AJ14:AK14"/>
    <mergeCell ref="AB13:AC13"/>
    <mergeCell ref="X14:Y14"/>
    <mergeCell ref="Z13:AA13"/>
    <mergeCell ref="Z14:AA14"/>
    <mergeCell ref="AD14:AE14"/>
    <mergeCell ref="AF14:AG14"/>
    <mergeCell ref="AH14:AI14"/>
    <mergeCell ref="AB14:AC14"/>
    <mergeCell ref="F12:G12"/>
    <mergeCell ref="F13:G13"/>
    <mergeCell ref="F14:G14"/>
    <mergeCell ref="R13:S13"/>
    <mergeCell ref="L13:M13"/>
    <mergeCell ref="L14:M14"/>
    <mergeCell ref="P13:Q13"/>
    <mergeCell ref="P14:Q14"/>
    <mergeCell ref="R11:U12"/>
    <mergeCell ref="F11:I11"/>
    <mergeCell ref="H12:I12"/>
    <mergeCell ref="H14:I14"/>
    <mergeCell ref="H13:I13"/>
    <mergeCell ref="J13:K13"/>
    <mergeCell ref="J14:K14"/>
    <mergeCell ref="T13:U13"/>
  </mergeCells>
  <phoneticPr fontId="12" type="noConversion"/>
  <printOptions horizontalCentered="1"/>
  <pageMargins left="0.2" right="0.2" top="0.25" bottom="0.25" header="0" footer="0"/>
  <pageSetup paperSize="5"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L247"/>
  <sheetViews>
    <sheetView topLeftCell="A13" zoomScale="80" zoomScaleNormal="80" workbookViewId="0">
      <selection activeCell="B7" sqref="B7:K7"/>
    </sheetView>
  </sheetViews>
  <sheetFormatPr defaultColWidth="0" defaultRowHeight="13.2" zeroHeight="1" x14ac:dyDescent="0.25"/>
  <cols>
    <col min="1" max="1" width="9.109375" style="2" customWidth="1"/>
    <col min="2" max="2" width="10.6640625" style="2" customWidth="1"/>
    <col min="3" max="3" width="4.6640625" style="2" customWidth="1"/>
    <col min="4" max="4" width="8.6640625" style="2" customWidth="1"/>
    <col min="5" max="5" width="17.6640625" style="2" customWidth="1"/>
    <col min="6" max="6" width="2.6640625" style="2" customWidth="1"/>
    <col min="7" max="7" width="10.6640625" style="2" customWidth="1"/>
    <col min="8" max="8" width="81.6640625" style="2" customWidth="1"/>
    <col min="9" max="9" width="2.6640625" style="2" customWidth="1"/>
    <col min="10" max="10" width="80.6640625" style="2" customWidth="1"/>
    <col min="11" max="11" width="2.6640625" style="2" customWidth="1"/>
    <col min="12" max="12" width="4.6640625" style="2" customWidth="1"/>
    <col min="13" max="16384" width="9.109375" style="2" hidden="1"/>
  </cols>
  <sheetData>
    <row r="1" spans="1:12" x14ac:dyDescent="0.25">
      <c r="A1" s="11"/>
      <c r="B1" s="11"/>
      <c r="C1" s="11"/>
      <c r="D1" s="11"/>
      <c r="E1" s="11"/>
      <c r="F1" s="11"/>
      <c r="G1" s="11"/>
      <c r="H1" s="11"/>
      <c r="I1" s="11"/>
      <c r="J1" s="11"/>
      <c r="K1" s="11"/>
      <c r="L1" s="11"/>
    </row>
    <row r="2" spans="1:12" x14ac:dyDescent="0.25">
      <c r="A2" s="11"/>
      <c r="B2" s="11"/>
      <c r="C2" s="11"/>
      <c r="D2" s="11"/>
      <c r="E2" s="11"/>
      <c r="F2" s="11"/>
      <c r="G2" s="11"/>
      <c r="H2" s="11"/>
      <c r="I2" s="11"/>
      <c r="J2" s="11"/>
      <c r="K2" s="11"/>
      <c r="L2" s="11"/>
    </row>
    <row r="3" spans="1:12" x14ac:dyDescent="0.25">
      <c r="A3" s="11"/>
      <c r="B3" s="11"/>
      <c r="C3" s="11"/>
      <c r="D3" s="11"/>
      <c r="E3" s="11"/>
      <c r="F3" s="11"/>
      <c r="G3" s="11"/>
      <c r="H3" s="11"/>
      <c r="I3" s="11"/>
      <c r="J3" s="11"/>
      <c r="K3" s="11"/>
      <c r="L3" s="11"/>
    </row>
    <row r="4" spans="1:12" x14ac:dyDescent="0.25">
      <c r="A4" s="11"/>
      <c r="B4" s="11"/>
      <c r="C4" s="11"/>
      <c r="D4" s="11"/>
      <c r="E4" s="11"/>
      <c r="F4" s="11"/>
      <c r="G4" s="11"/>
      <c r="H4" s="11"/>
      <c r="I4" s="11"/>
      <c r="J4" s="11"/>
      <c r="K4" s="11"/>
      <c r="L4" s="11"/>
    </row>
    <row r="5" spans="1:12" x14ac:dyDescent="0.25">
      <c r="A5" s="11"/>
      <c r="B5" s="506" t="s">
        <v>598</v>
      </c>
      <c r="C5" s="506"/>
      <c r="D5" s="506"/>
      <c r="E5" s="506"/>
      <c r="F5" s="506"/>
      <c r="G5" s="506"/>
      <c r="H5" s="506"/>
      <c r="I5" s="506"/>
      <c r="J5" s="506"/>
      <c r="K5" s="506"/>
      <c r="L5" s="11"/>
    </row>
    <row r="6" spans="1:12" x14ac:dyDescent="0.25">
      <c r="A6" s="11"/>
      <c r="B6" s="506" t="s">
        <v>597</v>
      </c>
      <c r="C6" s="506"/>
      <c r="D6" s="507">
        <v>41397</v>
      </c>
      <c r="E6" s="507"/>
      <c r="F6" s="507"/>
      <c r="G6" s="501"/>
      <c r="H6" s="501"/>
      <c r="I6" s="501"/>
      <c r="J6" s="501"/>
      <c r="K6" s="501"/>
      <c r="L6" s="11"/>
    </row>
    <row r="7" spans="1:12" ht="12.75" customHeight="1" thickBot="1" x14ac:dyDescent="0.3">
      <c r="A7" s="11"/>
      <c r="B7" s="508"/>
      <c r="C7" s="508"/>
      <c r="D7" s="508"/>
      <c r="E7" s="508"/>
      <c r="F7" s="508"/>
      <c r="G7" s="508"/>
      <c r="H7" s="508"/>
      <c r="I7" s="508"/>
      <c r="J7" s="508"/>
      <c r="K7" s="508"/>
      <c r="L7" s="11"/>
    </row>
    <row r="8" spans="1:12" ht="41.25" customHeight="1" thickBot="1" x14ac:dyDescent="0.3">
      <c r="A8" s="15"/>
      <c r="B8" s="509" t="s">
        <v>46</v>
      </c>
      <c r="C8" s="510"/>
      <c r="D8" s="571" t="s">
        <v>47</v>
      </c>
      <c r="E8" s="572"/>
      <c r="F8" s="509"/>
      <c r="G8" s="16" t="s">
        <v>17</v>
      </c>
      <c r="H8" s="510" t="s">
        <v>48</v>
      </c>
      <c r="I8" s="510"/>
      <c r="J8" s="510" t="s">
        <v>49</v>
      </c>
      <c r="K8" s="571"/>
      <c r="L8" s="11"/>
    </row>
    <row r="9" spans="1:12" ht="12" customHeight="1" x14ac:dyDescent="0.25">
      <c r="A9" s="11"/>
      <c r="B9" s="573"/>
      <c r="C9" s="573"/>
      <c r="D9" s="573"/>
      <c r="E9" s="573"/>
      <c r="F9" s="573"/>
      <c r="G9" s="573"/>
      <c r="H9" s="573"/>
      <c r="I9" s="573"/>
      <c r="J9" s="573"/>
      <c r="K9" s="573"/>
      <c r="L9" s="11"/>
    </row>
    <row r="10" spans="1:12" ht="12.75" customHeight="1" x14ac:dyDescent="0.25">
      <c r="A10" s="11"/>
      <c r="B10" s="514"/>
      <c r="C10" s="514"/>
      <c r="D10" s="514"/>
      <c r="E10" s="514"/>
      <c r="F10" s="514"/>
      <c r="G10" s="514"/>
      <c r="H10" s="574" t="s">
        <v>50</v>
      </c>
      <c r="I10" s="574"/>
      <c r="J10" s="514"/>
      <c r="K10" s="514"/>
      <c r="L10" s="11"/>
    </row>
    <row r="11" spans="1:12" ht="12.75" customHeight="1" x14ac:dyDescent="0.25">
      <c r="A11" s="11"/>
      <c r="B11" s="29"/>
      <c r="C11" s="29"/>
      <c r="D11" s="29"/>
      <c r="E11" s="29"/>
      <c r="F11" s="29"/>
      <c r="G11" s="29"/>
      <c r="H11" s="30"/>
      <c r="I11" s="30"/>
      <c r="J11" s="29"/>
      <c r="K11" s="29"/>
      <c r="L11" s="11"/>
    </row>
    <row r="12" spans="1:12" ht="12.75" customHeight="1" x14ac:dyDescent="0.25">
      <c r="A12" s="11"/>
      <c r="B12" s="554" t="s">
        <v>51</v>
      </c>
      <c r="C12" s="554"/>
      <c r="D12" s="554"/>
      <c r="E12" s="554"/>
      <c r="F12" s="554"/>
      <c r="G12" s="554"/>
      <c r="H12" s="513" t="s">
        <v>52</v>
      </c>
      <c r="I12" s="513"/>
      <c r="J12" s="511" t="s">
        <v>53</v>
      </c>
      <c r="K12" s="511"/>
      <c r="L12" s="11"/>
    </row>
    <row r="13" spans="1:12" ht="12.75" customHeight="1" x14ac:dyDescent="0.25">
      <c r="A13" s="11"/>
      <c r="B13" s="559">
        <f>8024/0.903</f>
        <v>8885.9357696567004</v>
      </c>
      <c r="C13" s="523">
        <v>2</v>
      </c>
      <c r="D13" s="534" t="s">
        <v>54</v>
      </c>
      <c r="E13" s="541"/>
      <c r="F13" s="528"/>
      <c r="G13" s="537" t="s">
        <v>45</v>
      </c>
      <c r="H13" s="534" t="s">
        <v>55</v>
      </c>
      <c r="I13" s="523"/>
      <c r="J13" s="534" t="s">
        <v>310</v>
      </c>
      <c r="K13" s="528"/>
      <c r="L13" s="11"/>
    </row>
    <row r="14" spans="1:12" ht="12.75" customHeight="1" x14ac:dyDescent="0.25">
      <c r="A14" s="11"/>
      <c r="B14" s="560"/>
      <c r="C14" s="520"/>
      <c r="D14" s="535"/>
      <c r="E14" s="542"/>
      <c r="F14" s="529"/>
      <c r="G14" s="538"/>
      <c r="H14" s="561"/>
      <c r="I14" s="562"/>
      <c r="J14" s="539"/>
      <c r="K14" s="543"/>
      <c r="L14" s="11"/>
    </row>
    <row r="15" spans="1:12" ht="12.75" customHeight="1" x14ac:dyDescent="0.25">
      <c r="A15" s="11"/>
      <c r="B15" s="565">
        <v>0.43</v>
      </c>
      <c r="C15" s="536"/>
      <c r="D15" s="534" t="s">
        <v>343</v>
      </c>
      <c r="E15" s="541"/>
      <c r="F15" s="528"/>
      <c r="G15" s="537" t="s">
        <v>45</v>
      </c>
      <c r="H15" s="530" t="s">
        <v>56</v>
      </c>
      <c r="I15" s="562"/>
      <c r="J15" s="539"/>
      <c r="K15" s="543"/>
      <c r="L15" s="11"/>
    </row>
    <row r="16" spans="1:12" ht="12.75" customHeight="1" thickBot="1" x14ac:dyDescent="0.3">
      <c r="A16" s="11"/>
      <c r="B16" s="566"/>
      <c r="C16" s="495"/>
      <c r="D16" s="549"/>
      <c r="E16" s="550"/>
      <c r="F16" s="564"/>
      <c r="G16" s="567"/>
      <c r="H16" s="568"/>
      <c r="I16" s="563"/>
      <c r="J16" s="549"/>
      <c r="K16" s="564"/>
      <c r="L16" s="11"/>
    </row>
    <row r="17" spans="1:12" ht="12.75" customHeight="1" x14ac:dyDescent="0.25">
      <c r="A17" s="11"/>
      <c r="B17" s="569">
        <v>0.05</v>
      </c>
      <c r="C17" s="519"/>
      <c r="D17" s="547" t="s">
        <v>277</v>
      </c>
      <c r="E17" s="548"/>
      <c r="F17" s="551"/>
      <c r="G17" s="552" t="s">
        <v>579</v>
      </c>
      <c r="H17" s="547" t="s">
        <v>318</v>
      </c>
      <c r="I17" s="525"/>
      <c r="J17" s="547" t="s">
        <v>311</v>
      </c>
      <c r="K17" s="551"/>
      <c r="L17" s="11"/>
    </row>
    <row r="18" spans="1:12" ht="12.75" customHeight="1" x14ac:dyDescent="0.25">
      <c r="A18" s="11"/>
      <c r="B18" s="558"/>
      <c r="C18" s="520"/>
      <c r="D18" s="535"/>
      <c r="E18" s="542"/>
      <c r="F18" s="529"/>
      <c r="G18" s="553"/>
      <c r="H18" s="539"/>
      <c r="I18" s="526"/>
      <c r="J18" s="535"/>
      <c r="K18" s="529"/>
      <c r="L18" s="11"/>
    </row>
    <row r="19" spans="1:12" ht="12.75" customHeight="1" x14ac:dyDescent="0.25">
      <c r="A19" s="11"/>
      <c r="B19" s="570">
        <v>1.6</v>
      </c>
      <c r="C19" s="562" t="s">
        <v>96</v>
      </c>
      <c r="D19" s="534" t="s">
        <v>58</v>
      </c>
      <c r="E19" s="541"/>
      <c r="F19" s="543"/>
      <c r="G19" s="553"/>
      <c r="H19" s="530" t="s">
        <v>56</v>
      </c>
      <c r="I19" s="526"/>
      <c r="J19" s="539" t="s">
        <v>295</v>
      </c>
      <c r="K19" s="497"/>
      <c r="L19" s="11"/>
    </row>
    <row r="20" spans="1:12" ht="12.75" customHeight="1" x14ac:dyDescent="0.25">
      <c r="A20" s="11"/>
      <c r="B20" s="556"/>
      <c r="C20" s="520"/>
      <c r="D20" s="535"/>
      <c r="E20" s="542"/>
      <c r="F20" s="529"/>
      <c r="G20" s="538"/>
      <c r="H20" s="531"/>
      <c r="I20" s="527"/>
      <c r="J20" s="535"/>
      <c r="K20" s="475"/>
      <c r="L20" s="11"/>
    </row>
    <row r="21" spans="1:12" ht="12.75" customHeight="1" x14ac:dyDescent="0.25">
      <c r="A21" s="11"/>
      <c r="B21" s="521">
        <v>5.9999999999999995E-4</v>
      </c>
      <c r="C21" s="523">
        <v>5</v>
      </c>
      <c r="D21" s="534" t="s">
        <v>59</v>
      </c>
      <c r="E21" s="541"/>
      <c r="F21" s="528"/>
      <c r="G21" s="537" t="s">
        <v>45</v>
      </c>
      <c r="H21" s="337" t="s">
        <v>306</v>
      </c>
      <c r="I21" s="536"/>
      <c r="J21" s="534" t="s">
        <v>506</v>
      </c>
      <c r="K21" s="536"/>
      <c r="L21" s="11"/>
    </row>
    <row r="22" spans="1:12" ht="12.75" customHeight="1" x14ac:dyDescent="0.25">
      <c r="A22" s="11"/>
      <c r="B22" s="522"/>
      <c r="C22" s="520"/>
      <c r="D22" s="535"/>
      <c r="E22" s="542"/>
      <c r="F22" s="529"/>
      <c r="G22" s="538"/>
      <c r="H22" s="18" t="s">
        <v>60</v>
      </c>
      <c r="I22" s="475"/>
      <c r="J22" s="535"/>
      <c r="K22" s="475"/>
      <c r="L22" s="11"/>
    </row>
    <row r="23" spans="1:12" ht="12.75" customHeight="1" x14ac:dyDescent="0.25">
      <c r="A23" s="11"/>
      <c r="B23" s="559">
        <v>0</v>
      </c>
      <c r="C23" s="536"/>
      <c r="D23" s="534" t="s">
        <v>61</v>
      </c>
      <c r="E23" s="541"/>
      <c r="F23" s="528"/>
      <c r="G23" s="537" t="s">
        <v>45</v>
      </c>
      <c r="H23" s="534" t="s">
        <v>207</v>
      </c>
      <c r="I23" s="523"/>
      <c r="J23" s="534" t="s">
        <v>333</v>
      </c>
      <c r="K23" s="536"/>
      <c r="L23" s="11"/>
    </row>
    <row r="24" spans="1:12" ht="12.75" customHeight="1" x14ac:dyDescent="0.25">
      <c r="A24" s="11"/>
      <c r="B24" s="560"/>
      <c r="C24" s="475"/>
      <c r="D24" s="535"/>
      <c r="E24" s="542"/>
      <c r="F24" s="529"/>
      <c r="G24" s="538"/>
      <c r="H24" s="535"/>
      <c r="I24" s="520"/>
      <c r="J24" s="535"/>
      <c r="K24" s="475"/>
      <c r="L24" s="11"/>
    </row>
    <row r="25" spans="1:12" ht="12.75" customHeight="1" x14ac:dyDescent="0.25">
      <c r="A25" s="11"/>
      <c r="B25" s="557">
        <v>0.04</v>
      </c>
      <c r="C25" s="523"/>
      <c r="D25" s="534" t="s">
        <v>278</v>
      </c>
      <c r="E25" s="541"/>
      <c r="F25" s="543"/>
      <c r="G25" s="537" t="s">
        <v>579</v>
      </c>
      <c r="H25" s="539" t="s">
        <v>318</v>
      </c>
      <c r="I25" s="526"/>
      <c r="J25" s="539" t="s">
        <v>311</v>
      </c>
      <c r="K25" s="536"/>
      <c r="L25" s="11"/>
    </row>
    <row r="26" spans="1:12" ht="12.75" customHeight="1" x14ac:dyDescent="0.25">
      <c r="A26" s="11"/>
      <c r="B26" s="558"/>
      <c r="C26" s="520"/>
      <c r="D26" s="535"/>
      <c r="E26" s="542"/>
      <c r="F26" s="529"/>
      <c r="G26" s="553"/>
      <c r="H26" s="539"/>
      <c r="I26" s="526"/>
      <c r="J26" s="535"/>
      <c r="K26" s="475"/>
      <c r="L26" s="11"/>
    </row>
    <row r="27" spans="1:12" ht="12.75" customHeight="1" x14ac:dyDescent="0.25">
      <c r="A27" s="11"/>
      <c r="B27" s="559">
        <v>2</v>
      </c>
      <c r="C27" s="523">
        <v>6</v>
      </c>
      <c r="D27" s="534" t="s">
        <v>62</v>
      </c>
      <c r="E27" s="541"/>
      <c r="F27" s="528"/>
      <c r="G27" s="553"/>
      <c r="H27" s="530" t="s">
        <v>56</v>
      </c>
      <c r="I27" s="526"/>
      <c r="J27" s="534" t="s">
        <v>294</v>
      </c>
      <c r="K27" s="528"/>
      <c r="L27" s="11"/>
    </row>
    <row r="28" spans="1:12" ht="12.75" customHeight="1" x14ac:dyDescent="0.25">
      <c r="A28" s="11"/>
      <c r="B28" s="560"/>
      <c r="C28" s="520"/>
      <c r="D28" s="535"/>
      <c r="E28" s="542"/>
      <c r="F28" s="529"/>
      <c r="G28" s="538"/>
      <c r="H28" s="531"/>
      <c r="I28" s="527"/>
      <c r="J28" s="535"/>
      <c r="K28" s="529"/>
      <c r="L28" s="11"/>
    </row>
    <row r="29" spans="1:12" ht="12.75" customHeight="1" x14ac:dyDescent="0.25">
      <c r="A29" s="11"/>
      <c r="B29" s="557">
        <f>31.9*(12.011+2*16)/12.011</f>
        <v>116.88876030305552</v>
      </c>
      <c r="C29" s="523">
        <v>7</v>
      </c>
      <c r="D29" s="534" t="s">
        <v>63</v>
      </c>
      <c r="E29" s="541"/>
      <c r="F29" s="528"/>
      <c r="G29" s="537" t="s">
        <v>579</v>
      </c>
      <c r="H29" s="17" t="s">
        <v>152</v>
      </c>
      <c r="I29" s="536"/>
      <c r="J29" s="534" t="s">
        <v>153</v>
      </c>
      <c r="K29" s="523"/>
      <c r="L29" s="11"/>
    </row>
    <row r="30" spans="1:12" ht="12.75" customHeight="1" x14ac:dyDescent="0.25">
      <c r="A30" s="11"/>
      <c r="B30" s="558"/>
      <c r="C30" s="520"/>
      <c r="D30" s="535"/>
      <c r="E30" s="542"/>
      <c r="F30" s="529"/>
      <c r="G30" s="538"/>
      <c r="H30" s="19" t="s">
        <v>138</v>
      </c>
      <c r="I30" s="475"/>
      <c r="J30" s="535"/>
      <c r="K30" s="520"/>
      <c r="L30" s="11"/>
    </row>
    <row r="31" spans="1:12" x14ac:dyDescent="0.25">
      <c r="A31" s="11"/>
      <c r="B31" s="20" t="s">
        <v>27</v>
      </c>
      <c r="C31" s="575"/>
      <c r="D31" s="575"/>
      <c r="E31" s="576"/>
      <c r="F31" s="575"/>
      <c r="G31" s="575"/>
      <c r="H31" s="575"/>
      <c r="I31" s="575"/>
      <c r="J31" s="575"/>
      <c r="K31" s="575"/>
      <c r="L31" s="11"/>
    </row>
    <row r="32" spans="1:12" x14ac:dyDescent="0.25">
      <c r="A32" s="11"/>
      <c r="B32" s="11"/>
      <c r="C32" s="21">
        <v>1</v>
      </c>
      <c r="D32" s="512" t="s">
        <v>211</v>
      </c>
      <c r="E32" s="512"/>
      <c r="F32" s="512"/>
      <c r="G32" s="512"/>
      <c r="H32" s="512"/>
      <c r="I32" s="512"/>
      <c r="J32" s="512"/>
      <c r="K32" s="512"/>
      <c r="L32" s="11"/>
    </row>
    <row r="33" spans="1:12" x14ac:dyDescent="0.25">
      <c r="A33" s="11"/>
      <c r="B33" s="11"/>
      <c r="C33" s="11"/>
      <c r="D33" s="512"/>
      <c r="E33" s="512"/>
      <c r="F33" s="512"/>
      <c r="G33" s="512"/>
      <c r="H33" s="512"/>
      <c r="I33" s="512"/>
      <c r="J33" s="512"/>
      <c r="K33" s="512"/>
      <c r="L33" s="11"/>
    </row>
    <row r="34" spans="1:12" ht="12.75" customHeight="1" x14ac:dyDescent="0.25">
      <c r="A34" s="11"/>
      <c r="B34" s="11"/>
      <c r="C34" s="11"/>
      <c r="D34" s="498" t="s">
        <v>527</v>
      </c>
      <c r="E34" s="498"/>
      <c r="F34" s="498"/>
      <c r="G34" s="500" t="s">
        <v>56</v>
      </c>
      <c r="H34" s="500"/>
      <c r="I34" s="500"/>
      <c r="J34" s="500"/>
      <c r="K34" s="500"/>
      <c r="L34" s="11"/>
    </row>
    <row r="35" spans="1:12" ht="12.75" customHeight="1" x14ac:dyDescent="0.25">
      <c r="A35" s="11"/>
      <c r="B35" s="11"/>
      <c r="C35" s="11"/>
      <c r="D35" s="498" t="s">
        <v>78</v>
      </c>
      <c r="E35" s="498"/>
      <c r="F35" s="498"/>
      <c r="G35" s="499" t="s">
        <v>65</v>
      </c>
      <c r="H35" s="499"/>
      <c r="I35" s="499"/>
      <c r="J35" s="499"/>
      <c r="K35" s="499"/>
      <c r="L35" s="11"/>
    </row>
    <row r="36" spans="1:12" ht="12.75" customHeight="1" x14ac:dyDescent="0.25">
      <c r="A36" s="11"/>
      <c r="B36" s="11"/>
      <c r="C36" s="11"/>
      <c r="D36" s="498" t="s">
        <v>79</v>
      </c>
      <c r="E36" s="498"/>
      <c r="F36" s="498"/>
      <c r="G36" s="500" t="s">
        <v>64</v>
      </c>
      <c r="H36" s="500"/>
      <c r="I36" s="500"/>
      <c r="J36" s="500"/>
      <c r="K36" s="500"/>
      <c r="L36" s="11"/>
    </row>
    <row r="37" spans="1:12" x14ac:dyDescent="0.25">
      <c r="A37" s="11"/>
      <c r="B37" s="11"/>
      <c r="C37" s="21">
        <f>+C13</f>
        <v>2</v>
      </c>
      <c r="D37" s="504" t="s">
        <v>371</v>
      </c>
      <c r="E37" s="504"/>
      <c r="F37" s="504"/>
      <c r="G37" s="504"/>
      <c r="H37" s="504"/>
      <c r="I37" s="504"/>
      <c r="J37" s="504"/>
      <c r="K37" s="504"/>
      <c r="L37" s="11"/>
    </row>
    <row r="38" spans="1:12" x14ac:dyDescent="0.25">
      <c r="A38" s="11"/>
      <c r="B38" s="11"/>
      <c r="C38" s="21"/>
      <c r="D38" s="22"/>
      <c r="E38" s="503"/>
      <c r="F38" s="503"/>
      <c r="G38" s="503"/>
      <c r="H38" s="503"/>
      <c r="I38" s="503"/>
      <c r="J38" s="503"/>
      <c r="K38" s="503"/>
      <c r="L38" s="11"/>
    </row>
    <row r="39" spans="1:12" x14ac:dyDescent="0.25">
      <c r="A39" s="23"/>
      <c r="B39" s="11"/>
      <c r="C39" s="21"/>
      <c r="D39" s="22"/>
      <c r="E39" s="503"/>
      <c r="F39" s="503"/>
      <c r="G39" s="503"/>
      <c r="H39" s="503"/>
      <c r="I39" s="503"/>
      <c r="J39" s="503"/>
      <c r="K39" s="503"/>
      <c r="L39" s="11"/>
    </row>
    <row r="40" spans="1:12" x14ac:dyDescent="0.25">
      <c r="A40" s="11"/>
      <c r="B40" s="11"/>
      <c r="C40" s="21"/>
      <c r="D40" s="22"/>
      <c r="E40" s="503"/>
      <c r="F40" s="503"/>
      <c r="G40" s="503"/>
      <c r="H40" s="503"/>
      <c r="I40" s="503"/>
      <c r="J40" s="503"/>
      <c r="K40" s="503"/>
      <c r="L40" s="11"/>
    </row>
    <row r="41" spans="1:12" x14ac:dyDescent="0.25">
      <c r="A41" s="11"/>
      <c r="B41" s="11"/>
      <c r="C41" s="24">
        <v>3</v>
      </c>
      <c r="D41" s="504" t="s">
        <v>309</v>
      </c>
      <c r="E41" s="504"/>
      <c r="F41" s="504"/>
      <c r="G41" s="504"/>
      <c r="H41" s="504"/>
      <c r="I41" s="504"/>
      <c r="J41" s="504"/>
      <c r="K41" s="504"/>
      <c r="L41" s="11"/>
    </row>
    <row r="42" spans="1:12" ht="12.75" customHeight="1" x14ac:dyDescent="0.25">
      <c r="A42" s="11"/>
      <c r="B42" s="11"/>
      <c r="C42" s="11"/>
      <c r="D42" s="11"/>
      <c r="E42" s="501"/>
      <c r="F42" s="501"/>
      <c r="G42" s="501"/>
      <c r="H42" s="501"/>
      <c r="I42" s="501"/>
      <c r="J42" s="501"/>
      <c r="K42" s="501"/>
      <c r="L42" s="11"/>
    </row>
    <row r="43" spans="1:12" ht="12.75" customHeight="1" x14ac:dyDescent="0.25">
      <c r="A43" s="11"/>
      <c r="B43" s="11"/>
      <c r="C43" s="11"/>
      <c r="D43" s="11"/>
      <c r="E43" s="501"/>
      <c r="F43" s="501"/>
      <c r="G43" s="501"/>
      <c r="H43" s="501"/>
      <c r="I43" s="501"/>
      <c r="J43" s="501"/>
      <c r="K43" s="501"/>
      <c r="L43" s="11"/>
    </row>
    <row r="44" spans="1:12" ht="12.75" customHeight="1" x14ac:dyDescent="0.25">
      <c r="A44" s="11"/>
      <c r="B44" s="11"/>
      <c r="C44" s="11"/>
      <c r="D44" s="11"/>
      <c r="E44" s="501"/>
      <c r="F44" s="501"/>
      <c r="G44" s="501"/>
      <c r="H44" s="501"/>
      <c r="I44" s="501"/>
      <c r="J44" s="501"/>
      <c r="K44" s="501"/>
      <c r="L44" s="11"/>
    </row>
    <row r="45" spans="1:12" ht="12.75" customHeight="1" x14ac:dyDescent="0.25">
      <c r="A45" s="11"/>
      <c r="B45" s="11"/>
      <c r="C45" s="24"/>
      <c r="D45" s="504" t="s">
        <v>334</v>
      </c>
      <c r="E45" s="504"/>
      <c r="F45" s="504"/>
      <c r="G45" s="504"/>
      <c r="H45" s="504"/>
      <c r="I45" s="504"/>
      <c r="J45" s="504"/>
      <c r="K45" s="504"/>
      <c r="L45" s="11"/>
    </row>
    <row r="46" spans="1:12" ht="12.75" customHeight="1" x14ac:dyDescent="0.25">
      <c r="A46" s="11"/>
      <c r="B46" s="11"/>
      <c r="C46" s="24">
        <v>4</v>
      </c>
      <c r="D46" s="504" t="s">
        <v>581</v>
      </c>
      <c r="E46" s="504"/>
      <c r="F46" s="504"/>
      <c r="G46" s="504"/>
      <c r="H46" s="504"/>
      <c r="I46" s="504"/>
      <c r="J46" s="504"/>
      <c r="K46" s="504"/>
      <c r="L46" s="11"/>
    </row>
    <row r="47" spans="1:12" ht="12.75" customHeight="1" x14ac:dyDescent="0.25">
      <c r="A47" s="11"/>
      <c r="B47" s="11"/>
      <c r="C47" s="24"/>
      <c r="D47" s="500" t="s">
        <v>203</v>
      </c>
      <c r="E47" s="500"/>
      <c r="F47" s="500"/>
      <c r="G47" s="500"/>
      <c r="H47" s="500"/>
      <c r="I47" s="500"/>
      <c r="J47" s="500"/>
      <c r="K47" s="500"/>
      <c r="L47" s="11"/>
    </row>
    <row r="48" spans="1:12" ht="12.75" customHeight="1" x14ac:dyDescent="0.25">
      <c r="A48" s="11"/>
      <c r="B48" s="11"/>
      <c r="C48" s="24">
        <f>+C21</f>
        <v>5</v>
      </c>
      <c r="D48" s="533" t="s">
        <v>582</v>
      </c>
      <c r="E48" s="533"/>
      <c r="F48" s="533"/>
      <c r="G48" s="533"/>
      <c r="H48" s="533"/>
      <c r="I48" s="533"/>
      <c r="J48" s="533"/>
      <c r="K48" s="533"/>
      <c r="L48" s="11"/>
    </row>
    <row r="49" spans="1:12" x14ac:dyDescent="0.25">
      <c r="A49" s="11"/>
      <c r="B49" s="11"/>
      <c r="C49" s="11"/>
      <c r="D49" s="533"/>
      <c r="E49" s="533"/>
      <c r="F49" s="533"/>
      <c r="G49" s="533"/>
      <c r="H49" s="533"/>
      <c r="I49" s="533"/>
      <c r="J49" s="533"/>
      <c r="K49" s="533"/>
      <c r="L49" s="11"/>
    </row>
    <row r="50" spans="1:12" ht="12.75" customHeight="1" x14ac:dyDescent="0.25">
      <c r="A50" s="11"/>
      <c r="B50" s="11"/>
      <c r="C50" s="25">
        <f>+C27</f>
        <v>6</v>
      </c>
      <c r="D50" s="504" t="s">
        <v>296</v>
      </c>
      <c r="E50" s="504"/>
      <c r="F50" s="504"/>
      <c r="G50" s="504"/>
      <c r="H50" s="504"/>
      <c r="I50" s="504"/>
      <c r="J50" s="504"/>
      <c r="K50" s="504"/>
      <c r="L50" s="11"/>
    </row>
    <row r="51" spans="1:12" ht="12.75" customHeight="1" x14ac:dyDescent="0.25">
      <c r="A51" s="11"/>
      <c r="B51" s="11"/>
      <c r="C51" s="11"/>
      <c r="D51" s="11"/>
      <c r="E51" s="501"/>
      <c r="F51" s="501"/>
      <c r="G51" s="501"/>
      <c r="H51" s="501"/>
      <c r="I51" s="501"/>
      <c r="J51" s="501"/>
      <c r="K51" s="501"/>
      <c r="L51" s="11"/>
    </row>
    <row r="52" spans="1:12" ht="12.75" customHeight="1" x14ac:dyDescent="0.25">
      <c r="A52" s="11"/>
      <c r="B52" s="11"/>
      <c r="C52" s="11"/>
      <c r="D52" s="11"/>
      <c r="E52" s="501"/>
      <c r="F52" s="501"/>
      <c r="G52" s="501"/>
      <c r="H52" s="501"/>
      <c r="I52" s="501"/>
      <c r="J52" s="501"/>
      <c r="K52" s="501"/>
      <c r="L52" s="11"/>
    </row>
    <row r="53" spans="1:12" ht="12.75" customHeight="1" x14ac:dyDescent="0.25">
      <c r="A53" s="11"/>
      <c r="B53" s="11"/>
      <c r="C53" s="11"/>
      <c r="D53" s="11"/>
      <c r="E53" s="501"/>
      <c r="F53" s="501"/>
      <c r="G53" s="501"/>
      <c r="H53" s="501"/>
      <c r="I53" s="501"/>
      <c r="J53" s="501"/>
      <c r="K53" s="501"/>
      <c r="L53" s="11"/>
    </row>
    <row r="54" spans="1:12" ht="12.75" customHeight="1" x14ac:dyDescent="0.25">
      <c r="A54" s="11"/>
      <c r="B54" s="11"/>
      <c r="C54" s="11"/>
      <c r="D54" s="504" t="s">
        <v>319</v>
      </c>
      <c r="E54" s="504"/>
      <c r="F54" s="504"/>
      <c r="G54" s="504"/>
      <c r="H54" s="504"/>
      <c r="I54" s="504"/>
      <c r="J54" s="504"/>
      <c r="K54" s="504"/>
      <c r="L54" s="11"/>
    </row>
    <row r="55" spans="1:12" ht="12.75" customHeight="1" x14ac:dyDescent="0.25">
      <c r="A55" s="11"/>
      <c r="B55" s="11"/>
      <c r="C55" s="24">
        <f>+C29</f>
        <v>7</v>
      </c>
      <c r="D55" s="504" t="s">
        <v>583</v>
      </c>
      <c r="E55" s="504"/>
      <c r="F55" s="504"/>
      <c r="G55" s="504"/>
      <c r="H55" s="504"/>
      <c r="I55" s="504"/>
      <c r="J55" s="504"/>
      <c r="K55" s="504"/>
      <c r="L55" s="11"/>
    </row>
    <row r="56" spans="1:12" ht="12.75" customHeight="1" x14ac:dyDescent="0.25">
      <c r="A56" s="11"/>
      <c r="B56" s="11"/>
      <c r="C56" s="26"/>
      <c r="D56" s="504"/>
      <c r="E56" s="504"/>
      <c r="F56" s="504"/>
      <c r="G56" s="504"/>
      <c r="H56" s="504"/>
      <c r="I56" s="504"/>
      <c r="J56" s="504"/>
      <c r="K56" s="504"/>
      <c r="L56" s="11"/>
    </row>
    <row r="57" spans="1:12" ht="12.75" customHeight="1" x14ac:dyDescent="0.25">
      <c r="A57" s="11"/>
      <c r="B57" s="11"/>
      <c r="C57" s="11"/>
      <c r="D57" s="11"/>
      <c r="E57" s="501"/>
      <c r="F57" s="501"/>
      <c r="G57" s="501"/>
      <c r="H57" s="501"/>
      <c r="I57" s="501"/>
      <c r="J57" s="501"/>
      <c r="K57" s="501"/>
      <c r="L57" s="11"/>
    </row>
    <row r="58" spans="1:12" ht="12.75" customHeight="1" x14ac:dyDescent="0.25">
      <c r="A58" s="11"/>
      <c r="B58" s="11"/>
      <c r="C58" s="11"/>
      <c r="D58" s="11"/>
      <c r="E58" s="501"/>
      <c r="F58" s="501"/>
      <c r="G58" s="501"/>
      <c r="H58" s="501"/>
      <c r="I58" s="501"/>
      <c r="J58" s="501"/>
      <c r="K58" s="501"/>
      <c r="L58" s="11"/>
    </row>
    <row r="59" spans="1:12" ht="12.75" customHeight="1" x14ac:dyDescent="0.25">
      <c r="A59" s="11"/>
      <c r="B59" s="11"/>
      <c r="C59" s="11"/>
      <c r="D59" s="11"/>
      <c r="E59" s="501"/>
      <c r="F59" s="501"/>
      <c r="G59" s="501"/>
      <c r="H59" s="501"/>
      <c r="I59" s="501"/>
      <c r="J59" s="501"/>
      <c r="K59" s="501"/>
      <c r="L59" s="11"/>
    </row>
    <row r="60" spans="1:12" ht="12.75" customHeight="1" x14ac:dyDescent="0.25">
      <c r="A60" s="11"/>
      <c r="B60" s="11"/>
      <c r="C60" s="11"/>
      <c r="D60" s="533" t="s">
        <v>584</v>
      </c>
      <c r="E60" s="533"/>
      <c r="F60" s="533"/>
      <c r="G60" s="533"/>
      <c r="H60" s="533"/>
      <c r="I60" s="533"/>
      <c r="J60" s="533"/>
      <c r="K60" s="533"/>
      <c r="L60" s="11"/>
    </row>
    <row r="61" spans="1:12" ht="12.75" customHeight="1" x14ac:dyDescent="0.25">
      <c r="A61" s="11"/>
      <c r="B61" s="11"/>
      <c r="C61" s="11"/>
      <c r="D61" s="533"/>
      <c r="E61" s="533"/>
      <c r="F61" s="533"/>
      <c r="G61" s="533"/>
      <c r="H61" s="533"/>
      <c r="I61" s="533"/>
      <c r="J61" s="533"/>
      <c r="K61" s="533"/>
      <c r="L61" s="11"/>
    </row>
    <row r="62" spans="1:12" ht="12.75" customHeight="1" x14ac:dyDescent="0.25">
      <c r="A62" s="11"/>
      <c r="B62" s="501"/>
      <c r="C62" s="501"/>
      <c r="D62" s="501"/>
      <c r="E62" s="501"/>
      <c r="F62" s="501"/>
      <c r="G62" s="501"/>
      <c r="H62" s="501"/>
      <c r="I62" s="501"/>
      <c r="J62" s="501"/>
      <c r="K62" s="501"/>
      <c r="L62" s="11"/>
    </row>
    <row r="63" spans="1:12" ht="12.75" customHeight="1" x14ac:dyDescent="0.25">
      <c r="A63" s="11"/>
      <c r="B63" s="501"/>
      <c r="C63" s="501"/>
      <c r="D63" s="501"/>
      <c r="E63" s="501"/>
      <c r="F63" s="501"/>
      <c r="G63" s="501"/>
      <c r="H63" s="501"/>
      <c r="I63" s="501"/>
      <c r="J63" s="501"/>
      <c r="K63" s="501"/>
      <c r="L63" s="11"/>
    </row>
    <row r="64" spans="1:12" ht="12.75" customHeight="1" x14ac:dyDescent="0.25">
      <c r="A64" s="11"/>
      <c r="B64" s="501"/>
      <c r="C64" s="501"/>
      <c r="D64" s="501"/>
      <c r="E64" s="501"/>
      <c r="F64" s="501"/>
      <c r="G64" s="501"/>
      <c r="H64" s="501"/>
      <c r="I64" s="501"/>
      <c r="J64" s="501"/>
      <c r="K64" s="501"/>
      <c r="L64" s="11"/>
    </row>
    <row r="65" spans="1:12" x14ac:dyDescent="0.25">
      <c r="A65" s="11"/>
      <c r="B65" s="501"/>
      <c r="C65" s="501"/>
      <c r="D65" s="501"/>
      <c r="E65" s="501"/>
      <c r="F65" s="501"/>
      <c r="G65" s="501"/>
      <c r="H65" s="501"/>
      <c r="I65" s="501"/>
      <c r="J65" s="501"/>
      <c r="K65" s="501"/>
      <c r="L65" s="11"/>
    </row>
    <row r="66" spans="1:12" ht="15.6" x14ac:dyDescent="0.25">
      <c r="A66" s="11"/>
      <c r="B66" s="554" t="s">
        <v>213</v>
      </c>
      <c r="C66" s="554"/>
      <c r="D66" s="554"/>
      <c r="E66" s="554"/>
      <c r="F66" s="554"/>
      <c r="G66" s="554"/>
      <c r="H66" s="513" t="s">
        <v>214</v>
      </c>
      <c r="I66" s="513"/>
      <c r="J66" s="511" t="s">
        <v>215</v>
      </c>
      <c r="K66" s="511"/>
      <c r="L66" s="11"/>
    </row>
    <row r="67" spans="1:12" ht="12.75" customHeight="1" x14ac:dyDescent="0.25">
      <c r="A67" s="11"/>
      <c r="B67" s="559">
        <f>9480/0.903</f>
        <v>10498.338870431893</v>
      </c>
      <c r="C67" s="523" t="s">
        <v>216</v>
      </c>
      <c r="D67" s="534" t="s">
        <v>54</v>
      </c>
      <c r="E67" s="541"/>
      <c r="F67" s="528"/>
      <c r="G67" s="537" t="s">
        <v>45</v>
      </c>
      <c r="H67" s="534" t="s">
        <v>147</v>
      </c>
      <c r="I67" s="523"/>
      <c r="J67" s="534" t="s">
        <v>585</v>
      </c>
      <c r="K67" s="528"/>
      <c r="L67" s="11"/>
    </row>
    <row r="68" spans="1:12" x14ac:dyDescent="0.25">
      <c r="A68" s="11"/>
      <c r="B68" s="560"/>
      <c r="C68" s="520"/>
      <c r="D68" s="535"/>
      <c r="E68" s="542"/>
      <c r="F68" s="529"/>
      <c r="G68" s="538"/>
      <c r="H68" s="561"/>
      <c r="I68" s="562"/>
      <c r="J68" s="539"/>
      <c r="K68" s="543"/>
      <c r="L68" s="11"/>
    </row>
    <row r="69" spans="1:12" ht="12.75" customHeight="1" x14ac:dyDescent="0.25">
      <c r="A69" s="11"/>
      <c r="B69" s="565">
        <v>0.33</v>
      </c>
      <c r="C69" s="523">
        <v>3</v>
      </c>
      <c r="D69" s="534" t="s">
        <v>343</v>
      </c>
      <c r="E69" s="541"/>
      <c r="F69" s="528"/>
      <c r="G69" s="537" t="s">
        <v>45</v>
      </c>
      <c r="H69" s="530" t="s">
        <v>56</v>
      </c>
      <c r="I69" s="562"/>
      <c r="J69" s="539"/>
      <c r="K69" s="543"/>
      <c r="L69" s="11"/>
    </row>
    <row r="70" spans="1:12" ht="13.8" thickBot="1" x14ac:dyDescent="0.3">
      <c r="A70" s="11"/>
      <c r="B70" s="566"/>
      <c r="C70" s="563"/>
      <c r="D70" s="549"/>
      <c r="E70" s="550"/>
      <c r="F70" s="564"/>
      <c r="G70" s="567"/>
      <c r="H70" s="568"/>
      <c r="I70" s="563"/>
      <c r="J70" s="549"/>
      <c r="K70" s="564"/>
      <c r="L70" s="11"/>
    </row>
    <row r="71" spans="1:12" ht="12.75" customHeight="1" x14ac:dyDescent="0.25">
      <c r="A71" s="11"/>
      <c r="B71" s="517">
        <v>3.5000000000000003E-2</v>
      </c>
      <c r="C71" s="519"/>
      <c r="D71" s="547" t="s">
        <v>277</v>
      </c>
      <c r="E71" s="548"/>
      <c r="F71" s="551"/>
      <c r="G71" s="552" t="s">
        <v>579</v>
      </c>
      <c r="H71" s="547" t="s">
        <v>320</v>
      </c>
      <c r="I71" s="525"/>
      <c r="J71" s="547" t="s">
        <v>312</v>
      </c>
      <c r="K71" s="536"/>
      <c r="L71" s="11"/>
    </row>
    <row r="72" spans="1:12" ht="12.75" customHeight="1" x14ac:dyDescent="0.25">
      <c r="A72" s="11"/>
      <c r="B72" s="518"/>
      <c r="C72" s="520"/>
      <c r="D72" s="535"/>
      <c r="E72" s="542"/>
      <c r="F72" s="529"/>
      <c r="G72" s="553"/>
      <c r="H72" s="539"/>
      <c r="I72" s="526"/>
      <c r="J72" s="539"/>
      <c r="K72" s="475"/>
      <c r="L72" s="11"/>
    </row>
    <row r="73" spans="1:12" ht="12.75" customHeight="1" x14ac:dyDescent="0.25">
      <c r="A73" s="11"/>
      <c r="B73" s="555">
        <v>0.9</v>
      </c>
      <c r="C73" s="523" t="s">
        <v>217</v>
      </c>
      <c r="D73" s="534" t="s">
        <v>58</v>
      </c>
      <c r="E73" s="541"/>
      <c r="F73" s="528"/>
      <c r="G73" s="553"/>
      <c r="H73" s="530" t="s">
        <v>56</v>
      </c>
      <c r="I73" s="526"/>
      <c r="J73" s="534" t="s">
        <v>295</v>
      </c>
      <c r="K73" s="536"/>
      <c r="L73" s="11"/>
    </row>
    <row r="74" spans="1:12" ht="12.75" customHeight="1" x14ac:dyDescent="0.25">
      <c r="A74" s="11"/>
      <c r="B74" s="556"/>
      <c r="C74" s="520"/>
      <c r="D74" s="535"/>
      <c r="E74" s="542"/>
      <c r="F74" s="529"/>
      <c r="G74" s="538"/>
      <c r="H74" s="531"/>
      <c r="I74" s="527"/>
      <c r="J74" s="535"/>
      <c r="K74" s="475"/>
      <c r="L74" s="11"/>
    </row>
    <row r="75" spans="1:12" ht="12.75" customHeight="1" x14ac:dyDescent="0.25">
      <c r="A75" s="11"/>
      <c r="B75" s="521">
        <v>5.9999999999999995E-4</v>
      </c>
      <c r="C75" s="523"/>
      <c r="D75" s="534" t="s">
        <v>59</v>
      </c>
      <c r="E75" s="541"/>
      <c r="F75" s="528"/>
      <c r="G75" s="537" t="s">
        <v>45</v>
      </c>
      <c r="H75" s="337" t="s">
        <v>306</v>
      </c>
      <c r="I75" s="536"/>
      <c r="J75" s="534" t="s">
        <v>506</v>
      </c>
      <c r="K75" s="536"/>
      <c r="L75" s="11"/>
    </row>
    <row r="76" spans="1:12" x14ac:dyDescent="0.25">
      <c r="A76" s="11"/>
      <c r="B76" s="522"/>
      <c r="C76" s="520"/>
      <c r="D76" s="535"/>
      <c r="E76" s="542"/>
      <c r="F76" s="529"/>
      <c r="G76" s="538"/>
      <c r="H76" s="18" t="s">
        <v>60</v>
      </c>
      <c r="I76" s="475"/>
      <c r="J76" s="535"/>
      <c r="K76" s="475"/>
      <c r="L76" s="11"/>
    </row>
    <row r="77" spans="1:12" ht="12.75" customHeight="1" x14ac:dyDescent="0.25">
      <c r="A77" s="11"/>
      <c r="B77" s="559">
        <v>0</v>
      </c>
      <c r="C77" s="536"/>
      <c r="D77" s="534" t="s">
        <v>61</v>
      </c>
      <c r="E77" s="541"/>
      <c r="F77" s="528"/>
      <c r="G77" s="537" t="s">
        <v>45</v>
      </c>
      <c r="H77" s="534" t="s">
        <v>207</v>
      </c>
      <c r="I77" s="523"/>
      <c r="J77" s="534" t="s">
        <v>335</v>
      </c>
      <c r="K77" s="536"/>
      <c r="L77" s="11"/>
    </row>
    <row r="78" spans="1:12" x14ac:dyDescent="0.25">
      <c r="A78" s="11"/>
      <c r="B78" s="560"/>
      <c r="C78" s="475"/>
      <c r="D78" s="535"/>
      <c r="E78" s="542"/>
      <c r="F78" s="529"/>
      <c r="G78" s="538"/>
      <c r="H78" s="535"/>
      <c r="I78" s="520"/>
      <c r="J78" s="535"/>
      <c r="K78" s="475"/>
      <c r="L78" s="11"/>
    </row>
    <row r="79" spans="1:12" ht="14.25" customHeight="1" x14ac:dyDescent="0.25">
      <c r="A79" s="11"/>
      <c r="B79" s="524">
        <v>4.2000000000000003E-2</v>
      </c>
      <c r="C79" s="523"/>
      <c r="D79" s="534" t="s">
        <v>278</v>
      </c>
      <c r="E79" s="541"/>
      <c r="F79" s="543"/>
      <c r="G79" s="537" t="s">
        <v>579</v>
      </c>
      <c r="H79" s="539" t="s">
        <v>274</v>
      </c>
      <c r="I79" s="544"/>
      <c r="J79" s="539" t="s">
        <v>312</v>
      </c>
      <c r="K79" s="528"/>
      <c r="L79" s="11"/>
    </row>
    <row r="80" spans="1:12" ht="14.25" customHeight="1" x14ac:dyDescent="0.25">
      <c r="A80" s="11"/>
      <c r="B80" s="518"/>
      <c r="C80" s="520"/>
      <c r="D80" s="535"/>
      <c r="E80" s="542"/>
      <c r="F80" s="529"/>
      <c r="G80" s="553"/>
      <c r="H80" s="539"/>
      <c r="I80" s="526"/>
      <c r="J80" s="535"/>
      <c r="K80" s="529"/>
      <c r="L80" s="11"/>
    </row>
    <row r="81" spans="1:12" ht="12.75" customHeight="1" x14ac:dyDescent="0.25">
      <c r="A81" s="11"/>
      <c r="B81" s="559">
        <v>2</v>
      </c>
      <c r="C81" s="523">
        <v>5</v>
      </c>
      <c r="D81" s="534" t="s">
        <v>62</v>
      </c>
      <c r="E81" s="541"/>
      <c r="F81" s="528"/>
      <c r="G81" s="553"/>
      <c r="H81" s="530" t="s">
        <v>56</v>
      </c>
      <c r="I81" s="526"/>
      <c r="J81" s="534" t="s">
        <v>294</v>
      </c>
      <c r="K81" s="536"/>
      <c r="L81" s="11"/>
    </row>
    <row r="82" spans="1:12" x14ac:dyDescent="0.25">
      <c r="A82" s="11"/>
      <c r="B82" s="560"/>
      <c r="C82" s="520"/>
      <c r="D82" s="535"/>
      <c r="E82" s="542"/>
      <c r="F82" s="529"/>
      <c r="G82" s="538"/>
      <c r="H82" s="531"/>
      <c r="I82" s="527"/>
      <c r="J82" s="535"/>
      <c r="K82" s="475"/>
      <c r="L82" s="11"/>
    </row>
    <row r="83" spans="1:12" ht="12.75" customHeight="1" x14ac:dyDescent="0.25">
      <c r="A83" s="11"/>
      <c r="B83" s="557">
        <f>31.9*(12.011+2*16)/12.011</f>
        <v>116.88876030305552</v>
      </c>
      <c r="C83" s="523">
        <v>6</v>
      </c>
      <c r="D83" s="534" t="s">
        <v>63</v>
      </c>
      <c r="E83" s="541"/>
      <c r="F83" s="528"/>
      <c r="G83" s="537" t="s">
        <v>579</v>
      </c>
      <c r="H83" s="17" t="s">
        <v>329</v>
      </c>
      <c r="I83" s="536"/>
      <c r="J83" s="534" t="s">
        <v>0</v>
      </c>
      <c r="K83" s="523"/>
      <c r="L83" s="11"/>
    </row>
    <row r="84" spans="1:12" x14ac:dyDescent="0.25">
      <c r="A84" s="11"/>
      <c r="B84" s="558"/>
      <c r="C84" s="520"/>
      <c r="D84" s="535"/>
      <c r="E84" s="542"/>
      <c r="F84" s="529"/>
      <c r="G84" s="538"/>
      <c r="H84" s="19" t="s">
        <v>138</v>
      </c>
      <c r="I84" s="475"/>
      <c r="J84" s="535"/>
      <c r="K84" s="520"/>
      <c r="L84" s="11"/>
    </row>
    <row r="85" spans="1:12" x14ac:dyDescent="0.25">
      <c r="A85" s="11"/>
      <c r="B85" s="20" t="s">
        <v>27</v>
      </c>
      <c r="C85" s="545"/>
      <c r="D85" s="545"/>
      <c r="E85" s="546"/>
      <c r="F85" s="545"/>
      <c r="G85" s="545"/>
      <c r="H85" s="545"/>
      <c r="I85" s="545"/>
      <c r="J85" s="545"/>
      <c r="K85" s="545"/>
      <c r="L85" s="11"/>
    </row>
    <row r="86" spans="1:12" x14ac:dyDescent="0.25">
      <c r="A86" s="11"/>
      <c r="B86" s="11"/>
      <c r="C86" s="21">
        <v>1</v>
      </c>
      <c r="D86" s="512" t="s">
        <v>321</v>
      </c>
      <c r="E86" s="512"/>
      <c r="F86" s="512"/>
      <c r="G86" s="512"/>
      <c r="H86" s="512"/>
      <c r="I86" s="512"/>
      <c r="J86" s="512"/>
      <c r="K86" s="512"/>
      <c r="L86" s="11"/>
    </row>
    <row r="87" spans="1:12" x14ac:dyDescent="0.25">
      <c r="A87" s="11"/>
      <c r="B87" s="11"/>
      <c r="C87" s="11"/>
      <c r="D87" s="512"/>
      <c r="E87" s="512"/>
      <c r="F87" s="512"/>
      <c r="G87" s="512"/>
      <c r="H87" s="512"/>
      <c r="I87" s="512"/>
      <c r="J87" s="512"/>
      <c r="K87" s="512"/>
      <c r="L87" s="11"/>
    </row>
    <row r="88" spans="1:12" x14ac:dyDescent="0.25">
      <c r="A88" s="11"/>
      <c r="B88" s="11"/>
      <c r="C88" s="11"/>
      <c r="D88" s="512"/>
      <c r="E88" s="512"/>
      <c r="F88" s="512"/>
      <c r="G88" s="512"/>
      <c r="H88" s="512"/>
      <c r="I88" s="512"/>
      <c r="J88" s="512"/>
      <c r="K88" s="512"/>
      <c r="L88" s="11"/>
    </row>
    <row r="89" spans="1:12" x14ac:dyDescent="0.25">
      <c r="A89" s="11"/>
      <c r="B89" s="11"/>
      <c r="C89" s="11"/>
      <c r="D89" s="512"/>
      <c r="E89" s="512"/>
      <c r="F89" s="512"/>
      <c r="G89" s="512"/>
      <c r="H89" s="512"/>
      <c r="I89" s="512"/>
      <c r="J89" s="512"/>
      <c r="K89" s="512"/>
      <c r="L89" s="11"/>
    </row>
    <row r="90" spans="1:12" x14ac:dyDescent="0.25">
      <c r="A90" s="11"/>
      <c r="B90" s="11"/>
      <c r="C90" s="11"/>
      <c r="D90" s="512"/>
      <c r="E90" s="512"/>
      <c r="F90" s="512"/>
      <c r="G90" s="512"/>
      <c r="H90" s="512"/>
      <c r="I90" s="512"/>
      <c r="J90" s="512"/>
      <c r="K90" s="512"/>
      <c r="L90" s="11"/>
    </row>
    <row r="91" spans="1:12" x14ac:dyDescent="0.25">
      <c r="A91" s="11"/>
      <c r="B91" s="11"/>
      <c r="C91" s="11"/>
      <c r="D91" s="532" t="s">
        <v>56</v>
      </c>
      <c r="E91" s="532"/>
      <c r="F91" s="532"/>
      <c r="G91" s="532"/>
      <c r="H91" s="532"/>
      <c r="I91" s="532"/>
      <c r="J91" s="532"/>
      <c r="K91" s="532"/>
      <c r="L91" s="11"/>
    </row>
    <row r="92" spans="1:12" x14ac:dyDescent="0.25">
      <c r="A92" s="11"/>
      <c r="B92" s="11"/>
      <c r="C92" s="21">
        <v>2</v>
      </c>
      <c r="D92" s="504" t="s">
        <v>372</v>
      </c>
      <c r="E92" s="504"/>
      <c r="F92" s="504"/>
      <c r="G92" s="504"/>
      <c r="H92" s="504"/>
      <c r="I92" s="504"/>
      <c r="J92" s="504"/>
      <c r="K92" s="504"/>
      <c r="L92" s="11"/>
    </row>
    <row r="93" spans="1:12" ht="12.75" customHeight="1" x14ac:dyDescent="0.25">
      <c r="A93" s="11"/>
      <c r="B93" s="11"/>
      <c r="C93" s="11"/>
      <c r="D93" s="27"/>
      <c r="E93" s="503"/>
      <c r="F93" s="503"/>
      <c r="G93" s="503"/>
      <c r="H93" s="503"/>
      <c r="I93" s="503"/>
      <c r="J93" s="503"/>
      <c r="K93" s="503"/>
      <c r="L93" s="11"/>
    </row>
    <row r="94" spans="1:12" ht="12.75" customHeight="1" x14ac:dyDescent="0.25">
      <c r="A94" s="11"/>
      <c r="B94" s="11"/>
      <c r="C94" s="11"/>
      <c r="D94" s="27"/>
      <c r="E94" s="503"/>
      <c r="F94" s="503"/>
      <c r="G94" s="503"/>
      <c r="H94" s="503"/>
      <c r="I94" s="503"/>
      <c r="J94" s="503"/>
      <c r="K94" s="503"/>
      <c r="L94" s="11"/>
    </row>
    <row r="95" spans="1:12" ht="12.75" customHeight="1" x14ac:dyDescent="0.25">
      <c r="A95" s="11"/>
      <c r="B95" s="11"/>
      <c r="C95" s="11"/>
      <c r="D95" s="27"/>
      <c r="E95" s="503"/>
      <c r="F95" s="503"/>
      <c r="G95" s="503"/>
      <c r="H95" s="503"/>
      <c r="I95" s="503"/>
      <c r="J95" s="503"/>
      <c r="K95" s="503"/>
      <c r="L95" s="11"/>
    </row>
    <row r="96" spans="1:12" x14ac:dyDescent="0.25">
      <c r="A96" s="11"/>
      <c r="B96" s="11"/>
      <c r="C96" s="21">
        <f>+C69</f>
        <v>3</v>
      </c>
      <c r="D96" s="533" t="s">
        <v>322</v>
      </c>
      <c r="E96" s="533"/>
      <c r="F96" s="533"/>
      <c r="G96" s="533"/>
      <c r="H96" s="533"/>
      <c r="I96" s="533"/>
      <c r="J96" s="533"/>
      <c r="K96" s="533"/>
      <c r="L96" s="11"/>
    </row>
    <row r="97" spans="1:12" x14ac:dyDescent="0.25">
      <c r="A97" s="11"/>
      <c r="B97" s="11"/>
      <c r="C97" s="11"/>
      <c r="D97" s="533"/>
      <c r="E97" s="533"/>
      <c r="F97" s="533"/>
      <c r="G97" s="533"/>
      <c r="H97" s="533"/>
      <c r="I97" s="533"/>
      <c r="J97" s="533"/>
      <c r="K97" s="533"/>
      <c r="L97" s="11"/>
    </row>
    <row r="98" spans="1:12" x14ac:dyDescent="0.25">
      <c r="A98" s="11"/>
      <c r="B98" s="11"/>
      <c r="C98" s="11"/>
      <c r="D98" s="533"/>
      <c r="E98" s="533"/>
      <c r="F98" s="533"/>
      <c r="G98" s="533"/>
      <c r="H98" s="533"/>
      <c r="I98" s="533"/>
      <c r="J98" s="533"/>
      <c r="K98" s="533"/>
      <c r="L98" s="11"/>
    </row>
    <row r="99" spans="1:12" x14ac:dyDescent="0.25">
      <c r="A99" s="11"/>
      <c r="B99" s="11"/>
      <c r="C99" s="11"/>
      <c r="D99" s="504" t="s">
        <v>218</v>
      </c>
      <c r="E99" s="504"/>
      <c r="F99" s="504"/>
      <c r="G99" s="504"/>
      <c r="H99" s="504"/>
      <c r="I99" s="504"/>
      <c r="J99" s="504"/>
      <c r="K99" s="504"/>
      <c r="L99" s="11"/>
    </row>
    <row r="100" spans="1:12" x14ac:dyDescent="0.25">
      <c r="A100" s="11"/>
      <c r="B100" s="11"/>
      <c r="C100" s="11"/>
      <c r="D100" s="504" t="s">
        <v>305</v>
      </c>
      <c r="E100" s="504"/>
      <c r="F100" s="504"/>
      <c r="G100" s="504"/>
      <c r="H100" s="504"/>
      <c r="I100" s="504"/>
      <c r="J100" s="504"/>
      <c r="K100" s="504"/>
      <c r="L100" s="11"/>
    </row>
    <row r="101" spans="1:12" x14ac:dyDescent="0.25">
      <c r="A101" s="11"/>
      <c r="B101" s="11"/>
      <c r="C101" s="11"/>
      <c r="D101" s="27"/>
      <c r="E101" s="503"/>
      <c r="F101" s="503"/>
      <c r="G101" s="503"/>
      <c r="H101" s="503"/>
      <c r="I101" s="503"/>
      <c r="J101" s="503"/>
      <c r="K101" s="503"/>
      <c r="L101" s="11"/>
    </row>
    <row r="102" spans="1:12" x14ac:dyDescent="0.25">
      <c r="A102" s="11"/>
      <c r="B102" s="11"/>
      <c r="C102" s="11"/>
      <c r="D102" s="27"/>
      <c r="E102" s="503"/>
      <c r="F102" s="503"/>
      <c r="G102" s="503"/>
      <c r="H102" s="503"/>
      <c r="I102" s="503"/>
      <c r="J102" s="503"/>
      <c r="K102" s="503"/>
      <c r="L102" s="11"/>
    </row>
    <row r="103" spans="1:12" x14ac:dyDescent="0.25">
      <c r="A103" s="11"/>
      <c r="B103" s="11"/>
      <c r="C103" s="11"/>
      <c r="D103" s="27"/>
      <c r="E103" s="503"/>
      <c r="F103" s="503"/>
      <c r="G103" s="503"/>
      <c r="H103" s="503"/>
      <c r="I103" s="503"/>
      <c r="J103" s="503"/>
      <c r="K103" s="503"/>
      <c r="L103" s="11"/>
    </row>
    <row r="104" spans="1:12" x14ac:dyDescent="0.25">
      <c r="A104" s="11"/>
      <c r="B104" s="11"/>
      <c r="C104" s="11"/>
      <c r="D104" s="22"/>
      <c r="E104" s="503"/>
      <c r="F104" s="503"/>
      <c r="G104" s="503"/>
      <c r="H104" s="503"/>
      <c r="I104" s="503"/>
      <c r="J104" s="503"/>
      <c r="K104" s="503"/>
      <c r="L104" s="11"/>
    </row>
    <row r="105" spans="1:12" x14ac:dyDescent="0.25">
      <c r="A105" s="11"/>
      <c r="B105" s="11"/>
      <c r="C105" s="11"/>
      <c r="D105" s="22"/>
      <c r="E105" s="505" t="s">
        <v>323</v>
      </c>
      <c r="F105" s="505"/>
      <c r="G105" s="505"/>
      <c r="H105" s="505"/>
      <c r="I105" s="505"/>
      <c r="J105" s="505"/>
      <c r="K105" s="505"/>
      <c r="L105" s="11"/>
    </row>
    <row r="106" spans="1:12" x14ac:dyDescent="0.25">
      <c r="A106" s="11"/>
      <c r="B106" s="11"/>
      <c r="C106" s="11"/>
      <c r="D106" s="22"/>
      <c r="E106" s="503"/>
      <c r="F106" s="503"/>
      <c r="G106" s="503"/>
      <c r="H106" s="503"/>
      <c r="I106" s="503"/>
      <c r="J106" s="503"/>
      <c r="K106" s="503"/>
      <c r="L106" s="11"/>
    </row>
    <row r="107" spans="1:12" x14ac:dyDescent="0.25">
      <c r="A107" s="11"/>
      <c r="B107" s="11"/>
      <c r="C107" s="11"/>
      <c r="D107" s="504" t="s">
        <v>219</v>
      </c>
      <c r="E107" s="504"/>
      <c r="F107" s="504"/>
      <c r="G107" s="504"/>
      <c r="H107" s="504"/>
      <c r="I107" s="504"/>
      <c r="J107" s="504"/>
      <c r="K107" s="504"/>
      <c r="L107" s="11"/>
    </row>
    <row r="108" spans="1:12" x14ac:dyDescent="0.25">
      <c r="A108" s="11"/>
      <c r="B108" s="11"/>
      <c r="C108" s="11"/>
      <c r="D108" s="22"/>
      <c r="E108" s="503"/>
      <c r="F108" s="503"/>
      <c r="G108" s="503"/>
      <c r="H108" s="503"/>
      <c r="I108" s="503"/>
      <c r="J108" s="503"/>
      <c r="K108" s="503"/>
      <c r="L108" s="11"/>
    </row>
    <row r="109" spans="1:12" x14ac:dyDescent="0.25">
      <c r="A109" s="11"/>
      <c r="B109" s="11"/>
      <c r="C109" s="11"/>
      <c r="D109" s="22"/>
      <c r="E109" s="503"/>
      <c r="F109" s="503"/>
      <c r="G109" s="503"/>
      <c r="H109" s="503"/>
      <c r="I109" s="503"/>
      <c r="J109" s="503"/>
      <c r="K109" s="503"/>
      <c r="L109" s="11"/>
    </row>
    <row r="110" spans="1:12" x14ac:dyDescent="0.25">
      <c r="A110" s="11"/>
      <c r="B110" s="11"/>
      <c r="C110" s="11"/>
      <c r="D110" s="22"/>
      <c r="E110" s="503"/>
      <c r="F110" s="503"/>
      <c r="G110" s="503"/>
      <c r="H110" s="503"/>
      <c r="I110" s="503"/>
      <c r="J110" s="503"/>
      <c r="K110" s="503"/>
      <c r="L110" s="11"/>
    </row>
    <row r="111" spans="1:12" x14ac:dyDescent="0.25">
      <c r="A111" s="11"/>
      <c r="B111" s="11"/>
      <c r="C111" s="11"/>
      <c r="D111" s="22"/>
      <c r="E111" s="515" t="s">
        <v>324</v>
      </c>
      <c r="F111" s="516"/>
      <c r="G111" s="516"/>
      <c r="H111" s="516"/>
      <c r="I111" s="516"/>
      <c r="J111" s="516"/>
      <c r="K111" s="516"/>
      <c r="L111" s="11"/>
    </row>
    <row r="112" spans="1:12" ht="9.75" customHeight="1" x14ac:dyDescent="0.25">
      <c r="A112" s="11"/>
      <c r="B112" s="11"/>
      <c r="C112" s="11"/>
      <c r="D112" s="22"/>
      <c r="E112" s="503"/>
      <c r="F112" s="503"/>
      <c r="G112" s="503"/>
      <c r="H112" s="503"/>
      <c r="I112" s="503"/>
      <c r="J112" s="503"/>
      <c r="K112" s="503"/>
      <c r="L112" s="11"/>
    </row>
    <row r="113" spans="1:12" x14ac:dyDescent="0.25">
      <c r="A113" s="11"/>
      <c r="B113" s="11"/>
      <c r="C113" s="11"/>
      <c r="D113" s="532" t="s">
        <v>220</v>
      </c>
      <c r="E113" s="532"/>
      <c r="F113" s="532"/>
      <c r="G113" s="532"/>
      <c r="H113" s="532"/>
      <c r="I113" s="532"/>
      <c r="J113" s="532"/>
      <c r="K113" s="532"/>
      <c r="L113" s="11"/>
    </row>
    <row r="114" spans="1:12" x14ac:dyDescent="0.25">
      <c r="A114" s="11"/>
      <c r="B114" s="11"/>
      <c r="C114" s="11"/>
      <c r="D114" s="502"/>
      <c r="E114" s="502"/>
      <c r="F114" s="502"/>
      <c r="G114" s="502"/>
      <c r="H114" s="502"/>
      <c r="I114" s="502"/>
      <c r="J114" s="502"/>
      <c r="K114" s="502"/>
      <c r="L114" s="11"/>
    </row>
    <row r="115" spans="1:12" x14ac:dyDescent="0.25">
      <c r="A115" s="11"/>
      <c r="B115" s="11"/>
      <c r="C115" s="24" t="str">
        <f>+C73</f>
        <v>[4]</v>
      </c>
      <c r="D115" s="533" t="s">
        <v>428</v>
      </c>
      <c r="E115" s="533"/>
      <c r="F115" s="533"/>
      <c r="G115" s="533"/>
      <c r="H115" s="533"/>
      <c r="I115" s="533"/>
      <c r="J115" s="533"/>
      <c r="K115" s="533"/>
      <c r="L115" s="11"/>
    </row>
    <row r="116" spans="1:12" ht="12.75" customHeight="1" x14ac:dyDescent="0.25">
      <c r="A116" s="11"/>
      <c r="B116" s="11"/>
      <c r="C116" s="11"/>
      <c r="D116" s="11"/>
      <c r="E116" s="501"/>
      <c r="F116" s="501"/>
      <c r="G116" s="501"/>
      <c r="H116" s="501"/>
      <c r="I116" s="501"/>
      <c r="J116" s="501"/>
      <c r="K116" s="501"/>
      <c r="L116" s="11"/>
    </row>
    <row r="117" spans="1:12" ht="12.75" customHeight="1" x14ac:dyDescent="0.25">
      <c r="A117" s="11"/>
      <c r="B117" s="11"/>
      <c r="C117" s="11"/>
      <c r="D117" s="11"/>
      <c r="E117" s="501"/>
      <c r="F117" s="501"/>
      <c r="G117" s="501"/>
      <c r="H117" s="501"/>
      <c r="I117" s="501"/>
      <c r="J117" s="501"/>
      <c r="K117" s="501"/>
      <c r="L117" s="11"/>
    </row>
    <row r="118" spans="1:12" ht="12.75" customHeight="1" x14ac:dyDescent="0.25">
      <c r="A118" s="11"/>
      <c r="B118" s="11"/>
      <c r="C118" s="11"/>
      <c r="D118" s="11"/>
      <c r="E118" s="501"/>
      <c r="F118" s="501"/>
      <c r="G118" s="501"/>
      <c r="H118" s="501"/>
      <c r="I118" s="501"/>
      <c r="J118" s="501"/>
      <c r="K118" s="501"/>
      <c r="L118" s="11"/>
    </row>
    <row r="119" spans="1:12" ht="12.75" customHeight="1" x14ac:dyDescent="0.25">
      <c r="A119" s="11"/>
      <c r="B119" s="11"/>
      <c r="C119" s="24">
        <f>+C81</f>
        <v>5</v>
      </c>
      <c r="D119" s="533" t="s">
        <v>325</v>
      </c>
      <c r="E119" s="533"/>
      <c r="F119" s="533"/>
      <c r="G119" s="533"/>
      <c r="H119" s="533"/>
      <c r="I119" s="533"/>
      <c r="J119" s="533"/>
      <c r="K119" s="533"/>
      <c r="L119" s="11"/>
    </row>
    <row r="120" spans="1:12" x14ac:dyDescent="0.25">
      <c r="A120" s="11"/>
      <c r="B120" s="11"/>
      <c r="C120" s="24"/>
      <c r="D120" s="533"/>
      <c r="E120" s="533"/>
      <c r="F120" s="533"/>
      <c r="G120" s="533"/>
      <c r="H120" s="533"/>
      <c r="I120" s="533"/>
      <c r="J120" s="533"/>
      <c r="K120" s="533"/>
      <c r="L120" s="11"/>
    </row>
    <row r="121" spans="1:12" x14ac:dyDescent="0.25">
      <c r="A121" s="11"/>
      <c r="B121" s="11"/>
      <c r="C121" s="24"/>
      <c r="D121" s="28"/>
      <c r="E121" s="540"/>
      <c r="F121" s="540"/>
      <c r="G121" s="540"/>
      <c r="H121" s="540"/>
      <c r="I121" s="540"/>
      <c r="J121" s="540"/>
      <c r="K121" s="540"/>
      <c r="L121" s="11"/>
    </row>
    <row r="122" spans="1:12" x14ac:dyDescent="0.25">
      <c r="A122" s="11"/>
      <c r="B122" s="11"/>
      <c r="C122" s="24"/>
      <c r="D122" s="28"/>
      <c r="E122" s="540"/>
      <c r="F122" s="540"/>
      <c r="G122" s="540"/>
      <c r="H122" s="540"/>
      <c r="I122" s="540"/>
      <c r="J122" s="540"/>
      <c r="K122" s="540"/>
      <c r="L122" s="11"/>
    </row>
    <row r="123" spans="1:12" x14ac:dyDescent="0.25">
      <c r="A123" s="11"/>
      <c r="B123" s="11"/>
      <c r="C123" s="24"/>
      <c r="D123" s="504" t="s">
        <v>326</v>
      </c>
      <c r="E123" s="504"/>
      <c r="F123" s="504"/>
      <c r="G123" s="504"/>
      <c r="H123" s="504"/>
      <c r="I123" s="504"/>
      <c r="J123" s="504"/>
      <c r="K123" s="504"/>
      <c r="L123" s="11"/>
    </row>
    <row r="124" spans="1:12" ht="12.75" customHeight="1" x14ac:dyDescent="0.25">
      <c r="A124" s="11"/>
      <c r="B124" s="11"/>
      <c r="C124" s="24">
        <f>+C83</f>
        <v>6</v>
      </c>
      <c r="D124" s="504" t="s">
        <v>328</v>
      </c>
      <c r="E124" s="504"/>
      <c r="F124" s="504"/>
      <c r="G124" s="504"/>
      <c r="H124" s="504"/>
      <c r="I124" s="504"/>
      <c r="J124" s="504"/>
      <c r="K124" s="504"/>
      <c r="L124" s="11"/>
    </row>
    <row r="125" spans="1:12" x14ac:dyDescent="0.25">
      <c r="A125" s="11"/>
      <c r="B125" s="11"/>
      <c r="C125" s="24"/>
      <c r="D125" s="504"/>
      <c r="E125" s="504"/>
      <c r="F125" s="504"/>
      <c r="G125" s="504"/>
      <c r="H125" s="504"/>
      <c r="I125" s="504"/>
      <c r="J125" s="504"/>
      <c r="K125" s="504"/>
      <c r="L125" s="11"/>
    </row>
    <row r="126" spans="1:12" x14ac:dyDescent="0.25">
      <c r="A126" s="11"/>
      <c r="B126" s="11"/>
      <c r="C126" s="24"/>
      <c r="D126" s="22"/>
      <c r="E126" s="503"/>
      <c r="F126" s="503"/>
      <c r="G126" s="503"/>
      <c r="H126" s="503"/>
      <c r="I126" s="503"/>
      <c r="J126" s="503"/>
      <c r="K126" s="503"/>
      <c r="L126" s="11"/>
    </row>
    <row r="127" spans="1:12" x14ac:dyDescent="0.25">
      <c r="A127" s="11"/>
      <c r="B127" s="11"/>
      <c r="C127" s="24"/>
      <c r="D127" s="22"/>
      <c r="E127" s="503"/>
      <c r="F127" s="503"/>
      <c r="G127" s="503"/>
      <c r="H127" s="503"/>
      <c r="I127" s="503"/>
      <c r="J127" s="503"/>
      <c r="K127" s="503"/>
      <c r="L127" s="11"/>
    </row>
    <row r="128" spans="1:12" x14ac:dyDescent="0.25">
      <c r="A128" s="11"/>
      <c r="B128" s="11"/>
      <c r="C128" s="24"/>
      <c r="D128" s="22"/>
      <c r="E128" s="503"/>
      <c r="F128" s="503"/>
      <c r="G128" s="503"/>
      <c r="H128" s="503"/>
      <c r="I128" s="503"/>
      <c r="J128" s="503"/>
      <c r="K128" s="503"/>
      <c r="L128" s="11"/>
    </row>
    <row r="129" spans="1:12" x14ac:dyDescent="0.25">
      <c r="A129" s="11"/>
      <c r="B129" s="11"/>
      <c r="C129" s="26"/>
      <c r="D129" s="533" t="s">
        <v>327</v>
      </c>
      <c r="E129" s="533"/>
      <c r="F129" s="533"/>
      <c r="G129" s="533"/>
      <c r="H129" s="533"/>
      <c r="I129" s="533"/>
      <c r="J129" s="533"/>
      <c r="K129" s="533"/>
      <c r="L129" s="11"/>
    </row>
    <row r="130" spans="1:12" x14ac:dyDescent="0.25">
      <c r="A130" s="11"/>
      <c r="B130" s="11"/>
      <c r="C130" s="26"/>
      <c r="D130" s="533"/>
      <c r="E130" s="533"/>
      <c r="F130" s="533"/>
      <c r="G130" s="533"/>
      <c r="H130" s="533"/>
      <c r="I130" s="533"/>
      <c r="J130" s="533"/>
      <c r="K130" s="533"/>
      <c r="L130" s="11"/>
    </row>
    <row r="131" spans="1:12" x14ac:dyDescent="0.25">
      <c r="A131" s="11"/>
      <c r="B131" s="501"/>
      <c r="C131" s="501"/>
      <c r="D131" s="501"/>
      <c r="E131" s="501"/>
      <c r="F131" s="501"/>
      <c r="G131" s="501"/>
      <c r="H131" s="501"/>
      <c r="I131" s="501"/>
      <c r="J131" s="501"/>
      <c r="K131" s="501"/>
      <c r="L131" s="11"/>
    </row>
    <row r="132" spans="1:12" x14ac:dyDescent="0.25">
      <c r="A132" s="11"/>
      <c r="B132" s="501"/>
      <c r="C132" s="501"/>
      <c r="D132" s="501"/>
      <c r="E132" s="501"/>
      <c r="F132" s="501"/>
      <c r="G132" s="501"/>
      <c r="H132" s="501"/>
      <c r="I132" s="501"/>
      <c r="J132" s="501"/>
      <c r="K132" s="501"/>
      <c r="L132" s="11"/>
    </row>
    <row r="133" spans="1:12" x14ac:dyDescent="0.25">
      <c r="A133" s="11"/>
      <c r="B133" s="501"/>
      <c r="C133" s="501"/>
      <c r="D133" s="501"/>
      <c r="E133" s="501"/>
      <c r="F133" s="501"/>
      <c r="G133" s="501"/>
      <c r="H133" s="501"/>
      <c r="I133" s="501"/>
      <c r="J133" s="501"/>
      <c r="K133" s="501"/>
      <c r="L133" s="11"/>
    </row>
    <row r="134" spans="1:12" x14ac:dyDescent="0.25">
      <c r="A134" s="11"/>
      <c r="B134" s="501"/>
      <c r="C134" s="501"/>
      <c r="D134" s="501"/>
      <c r="E134" s="501"/>
      <c r="F134" s="501"/>
      <c r="G134" s="501"/>
      <c r="H134" s="501"/>
      <c r="I134" s="501"/>
      <c r="J134" s="501"/>
      <c r="K134" s="501"/>
      <c r="L134" s="11"/>
    </row>
    <row r="135" spans="1:12" x14ac:dyDescent="0.25">
      <c r="A135" s="11"/>
      <c r="B135" s="501"/>
      <c r="C135" s="501"/>
      <c r="D135" s="501"/>
      <c r="E135" s="501"/>
      <c r="F135" s="501"/>
      <c r="G135" s="501"/>
      <c r="H135" s="501"/>
      <c r="I135" s="501"/>
      <c r="J135" s="501"/>
      <c r="K135" s="501"/>
      <c r="L135" s="11"/>
    </row>
    <row r="136" spans="1:12" x14ac:dyDescent="0.25">
      <c r="A136" s="11"/>
      <c r="B136" s="501"/>
      <c r="C136" s="501"/>
      <c r="D136" s="501"/>
      <c r="E136" s="501"/>
      <c r="F136" s="501"/>
      <c r="G136" s="501"/>
      <c r="H136" s="501"/>
      <c r="I136" s="501"/>
      <c r="J136" s="501"/>
      <c r="K136" s="501"/>
      <c r="L136" s="11"/>
    </row>
    <row r="137" spans="1:12" x14ac:dyDescent="0.25">
      <c r="A137" s="11"/>
      <c r="B137" s="501"/>
      <c r="C137" s="501"/>
      <c r="D137" s="501"/>
      <c r="E137" s="501"/>
      <c r="F137" s="501"/>
      <c r="G137" s="501"/>
      <c r="H137" s="501"/>
      <c r="I137" s="501"/>
      <c r="J137" s="501"/>
      <c r="K137" s="501"/>
      <c r="L137" s="11"/>
    </row>
    <row r="138" spans="1:12" x14ac:dyDescent="0.25">
      <c r="A138" s="11"/>
      <c r="B138" s="501"/>
      <c r="C138" s="501"/>
      <c r="D138" s="501"/>
      <c r="E138" s="501"/>
      <c r="F138" s="501"/>
      <c r="G138" s="501"/>
      <c r="H138" s="501"/>
      <c r="I138" s="501"/>
      <c r="J138" s="501"/>
      <c r="K138" s="501"/>
      <c r="L138" s="11"/>
    </row>
    <row r="139" spans="1:12" x14ac:dyDescent="0.25">
      <c r="A139" s="11"/>
      <c r="B139" s="501"/>
      <c r="C139" s="501"/>
      <c r="D139" s="501"/>
      <c r="E139" s="501"/>
      <c r="F139" s="501"/>
      <c r="G139" s="501"/>
      <c r="H139" s="501"/>
      <c r="I139" s="501"/>
      <c r="J139" s="501"/>
      <c r="K139" s="501"/>
      <c r="L139" s="11"/>
    </row>
    <row r="140" spans="1:12" x14ac:dyDescent="0.25">
      <c r="A140" s="11"/>
      <c r="B140" s="501"/>
      <c r="C140" s="501"/>
      <c r="D140" s="501"/>
      <c r="E140" s="501"/>
      <c r="F140" s="501"/>
      <c r="G140" s="501"/>
      <c r="H140" s="501"/>
      <c r="I140" s="501"/>
      <c r="J140" s="501"/>
      <c r="K140" s="501"/>
      <c r="L140" s="11"/>
    </row>
    <row r="141" spans="1:12" x14ac:dyDescent="0.25">
      <c r="A141" s="11"/>
      <c r="B141" s="501"/>
      <c r="C141" s="501"/>
      <c r="D141" s="501"/>
      <c r="E141" s="501"/>
      <c r="F141" s="501"/>
      <c r="G141" s="501"/>
      <c r="H141" s="501"/>
      <c r="I141" s="501"/>
      <c r="J141" s="501"/>
      <c r="K141" s="501"/>
      <c r="L141" s="11"/>
    </row>
    <row r="142" spans="1:12" x14ac:dyDescent="0.25">
      <c r="A142" s="11"/>
      <c r="B142" s="501"/>
      <c r="C142" s="501"/>
      <c r="D142" s="501"/>
      <c r="E142" s="501"/>
      <c r="F142" s="501"/>
      <c r="G142" s="501"/>
      <c r="H142" s="501"/>
      <c r="I142" s="501"/>
      <c r="J142" s="501"/>
      <c r="K142" s="501"/>
      <c r="L142" s="11"/>
    </row>
    <row r="143" spans="1:12" x14ac:dyDescent="0.25">
      <c r="A143" s="11"/>
      <c r="B143" s="501"/>
      <c r="C143" s="501"/>
      <c r="D143" s="501"/>
      <c r="E143" s="501"/>
      <c r="F143" s="501"/>
      <c r="G143" s="501"/>
      <c r="H143" s="501"/>
      <c r="I143" s="501"/>
      <c r="J143" s="501"/>
      <c r="K143" s="501"/>
      <c r="L143" s="11"/>
    </row>
    <row r="144" spans="1:12" x14ac:dyDescent="0.25">
      <c r="A144" s="11"/>
      <c r="B144" s="501"/>
      <c r="C144" s="501"/>
      <c r="D144" s="501"/>
      <c r="E144" s="501"/>
      <c r="F144" s="501"/>
      <c r="G144" s="501"/>
      <c r="H144" s="501"/>
      <c r="I144" s="501"/>
      <c r="J144" s="501"/>
      <c r="K144" s="501"/>
      <c r="L144" s="11"/>
    </row>
    <row r="145" spans="1:12" x14ac:dyDescent="0.25">
      <c r="A145" s="11"/>
      <c r="B145" s="501"/>
      <c r="C145" s="501"/>
      <c r="D145" s="501"/>
      <c r="E145" s="501"/>
      <c r="F145" s="501"/>
      <c r="G145" s="501"/>
      <c r="H145" s="501"/>
      <c r="I145" s="501"/>
      <c r="J145" s="501"/>
      <c r="K145" s="501"/>
      <c r="L145" s="11"/>
    </row>
    <row r="146" spans="1:12" x14ac:dyDescent="0.25">
      <c r="A146" s="11"/>
      <c r="B146" s="501"/>
      <c r="C146" s="501"/>
      <c r="D146" s="501"/>
      <c r="E146" s="501"/>
      <c r="F146" s="501"/>
      <c r="G146" s="501"/>
      <c r="H146" s="501"/>
      <c r="I146" s="501"/>
      <c r="J146" s="501"/>
      <c r="K146" s="501"/>
      <c r="L146" s="11"/>
    </row>
    <row r="147" spans="1:12" x14ac:dyDescent="0.25">
      <c r="A147" s="11"/>
      <c r="B147" s="501"/>
      <c r="C147" s="501"/>
      <c r="D147" s="501"/>
      <c r="E147" s="501"/>
      <c r="F147" s="501"/>
      <c r="G147" s="501"/>
      <c r="H147" s="501"/>
      <c r="I147" s="501"/>
      <c r="J147" s="501"/>
      <c r="K147" s="501"/>
      <c r="L147" s="11"/>
    </row>
    <row r="148" spans="1:12" x14ac:dyDescent="0.25">
      <c r="A148" s="11"/>
      <c r="B148" s="501"/>
      <c r="C148" s="501"/>
      <c r="D148" s="501"/>
      <c r="E148" s="501"/>
      <c r="F148" s="501"/>
      <c r="G148" s="501"/>
      <c r="H148" s="501"/>
      <c r="I148" s="501"/>
      <c r="J148" s="501"/>
      <c r="K148" s="501"/>
      <c r="L148" s="11"/>
    </row>
    <row r="149" spans="1:12" x14ac:dyDescent="0.25">
      <c r="A149" s="11"/>
      <c r="B149" s="501"/>
      <c r="C149" s="501"/>
      <c r="D149" s="501"/>
      <c r="E149" s="501"/>
      <c r="F149" s="501"/>
      <c r="G149" s="501"/>
      <c r="H149" s="501"/>
      <c r="I149" s="501"/>
      <c r="J149" s="501"/>
      <c r="K149" s="501"/>
      <c r="L149" s="11"/>
    </row>
    <row r="150" spans="1:12" x14ac:dyDescent="0.25">
      <c r="A150" s="11"/>
      <c r="B150" s="501"/>
      <c r="C150" s="501"/>
      <c r="D150" s="501"/>
      <c r="E150" s="501"/>
      <c r="F150" s="501"/>
      <c r="G150" s="501"/>
      <c r="H150" s="501"/>
      <c r="I150" s="501"/>
      <c r="J150" s="501"/>
      <c r="K150" s="501"/>
      <c r="L150" s="11"/>
    </row>
    <row r="151" spans="1:12" x14ac:dyDescent="0.25">
      <c r="A151" s="11"/>
      <c r="B151" s="501"/>
      <c r="C151" s="501"/>
      <c r="D151" s="501"/>
      <c r="E151" s="501"/>
      <c r="F151" s="501"/>
      <c r="G151" s="501"/>
      <c r="H151" s="501"/>
      <c r="I151" s="501"/>
      <c r="J151" s="501"/>
      <c r="K151" s="501"/>
      <c r="L151" s="11"/>
    </row>
    <row r="152" spans="1:12" x14ac:dyDescent="0.25">
      <c r="A152" s="11"/>
      <c r="B152" s="501"/>
      <c r="C152" s="501"/>
      <c r="D152" s="501"/>
      <c r="E152" s="501"/>
      <c r="F152" s="501"/>
      <c r="G152" s="501"/>
      <c r="H152" s="501"/>
      <c r="I152" s="501"/>
      <c r="J152" s="501"/>
      <c r="K152" s="501"/>
      <c r="L152" s="11"/>
    </row>
    <row r="153" spans="1:12" x14ac:dyDescent="0.25">
      <c r="A153" s="11"/>
      <c r="B153" s="501"/>
      <c r="C153" s="501"/>
      <c r="D153" s="501"/>
      <c r="E153" s="501"/>
      <c r="F153" s="501"/>
      <c r="G153" s="501"/>
      <c r="H153" s="501"/>
      <c r="I153" s="501"/>
      <c r="J153" s="501"/>
      <c r="K153" s="501"/>
      <c r="L153" s="11"/>
    </row>
    <row r="154" spans="1:12" x14ac:dyDescent="0.25">
      <c r="A154" s="11"/>
      <c r="B154" s="501"/>
      <c r="C154" s="501"/>
      <c r="D154" s="501"/>
      <c r="E154" s="501"/>
      <c r="F154" s="501"/>
      <c r="G154" s="501"/>
      <c r="H154" s="501"/>
      <c r="I154" s="501"/>
      <c r="J154" s="501"/>
      <c r="K154" s="501"/>
      <c r="L154" s="11"/>
    </row>
    <row r="155" spans="1:12" x14ac:dyDescent="0.25">
      <c r="A155" s="11"/>
      <c r="B155" s="501"/>
      <c r="C155" s="501"/>
      <c r="D155" s="501"/>
      <c r="E155" s="501"/>
      <c r="F155" s="501"/>
      <c r="G155" s="501"/>
      <c r="H155" s="501"/>
      <c r="I155" s="501"/>
      <c r="J155" s="501"/>
      <c r="K155" s="501"/>
      <c r="L155" s="11"/>
    </row>
    <row r="156" spans="1:12" x14ac:dyDescent="0.25">
      <c r="A156" s="11"/>
      <c r="B156" s="501"/>
      <c r="C156" s="501"/>
      <c r="D156" s="501"/>
      <c r="E156" s="501"/>
      <c r="F156" s="501"/>
      <c r="G156" s="501"/>
      <c r="H156" s="501"/>
      <c r="I156" s="501"/>
      <c r="J156" s="501"/>
      <c r="K156" s="501"/>
      <c r="L156" s="11"/>
    </row>
    <row r="157" spans="1:12" x14ac:dyDescent="0.25">
      <c r="A157" s="11"/>
      <c r="B157" s="501"/>
      <c r="C157" s="501"/>
      <c r="D157" s="501"/>
      <c r="E157" s="501"/>
      <c r="F157" s="501"/>
      <c r="G157" s="501"/>
      <c r="H157" s="501"/>
      <c r="I157" s="501"/>
      <c r="J157" s="501"/>
      <c r="K157" s="501"/>
      <c r="L157" s="11"/>
    </row>
    <row r="158" spans="1:12" x14ac:dyDescent="0.25">
      <c r="A158" s="11"/>
      <c r="B158" s="501"/>
      <c r="C158" s="501"/>
      <c r="D158" s="501"/>
      <c r="E158" s="501"/>
      <c r="F158" s="501"/>
      <c r="G158" s="501"/>
      <c r="H158" s="501"/>
      <c r="I158" s="501"/>
      <c r="J158" s="501"/>
      <c r="K158" s="501"/>
      <c r="L158" s="11"/>
    </row>
    <row r="159" spans="1:12" x14ac:dyDescent="0.25">
      <c r="A159" s="11"/>
      <c r="B159" s="501"/>
      <c r="C159" s="501"/>
      <c r="D159" s="501"/>
      <c r="E159" s="501"/>
      <c r="F159" s="501"/>
      <c r="G159" s="501"/>
      <c r="H159" s="501"/>
      <c r="I159" s="501"/>
      <c r="J159" s="501"/>
      <c r="K159" s="501"/>
      <c r="L159" s="11"/>
    </row>
    <row r="160" spans="1:12" x14ac:dyDescent="0.25">
      <c r="A160" s="11"/>
      <c r="B160" s="501"/>
      <c r="C160" s="501"/>
      <c r="D160" s="501"/>
      <c r="E160" s="501"/>
      <c r="F160" s="501"/>
      <c r="G160" s="501"/>
      <c r="H160" s="501"/>
      <c r="I160" s="501"/>
      <c r="J160" s="501"/>
      <c r="K160" s="501"/>
      <c r="L160" s="11"/>
    </row>
    <row r="161" spans="1:12" x14ac:dyDescent="0.25">
      <c r="A161" s="11"/>
      <c r="B161" s="501"/>
      <c r="C161" s="501"/>
      <c r="D161" s="501"/>
      <c r="E161" s="501"/>
      <c r="F161" s="501"/>
      <c r="G161" s="501"/>
      <c r="H161" s="501"/>
      <c r="I161" s="501"/>
      <c r="J161" s="501"/>
      <c r="K161" s="501"/>
      <c r="L161" s="11"/>
    </row>
    <row r="162" spans="1:12" x14ac:dyDescent="0.25">
      <c r="A162" s="11"/>
      <c r="B162" s="501"/>
      <c r="C162" s="501"/>
      <c r="D162" s="501"/>
      <c r="E162" s="501"/>
      <c r="F162" s="501"/>
      <c r="G162" s="501"/>
      <c r="H162" s="501"/>
      <c r="I162" s="501"/>
      <c r="J162" s="501"/>
      <c r="K162" s="501"/>
      <c r="L162" s="11"/>
    </row>
    <row r="163" spans="1:12" x14ac:dyDescent="0.25">
      <c r="A163" s="11"/>
      <c r="B163" s="501"/>
      <c r="C163" s="501"/>
      <c r="D163" s="501"/>
      <c r="E163" s="501"/>
      <c r="F163" s="501"/>
      <c r="G163" s="501"/>
      <c r="H163" s="501"/>
      <c r="I163" s="501"/>
      <c r="J163" s="501"/>
      <c r="K163" s="501"/>
      <c r="L163" s="11"/>
    </row>
    <row r="164" spans="1:12" x14ac:dyDescent="0.25">
      <c r="A164" s="11"/>
      <c r="B164" s="501"/>
      <c r="C164" s="501"/>
      <c r="D164" s="501"/>
      <c r="E164" s="501"/>
      <c r="F164" s="501"/>
      <c r="G164" s="501"/>
      <c r="H164" s="501"/>
      <c r="I164" s="501"/>
      <c r="J164" s="501"/>
      <c r="K164" s="501"/>
      <c r="L164" s="11"/>
    </row>
    <row r="165" spans="1:12" x14ac:dyDescent="0.25">
      <c r="A165" s="11"/>
      <c r="B165" s="501"/>
      <c r="C165" s="501"/>
      <c r="D165" s="501"/>
      <c r="E165" s="501"/>
      <c r="F165" s="501"/>
      <c r="G165" s="501"/>
      <c r="H165" s="501"/>
      <c r="I165" s="501"/>
      <c r="J165" s="501"/>
      <c r="K165" s="501"/>
      <c r="L165" s="11"/>
    </row>
    <row r="166" spans="1:12" s="11" customFormat="1" x14ac:dyDescent="0.25">
      <c r="B166" s="501"/>
      <c r="C166" s="501"/>
      <c r="D166" s="501"/>
      <c r="E166" s="501"/>
      <c r="F166" s="501"/>
      <c r="G166" s="501"/>
      <c r="H166" s="501"/>
      <c r="I166" s="501"/>
      <c r="J166" s="501"/>
      <c r="K166" s="501"/>
    </row>
    <row r="167" spans="1:12" s="11" customFormat="1" hidden="1" x14ac:dyDescent="0.25"/>
    <row r="168" spans="1:12" s="11" customFormat="1" hidden="1" x14ac:dyDescent="0.25"/>
    <row r="169" spans="1:12" s="11" customFormat="1" hidden="1" x14ac:dyDescent="0.25"/>
    <row r="170" spans="1:12" s="11" customFormat="1" hidden="1" x14ac:dyDescent="0.25"/>
    <row r="171" spans="1:12" s="11" customFormat="1" hidden="1" x14ac:dyDescent="0.25"/>
    <row r="172" spans="1:12" s="11" customFormat="1" hidden="1" x14ac:dyDescent="0.25"/>
    <row r="173" spans="1:12" s="11" customFormat="1" hidden="1" x14ac:dyDescent="0.25"/>
    <row r="174" spans="1:12" s="11" customFormat="1" hidden="1" x14ac:dyDescent="0.25"/>
    <row r="175" spans="1:12" s="11" customFormat="1" hidden="1" x14ac:dyDescent="0.25"/>
    <row r="176" spans="1:12" s="11" customFormat="1" hidden="1" x14ac:dyDescent="0.25"/>
    <row r="177" s="11" customFormat="1" hidden="1" x14ac:dyDescent="0.25"/>
    <row r="178" s="11" customFormat="1" hidden="1" x14ac:dyDescent="0.25"/>
    <row r="179" s="11" customFormat="1" hidden="1" x14ac:dyDescent="0.25"/>
    <row r="180" s="11" customFormat="1" hidden="1" x14ac:dyDescent="0.25"/>
    <row r="181" s="11" customFormat="1" hidden="1" x14ac:dyDescent="0.25"/>
    <row r="182" s="11" customFormat="1" hidden="1" x14ac:dyDescent="0.25"/>
    <row r="183" s="11" customFormat="1" hidden="1" x14ac:dyDescent="0.25"/>
    <row r="184" s="11" customFormat="1" hidden="1" x14ac:dyDescent="0.25"/>
    <row r="185" s="11" customFormat="1" hidden="1" x14ac:dyDescent="0.25"/>
    <row r="186" s="11" customFormat="1" hidden="1" x14ac:dyDescent="0.25"/>
    <row r="187" s="11" customFormat="1" hidden="1" x14ac:dyDescent="0.25"/>
    <row r="188" s="11" customFormat="1" hidden="1" x14ac:dyDescent="0.25"/>
    <row r="189" s="11" customFormat="1" hidden="1" x14ac:dyDescent="0.25"/>
    <row r="190" s="11" customFormat="1" hidden="1" x14ac:dyDescent="0.25"/>
    <row r="191" s="11" customFormat="1" hidden="1" x14ac:dyDescent="0.25"/>
    <row r="192" s="11" customFormat="1" hidden="1" x14ac:dyDescent="0.25"/>
    <row r="193" s="11" customFormat="1" hidden="1" x14ac:dyDescent="0.25"/>
    <row r="194" s="11" customFormat="1" hidden="1" x14ac:dyDescent="0.25"/>
    <row r="195" s="11" customFormat="1" hidden="1" x14ac:dyDescent="0.25"/>
    <row r="196" s="11" customFormat="1" hidden="1" x14ac:dyDescent="0.25"/>
    <row r="197" s="11" customFormat="1" hidden="1" x14ac:dyDescent="0.25"/>
    <row r="198" s="11" customFormat="1" hidden="1" x14ac:dyDescent="0.25"/>
    <row r="199" s="11" customFormat="1" hidden="1" x14ac:dyDescent="0.25"/>
    <row r="200" s="11" customFormat="1" hidden="1" x14ac:dyDescent="0.25"/>
    <row r="201" s="11" customFormat="1" hidden="1" x14ac:dyDescent="0.25"/>
    <row r="202" s="11" customFormat="1" hidden="1" x14ac:dyDescent="0.25"/>
    <row r="203" s="11" customFormat="1" hidden="1" x14ac:dyDescent="0.25"/>
    <row r="204" s="11" customFormat="1" hidden="1" x14ac:dyDescent="0.25"/>
    <row r="205" s="11" customFormat="1" hidden="1" x14ac:dyDescent="0.25"/>
    <row r="206" s="11" customFormat="1" hidden="1" x14ac:dyDescent="0.25"/>
    <row r="207" s="11" customFormat="1" hidden="1" x14ac:dyDescent="0.25"/>
    <row r="208" s="11" customFormat="1" hidden="1" x14ac:dyDescent="0.25"/>
    <row r="209" s="11" customFormat="1" hidden="1" x14ac:dyDescent="0.25"/>
    <row r="210" s="11" customFormat="1" hidden="1" x14ac:dyDescent="0.25"/>
    <row r="211" s="11" customFormat="1" hidden="1" x14ac:dyDescent="0.25"/>
    <row r="212" s="11" customFormat="1" hidden="1" x14ac:dyDescent="0.25"/>
    <row r="213" s="11" customFormat="1" hidden="1" x14ac:dyDescent="0.25"/>
    <row r="214" s="11" customFormat="1" hidden="1" x14ac:dyDescent="0.25"/>
    <row r="215" s="11" customFormat="1" hidden="1" x14ac:dyDescent="0.25"/>
    <row r="216" s="11" customFormat="1" hidden="1" x14ac:dyDescent="0.25"/>
    <row r="217" s="11" customFormat="1" hidden="1" x14ac:dyDescent="0.25"/>
    <row r="218" s="11" customFormat="1" hidden="1" x14ac:dyDescent="0.25"/>
    <row r="219" s="11" customFormat="1" hidden="1" x14ac:dyDescent="0.25"/>
    <row r="220" s="11" customFormat="1" hidden="1" x14ac:dyDescent="0.25"/>
    <row r="221" s="11" customFormat="1" hidden="1" x14ac:dyDescent="0.25"/>
    <row r="222" s="11" customFormat="1" hidden="1" x14ac:dyDescent="0.25"/>
    <row r="223" s="11" customFormat="1" hidden="1" x14ac:dyDescent="0.25"/>
    <row r="224" s="11" customFormat="1" hidden="1" x14ac:dyDescent="0.25"/>
    <row r="225" s="11" customFormat="1" hidden="1" x14ac:dyDescent="0.25"/>
    <row r="226" s="11" customFormat="1" hidden="1" x14ac:dyDescent="0.25"/>
    <row r="227" s="11" customFormat="1" hidden="1" x14ac:dyDescent="0.25"/>
    <row r="228" s="11" customFormat="1" hidden="1" x14ac:dyDescent="0.25"/>
    <row r="229" s="11" customFormat="1" hidden="1" x14ac:dyDescent="0.25"/>
    <row r="230" s="11" customFormat="1" hidden="1" x14ac:dyDescent="0.25"/>
    <row r="231" s="11" customFormat="1" hidden="1" x14ac:dyDescent="0.25"/>
    <row r="232" s="11" customFormat="1" hidden="1" x14ac:dyDescent="0.25"/>
    <row r="233" s="11" customFormat="1" hidden="1" x14ac:dyDescent="0.25"/>
    <row r="234" s="11" customFormat="1" hidden="1" x14ac:dyDescent="0.25"/>
    <row r="235" s="11" customFormat="1" hidden="1" x14ac:dyDescent="0.25"/>
    <row r="236" s="11" customFormat="1" hidden="1" x14ac:dyDescent="0.25"/>
    <row r="237" s="11" customFormat="1" hidden="1" x14ac:dyDescent="0.25"/>
    <row r="238" s="11" customFormat="1" hidden="1" x14ac:dyDescent="0.25"/>
    <row r="239" s="11" customFormat="1" hidden="1" x14ac:dyDescent="0.25"/>
    <row r="240" s="11" customFormat="1" hidden="1" x14ac:dyDescent="0.25"/>
    <row r="241" s="11" customFormat="1" hidden="1" x14ac:dyDescent="0.25"/>
    <row r="242" hidden="1" x14ac:dyDescent="0.25"/>
    <row r="243" hidden="1" x14ac:dyDescent="0.25"/>
    <row r="244" hidden="1" x14ac:dyDescent="0.25"/>
    <row r="245" hidden="1" x14ac:dyDescent="0.25"/>
    <row r="246" hidden="1" x14ac:dyDescent="0.25"/>
    <row r="247" hidden="1" x14ac:dyDescent="0.25"/>
  </sheetData>
  <sheetProtection password="EDBF" sheet="1" objects="1" scenarios="1"/>
  <mergeCells count="270">
    <mergeCell ref="B10:G10"/>
    <mergeCell ref="H10:I10"/>
    <mergeCell ref="K29:K30"/>
    <mergeCell ref="C31:K31"/>
    <mergeCell ref="B25:B26"/>
    <mergeCell ref="C25:C26"/>
    <mergeCell ref="D119:K120"/>
    <mergeCell ref="B67:B68"/>
    <mergeCell ref="C67:C68"/>
    <mergeCell ref="F67:F68"/>
    <mergeCell ref="G67:G68"/>
    <mergeCell ref="H67:H68"/>
    <mergeCell ref="I67:I70"/>
    <mergeCell ref="J67:J70"/>
    <mergeCell ref="K67:K70"/>
    <mergeCell ref="B69:B70"/>
    <mergeCell ref="C69:C70"/>
    <mergeCell ref="F69:F70"/>
    <mergeCell ref="G69:G70"/>
    <mergeCell ref="H69:H70"/>
    <mergeCell ref="B29:B30"/>
    <mergeCell ref="C29:C30"/>
    <mergeCell ref="J23:J24"/>
    <mergeCell ref="K23:K24"/>
    <mergeCell ref="J8:K8"/>
    <mergeCell ref="H8:I8"/>
    <mergeCell ref="D8:F8"/>
    <mergeCell ref="D47:K47"/>
    <mergeCell ref="D48:K49"/>
    <mergeCell ref="D50:K50"/>
    <mergeCell ref="D54:K54"/>
    <mergeCell ref="D13:E14"/>
    <mergeCell ref="D15:E16"/>
    <mergeCell ref="D17:E18"/>
    <mergeCell ref="D19:E20"/>
    <mergeCell ref="D21:E22"/>
    <mergeCell ref="D23:E24"/>
    <mergeCell ref="D25:E26"/>
    <mergeCell ref="D27:E28"/>
    <mergeCell ref="D37:K37"/>
    <mergeCell ref="D41:K41"/>
    <mergeCell ref="D45:K45"/>
    <mergeCell ref="F27:F28"/>
    <mergeCell ref="H27:H28"/>
    <mergeCell ref="J27:J28"/>
    <mergeCell ref="K27:K28"/>
    <mergeCell ref="B12:G12"/>
    <mergeCell ref="B9:K9"/>
    <mergeCell ref="F29:F30"/>
    <mergeCell ref="G29:G30"/>
    <mergeCell ref="I29:I30"/>
    <mergeCell ref="J29:J30"/>
    <mergeCell ref="D29:E30"/>
    <mergeCell ref="B21:B22"/>
    <mergeCell ref="C21:C22"/>
    <mergeCell ref="F21:F22"/>
    <mergeCell ref="G21:G22"/>
    <mergeCell ref="I21:I22"/>
    <mergeCell ref="J21:J22"/>
    <mergeCell ref="F25:F26"/>
    <mergeCell ref="G25:G28"/>
    <mergeCell ref="H25:H26"/>
    <mergeCell ref="I25:I28"/>
    <mergeCell ref="J25:J26"/>
    <mergeCell ref="K25:K26"/>
    <mergeCell ref="B27:B28"/>
    <mergeCell ref="C27:C28"/>
    <mergeCell ref="B17:B18"/>
    <mergeCell ref="C17:C18"/>
    <mergeCell ref="F17:F18"/>
    <mergeCell ref="G17:G20"/>
    <mergeCell ref="H17:H18"/>
    <mergeCell ref="I17:I20"/>
    <mergeCell ref="J17:J18"/>
    <mergeCell ref="K17:K18"/>
    <mergeCell ref="B19:B20"/>
    <mergeCell ref="C19:C20"/>
    <mergeCell ref="F19:F20"/>
    <mergeCell ref="H19:H20"/>
    <mergeCell ref="J19:J20"/>
    <mergeCell ref="K19:K20"/>
    <mergeCell ref="K21:K22"/>
    <mergeCell ref="B23:B24"/>
    <mergeCell ref="C23:C24"/>
    <mergeCell ref="F23:F24"/>
    <mergeCell ref="G23:G24"/>
    <mergeCell ref="H23:H24"/>
    <mergeCell ref="I23:I24"/>
    <mergeCell ref="B13:B14"/>
    <mergeCell ref="C13:C14"/>
    <mergeCell ref="F13:F14"/>
    <mergeCell ref="G13:G14"/>
    <mergeCell ref="H13:H14"/>
    <mergeCell ref="I13:I16"/>
    <mergeCell ref="J13:J16"/>
    <mergeCell ref="K13:K16"/>
    <mergeCell ref="B15:B16"/>
    <mergeCell ref="C15:C16"/>
    <mergeCell ref="F15:F16"/>
    <mergeCell ref="G15:G16"/>
    <mergeCell ref="H15:H16"/>
    <mergeCell ref="B166:K166"/>
    <mergeCell ref="B149:K149"/>
    <mergeCell ref="B150:K150"/>
    <mergeCell ref="B151:K151"/>
    <mergeCell ref="B152:K152"/>
    <mergeCell ref="B153:K153"/>
    <mergeCell ref="B154:K154"/>
    <mergeCell ref="B155:K155"/>
    <mergeCell ref="B156:K156"/>
    <mergeCell ref="B157:K157"/>
    <mergeCell ref="B158:K158"/>
    <mergeCell ref="B159:K159"/>
    <mergeCell ref="B160:K160"/>
    <mergeCell ref="B161:K161"/>
    <mergeCell ref="B162:K162"/>
    <mergeCell ref="B163:K163"/>
    <mergeCell ref="B164:K164"/>
    <mergeCell ref="B165:K165"/>
    <mergeCell ref="B81:B82"/>
    <mergeCell ref="C81:C82"/>
    <mergeCell ref="F81:F82"/>
    <mergeCell ref="H79:H80"/>
    <mergeCell ref="D81:E82"/>
    <mergeCell ref="D79:E80"/>
    <mergeCell ref="C79:C80"/>
    <mergeCell ref="H77:H78"/>
    <mergeCell ref="G79:G82"/>
    <mergeCell ref="G77:G78"/>
    <mergeCell ref="B77:B78"/>
    <mergeCell ref="C77:C78"/>
    <mergeCell ref="F77:F78"/>
    <mergeCell ref="H81:H82"/>
    <mergeCell ref="D55:K56"/>
    <mergeCell ref="D60:K61"/>
    <mergeCell ref="C85:K85"/>
    <mergeCell ref="J71:J72"/>
    <mergeCell ref="K71:K72"/>
    <mergeCell ref="D77:E78"/>
    <mergeCell ref="D75:E76"/>
    <mergeCell ref="D73:E74"/>
    <mergeCell ref="D71:E72"/>
    <mergeCell ref="D69:E70"/>
    <mergeCell ref="D67:E68"/>
    <mergeCell ref="F71:F72"/>
    <mergeCell ref="G71:G74"/>
    <mergeCell ref="H71:H72"/>
    <mergeCell ref="J66:K66"/>
    <mergeCell ref="K73:K74"/>
    <mergeCell ref="J73:J74"/>
    <mergeCell ref="B63:K63"/>
    <mergeCell ref="B64:K64"/>
    <mergeCell ref="B65:K65"/>
    <mergeCell ref="B66:G66"/>
    <mergeCell ref="H66:I66"/>
    <mergeCell ref="B73:B74"/>
    <mergeCell ref="B83:B84"/>
    <mergeCell ref="J81:J82"/>
    <mergeCell ref="K81:K82"/>
    <mergeCell ref="K75:K76"/>
    <mergeCell ref="C83:C84"/>
    <mergeCell ref="F83:F84"/>
    <mergeCell ref="J83:J84"/>
    <mergeCell ref="K83:K84"/>
    <mergeCell ref="D83:E84"/>
    <mergeCell ref="G83:G84"/>
    <mergeCell ref="I83:I84"/>
    <mergeCell ref="F79:F80"/>
    <mergeCell ref="I79:I82"/>
    <mergeCell ref="B131:K131"/>
    <mergeCell ref="E122:K122"/>
    <mergeCell ref="D123:K123"/>
    <mergeCell ref="E121:K121"/>
    <mergeCell ref="E112:K112"/>
    <mergeCell ref="D115:K115"/>
    <mergeCell ref="E116:K116"/>
    <mergeCell ref="E117:K117"/>
    <mergeCell ref="E118:K118"/>
    <mergeCell ref="D129:K130"/>
    <mergeCell ref="E126:K126"/>
    <mergeCell ref="E127:K127"/>
    <mergeCell ref="E128:K128"/>
    <mergeCell ref="D124:K125"/>
    <mergeCell ref="D113:K113"/>
    <mergeCell ref="E111:K111"/>
    <mergeCell ref="B71:B72"/>
    <mergeCell ref="C71:C72"/>
    <mergeCell ref="B75:B76"/>
    <mergeCell ref="C73:C74"/>
    <mergeCell ref="B79:B80"/>
    <mergeCell ref="I71:I74"/>
    <mergeCell ref="F73:F74"/>
    <mergeCell ref="H73:H74"/>
    <mergeCell ref="K79:K80"/>
    <mergeCell ref="D86:K90"/>
    <mergeCell ref="D91:K91"/>
    <mergeCell ref="D96:K98"/>
    <mergeCell ref="D99:K99"/>
    <mergeCell ref="J75:J76"/>
    <mergeCell ref="C75:C76"/>
    <mergeCell ref="K77:K78"/>
    <mergeCell ref="I77:I78"/>
    <mergeCell ref="D92:K92"/>
    <mergeCell ref="G75:G76"/>
    <mergeCell ref="I75:I76"/>
    <mergeCell ref="F75:F76"/>
    <mergeCell ref="J79:J80"/>
    <mergeCell ref="J77:J78"/>
    <mergeCell ref="B5:K5"/>
    <mergeCell ref="B6:C6"/>
    <mergeCell ref="D6:F6"/>
    <mergeCell ref="G6:K6"/>
    <mergeCell ref="B7:K7"/>
    <mergeCell ref="B62:K62"/>
    <mergeCell ref="D46:K46"/>
    <mergeCell ref="E51:K51"/>
    <mergeCell ref="E52:K52"/>
    <mergeCell ref="E53:K53"/>
    <mergeCell ref="E57:K57"/>
    <mergeCell ref="E58:K58"/>
    <mergeCell ref="E59:K59"/>
    <mergeCell ref="E42:K42"/>
    <mergeCell ref="E43:K43"/>
    <mergeCell ref="E38:K38"/>
    <mergeCell ref="E39:K39"/>
    <mergeCell ref="E40:K40"/>
    <mergeCell ref="E44:K44"/>
    <mergeCell ref="B8:C8"/>
    <mergeCell ref="J12:K12"/>
    <mergeCell ref="D32:K33"/>
    <mergeCell ref="H12:I12"/>
    <mergeCell ref="J10:K10"/>
    <mergeCell ref="B144:K144"/>
    <mergeCell ref="B145:K145"/>
    <mergeCell ref="B146:K146"/>
    <mergeCell ref="B147:K147"/>
    <mergeCell ref="B148:K148"/>
    <mergeCell ref="B132:K132"/>
    <mergeCell ref="B133:K133"/>
    <mergeCell ref="B134:K134"/>
    <mergeCell ref="B135:K135"/>
    <mergeCell ref="B136:K136"/>
    <mergeCell ref="B137:K137"/>
    <mergeCell ref="B138:K138"/>
    <mergeCell ref="B139:K139"/>
    <mergeCell ref="B140:K140"/>
    <mergeCell ref="D35:F35"/>
    <mergeCell ref="G35:K35"/>
    <mergeCell ref="D36:F36"/>
    <mergeCell ref="G36:K36"/>
    <mergeCell ref="G34:K34"/>
    <mergeCell ref="D34:F34"/>
    <mergeCell ref="B141:K141"/>
    <mergeCell ref="B142:K142"/>
    <mergeCell ref="B143:K143"/>
    <mergeCell ref="D114:K114"/>
    <mergeCell ref="E93:K93"/>
    <mergeCell ref="E94:K94"/>
    <mergeCell ref="E95:K95"/>
    <mergeCell ref="E101:K101"/>
    <mergeCell ref="E102:K102"/>
    <mergeCell ref="E103:K103"/>
    <mergeCell ref="D100:K100"/>
    <mergeCell ref="D107:K107"/>
    <mergeCell ref="E105:K105"/>
    <mergeCell ref="E104:K104"/>
    <mergeCell ref="E106:K106"/>
    <mergeCell ref="E108:K108"/>
    <mergeCell ref="E109:K109"/>
    <mergeCell ref="E110:K110"/>
  </mergeCells>
  <phoneticPr fontId="12" type="noConversion"/>
  <hyperlinks>
    <hyperlink ref="G34" r:id="rId1"/>
    <hyperlink ref="H15" r:id="rId2"/>
    <hyperlink ref="H19" r:id="rId3"/>
    <hyperlink ref="D47" r:id="rId4"/>
    <hyperlink ref="H22" r:id="rId5"/>
    <hyperlink ref="H27" r:id="rId6"/>
    <hyperlink ref="H30" r:id="rId7"/>
    <hyperlink ref="H69" r:id="rId8"/>
    <hyperlink ref="D91" r:id="rId9"/>
    <hyperlink ref="D113" r:id="rId10"/>
    <hyperlink ref="H73" r:id="rId11"/>
    <hyperlink ref="H76" r:id="rId12"/>
    <hyperlink ref="H81" r:id="rId13"/>
    <hyperlink ref="H84" r:id="rId14"/>
    <hyperlink ref="G36" r:id="rId15"/>
    <hyperlink ref="G35" r:id="rId16"/>
  </hyperlinks>
  <printOptions horizontalCentered="1"/>
  <pageMargins left="0.7" right="0.45" top="0.25" bottom="0.25" header="0" footer="0"/>
  <pageSetup paperSize="5" scale="75" orientation="landscape" r:id="rId17"/>
  <headerFooter>
    <oddFooter>&amp;CFuel Cells - Page &amp;P of &amp;N</oddFooter>
  </headerFooter>
  <drawing r:id="rId18"/>
  <legacyDrawing r:id="rId19"/>
  <oleObjects>
    <mc:AlternateContent xmlns:mc="http://schemas.openxmlformats.org/markup-compatibility/2006">
      <mc:Choice Requires="x14">
        <oleObject progId="Equation.3" shapeId="7" r:id="rId20">
          <objectPr defaultSize="0" autoPict="0" r:id="rId21">
            <anchor moveWithCells="1" sizeWithCells="1">
              <from>
                <xdr:col>4</xdr:col>
                <xdr:colOff>0</xdr:colOff>
                <xdr:row>92</xdr:row>
                <xdr:rowOff>68580</xdr:rowOff>
              </from>
              <to>
                <xdr:col>7</xdr:col>
                <xdr:colOff>2217420</xdr:colOff>
                <xdr:row>95</xdr:row>
                <xdr:rowOff>0</xdr:rowOff>
              </to>
            </anchor>
          </objectPr>
        </oleObject>
      </mc:Choice>
      <mc:Fallback>
        <oleObject progId="Equation.3" shapeId="1025" r:id="rId20"/>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93"/>
  <sheetViews>
    <sheetView zoomScale="80" zoomScaleNormal="80" workbookViewId="0"/>
  </sheetViews>
  <sheetFormatPr defaultColWidth="0" defaultRowHeight="13.2" zeroHeight="1" x14ac:dyDescent="0.25"/>
  <cols>
    <col min="1" max="1" width="9.109375" style="11" customWidth="1"/>
    <col min="2" max="2" width="10.6640625" style="11" customWidth="1"/>
    <col min="3" max="3" width="4.6640625" style="11" customWidth="1"/>
    <col min="4" max="4" width="8.6640625" style="11" customWidth="1"/>
    <col min="5" max="5" width="17.6640625" style="11" customWidth="1"/>
    <col min="6" max="6" width="2.6640625" style="11" customWidth="1"/>
    <col min="7" max="7" width="10.6640625" style="11" customWidth="1"/>
    <col min="8" max="8" width="81.6640625" style="11" customWidth="1"/>
    <col min="9" max="9" width="2.6640625" style="11" customWidth="1"/>
    <col min="10" max="10" width="80.6640625" style="11" customWidth="1"/>
    <col min="11" max="11" width="2.6640625" style="11" customWidth="1"/>
    <col min="12" max="12" width="4.6640625" style="11" customWidth="1"/>
    <col min="13" max="16384" width="9.109375" style="11" hidden="1"/>
  </cols>
  <sheetData>
    <row r="1" spans="1:12" customFormat="1" x14ac:dyDescent="0.25">
      <c r="A1" s="11"/>
      <c r="B1" s="11"/>
      <c r="C1" s="11"/>
      <c r="D1" s="11"/>
      <c r="E1" s="11"/>
      <c r="F1" s="11"/>
      <c r="G1" s="11"/>
      <c r="H1" s="11"/>
      <c r="I1" s="11"/>
      <c r="J1" s="11"/>
      <c r="K1" s="11"/>
      <c r="L1" s="11"/>
    </row>
    <row r="2" spans="1:12" customFormat="1" x14ac:dyDescent="0.25">
      <c r="A2" s="11"/>
      <c r="B2" s="11"/>
      <c r="C2" s="11"/>
      <c r="D2" s="11"/>
      <c r="E2" s="11"/>
      <c r="F2" s="11"/>
      <c r="G2" s="11"/>
      <c r="H2" s="11"/>
      <c r="I2" s="11"/>
      <c r="J2" s="11"/>
      <c r="K2" s="11"/>
      <c r="L2" s="11"/>
    </row>
    <row r="3" spans="1:12" customFormat="1" x14ac:dyDescent="0.25">
      <c r="A3" s="11"/>
      <c r="B3" s="11"/>
      <c r="C3" s="11"/>
      <c r="D3" s="11"/>
      <c r="E3" s="11"/>
      <c r="F3" s="11"/>
      <c r="G3" s="11"/>
      <c r="H3" s="11"/>
      <c r="I3" s="11"/>
      <c r="J3" s="11"/>
      <c r="K3" s="11"/>
      <c r="L3" s="11"/>
    </row>
    <row r="4" spans="1:12" customFormat="1" x14ac:dyDescent="0.25">
      <c r="A4" s="11"/>
      <c r="B4" s="11"/>
      <c r="C4" s="11"/>
      <c r="D4" s="11"/>
      <c r="E4" s="11"/>
      <c r="F4" s="11"/>
      <c r="G4" s="11"/>
      <c r="H4" s="11"/>
      <c r="I4" s="11"/>
      <c r="J4" s="11"/>
      <c r="K4" s="11"/>
      <c r="L4" s="11"/>
    </row>
    <row r="5" spans="1:12" customFormat="1" x14ac:dyDescent="0.25">
      <c r="A5" s="11"/>
      <c r="B5" s="638" t="s">
        <v>598</v>
      </c>
      <c r="C5" s="638"/>
      <c r="D5" s="638"/>
      <c r="E5" s="638"/>
      <c r="F5" s="638"/>
      <c r="G5" s="638"/>
      <c r="H5" s="638"/>
      <c r="I5" s="638"/>
      <c r="J5" s="638"/>
      <c r="K5" s="638"/>
      <c r="L5" s="11"/>
    </row>
    <row r="6" spans="1:12" customFormat="1" x14ac:dyDescent="0.25">
      <c r="A6" s="11"/>
      <c r="B6" s="506" t="s">
        <v>597</v>
      </c>
      <c r="C6" s="506"/>
      <c r="D6" s="639">
        <v>41397</v>
      </c>
      <c r="E6" s="639"/>
      <c r="F6" s="639"/>
      <c r="G6" s="501"/>
      <c r="H6" s="501"/>
      <c r="I6" s="501"/>
      <c r="J6" s="501"/>
      <c r="K6" s="501"/>
      <c r="L6" s="11"/>
    </row>
    <row r="7" spans="1:12" customFormat="1" ht="13.8" thickBot="1" x14ac:dyDescent="0.3">
      <c r="A7" s="11"/>
      <c r="B7" s="508"/>
      <c r="C7" s="508"/>
      <c r="D7" s="508"/>
      <c r="E7" s="508"/>
      <c r="F7" s="508"/>
      <c r="G7" s="508"/>
      <c r="H7" s="508"/>
      <c r="I7" s="508"/>
      <c r="J7" s="508"/>
      <c r="K7" s="508"/>
      <c r="L7" s="11"/>
    </row>
    <row r="8" spans="1:12" customFormat="1" ht="60" customHeight="1" thickBot="1" x14ac:dyDescent="0.3">
      <c r="A8" s="15"/>
      <c r="B8" s="509" t="s">
        <v>46</v>
      </c>
      <c r="C8" s="510"/>
      <c r="D8" s="571" t="s">
        <v>47</v>
      </c>
      <c r="E8" s="572"/>
      <c r="F8" s="509"/>
      <c r="G8" s="67" t="s">
        <v>17</v>
      </c>
      <c r="H8" s="510" t="s">
        <v>48</v>
      </c>
      <c r="I8" s="510"/>
      <c r="J8" s="510" t="s">
        <v>49</v>
      </c>
      <c r="K8" s="571"/>
      <c r="L8" s="11"/>
    </row>
    <row r="9" spans="1:12" customFormat="1" x14ac:dyDescent="0.25">
      <c r="A9" s="11"/>
      <c r="B9" s="573"/>
      <c r="C9" s="573"/>
      <c r="D9" s="573"/>
      <c r="E9" s="573"/>
      <c r="F9" s="573"/>
      <c r="G9" s="573"/>
      <c r="H9" s="573"/>
      <c r="I9" s="573"/>
      <c r="J9" s="573"/>
      <c r="K9" s="573"/>
      <c r="L9" s="11"/>
    </row>
    <row r="10" spans="1:12" customFormat="1" x14ac:dyDescent="0.25">
      <c r="A10" s="11"/>
      <c r="B10" s="640" t="s">
        <v>18</v>
      </c>
      <c r="C10" s="640"/>
      <c r="D10" s="640"/>
      <c r="E10" s="640"/>
      <c r="F10" s="640"/>
      <c r="G10" s="640"/>
      <c r="H10" s="640"/>
      <c r="I10" s="640"/>
      <c r="J10" s="640"/>
      <c r="K10" s="640"/>
      <c r="L10" s="11"/>
    </row>
    <row r="11" spans="1:12" customFormat="1" x14ac:dyDescent="0.25">
      <c r="A11" s="11"/>
      <c r="B11" s="501"/>
      <c r="C11" s="501"/>
      <c r="D11" s="501"/>
      <c r="E11" s="501"/>
      <c r="F11" s="501"/>
      <c r="G11" s="501"/>
      <c r="H11" s="501"/>
      <c r="I11" s="501"/>
      <c r="J11" s="501"/>
      <c r="K11" s="501"/>
      <c r="L11" s="11"/>
    </row>
    <row r="12" spans="1:12" customFormat="1" x14ac:dyDescent="0.25">
      <c r="A12" s="11"/>
      <c r="B12" s="501"/>
      <c r="C12" s="501"/>
      <c r="D12" s="501"/>
      <c r="E12" s="501"/>
      <c r="F12" s="501"/>
      <c r="G12" s="501"/>
      <c r="H12" s="501"/>
      <c r="I12" s="501"/>
      <c r="J12" s="501"/>
      <c r="K12" s="501"/>
      <c r="L12" s="11"/>
    </row>
    <row r="13" spans="1:12" customFormat="1" x14ac:dyDescent="0.25">
      <c r="A13" s="11"/>
      <c r="B13" s="501"/>
      <c r="C13" s="501"/>
      <c r="D13" s="501"/>
      <c r="E13" s="501"/>
      <c r="F13" s="501"/>
      <c r="G13" s="501"/>
      <c r="H13" s="501"/>
      <c r="I13" s="501"/>
      <c r="J13" s="501"/>
      <c r="K13" s="501"/>
      <c r="L13" s="11"/>
    </row>
    <row r="14" spans="1:12" customFormat="1" ht="15.6" x14ac:dyDescent="0.25">
      <c r="A14" s="11"/>
      <c r="B14" s="513" t="s">
        <v>19</v>
      </c>
      <c r="C14" s="513"/>
      <c r="D14" s="513"/>
      <c r="E14" s="513"/>
      <c r="F14" s="513"/>
      <c r="G14" s="513"/>
      <c r="H14" s="513" t="s">
        <v>179</v>
      </c>
      <c r="I14" s="513"/>
      <c r="J14" s="511" t="s">
        <v>20</v>
      </c>
      <c r="K14" s="511"/>
      <c r="L14" s="11"/>
    </row>
    <row r="15" spans="1:12" customFormat="1" ht="12.75" customHeight="1" x14ac:dyDescent="0.25">
      <c r="A15" s="11"/>
      <c r="B15" s="559">
        <v>9866</v>
      </c>
      <c r="C15" s="523"/>
      <c r="D15" s="534" t="s">
        <v>54</v>
      </c>
      <c r="E15" s="541"/>
      <c r="F15" s="580"/>
      <c r="G15" s="537" t="s">
        <v>45</v>
      </c>
      <c r="H15" s="582" t="s">
        <v>23</v>
      </c>
      <c r="I15" s="523"/>
      <c r="J15" s="584" t="s">
        <v>531</v>
      </c>
      <c r="K15" s="523"/>
      <c r="L15" s="11"/>
    </row>
    <row r="16" spans="1:12" customFormat="1" ht="12.75" customHeight="1" x14ac:dyDescent="0.25">
      <c r="A16" s="11"/>
      <c r="B16" s="560"/>
      <c r="C16" s="520"/>
      <c r="D16" s="535"/>
      <c r="E16" s="542"/>
      <c r="F16" s="609"/>
      <c r="G16" s="538"/>
      <c r="H16" s="583"/>
      <c r="I16" s="562"/>
      <c r="J16" s="603"/>
      <c r="K16" s="619"/>
      <c r="L16" s="11"/>
    </row>
    <row r="17" spans="1:12" customFormat="1" ht="12.75" customHeight="1" x14ac:dyDescent="0.25">
      <c r="A17" s="11"/>
      <c r="B17" s="559">
        <f>0.7457*B15</f>
        <v>7357.0762000000004</v>
      </c>
      <c r="C17" s="523">
        <v>3</v>
      </c>
      <c r="D17" s="534" t="s">
        <v>22</v>
      </c>
      <c r="E17" s="541"/>
      <c r="F17" s="528"/>
      <c r="G17" s="537" t="s">
        <v>45</v>
      </c>
      <c r="H17" s="583"/>
      <c r="I17" s="562"/>
      <c r="J17" s="615"/>
      <c r="K17" s="620"/>
      <c r="L17" s="11"/>
    </row>
    <row r="18" spans="1:12" customFormat="1" ht="12.75" customHeight="1" x14ac:dyDescent="0.25">
      <c r="A18" s="11"/>
      <c r="B18" s="560"/>
      <c r="C18" s="520"/>
      <c r="D18" s="535"/>
      <c r="E18" s="542"/>
      <c r="F18" s="543"/>
      <c r="G18" s="538"/>
      <c r="H18" s="583"/>
      <c r="I18" s="562"/>
      <c r="J18" s="534" t="s">
        <v>424</v>
      </c>
      <c r="K18" s="544"/>
      <c r="L18" s="11"/>
    </row>
    <row r="19" spans="1:12" customFormat="1" ht="12.75" customHeight="1" x14ac:dyDescent="0.25">
      <c r="A19" s="11"/>
      <c r="B19" s="622">
        <v>0.34599999999999997</v>
      </c>
      <c r="C19" s="523"/>
      <c r="D19" s="534" t="s">
        <v>344</v>
      </c>
      <c r="E19" s="541"/>
      <c r="F19" s="528"/>
      <c r="G19" s="537" t="s">
        <v>45</v>
      </c>
      <c r="H19" s="530" t="s">
        <v>122</v>
      </c>
      <c r="I19" s="562"/>
      <c r="J19" s="539"/>
      <c r="K19" s="526"/>
      <c r="L19" s="11"/>
    </row>
    <row r="20" spans="1:12" customFormat="1" ht="12.75" customHeight="1" thickBot="1" x14ac:dyDescent="0.3">
      <c r="A20" s="11"/>
      <c r="B20" s="623"/>
      <c r="C20" s="563"/>
      <c r="D20" s="549"/>
      <c r="E20" s="550"/>
      <c r="F20" s="564"/>
      <c r="G20" s="538"/>
      <c r="H20" s="568"/>
      <c r="I20" s="563"/>
      <c r="J20" s="549"/>
      <c r="K20" s="616"/>
      <c r="L20" s="11"/>
    </row>
    <row r="21" spans="1:12" customFormat="1" ht="12.75" customHeight="1" x14ac:dyDescent="0.25">
      <c r="A21" s="11"/>
      <c r="B21" s="624">
        <v>0.5</v>
      </c>
      <c r="C21" s="525"/>
      <c r="D21" s="547" t="s">
        <v>478</v>
      </c>
      <c r="E21" s="548"/>
      <c r="F21" s="551"/>
      <c r="G21" s="552" t="s">
        <v>580</v>
      </c>
      <c r="H21" s="626" t="s">
        <v>157</v>
      </c>
      <c r="I21" s="525"/>
      <c r="J21" s="547" t="s">
        <v>430</v>
      </c>
      <c r="K21" s="525"/>
      <c r="L21" s="11"/>
    </row>
    <row r="22" spans="1:12" customFormat="1" ht="12.75" customHeight="1" x14ac:dyDescent="0.25">
      <c r="A22" s="11"/>
      <c r="B22" s="592"/>
      <c r="C22" s="527"/>
      <c r="D22" s="535"/>
      <c r="E22" s="542"/>
      <c r="F22" s="529"/>
      <c r="G22" s="553"/>
      <c r="H22" s="583"/>
      <c r="I22" s="526"/>
      <c r="J22" s="535"/>
      <c r="K22" s="527"/>
      <c r="L22" s="11"/>
    </row>
    <row r="23" spans="1:12" customFormat="1" ht="12.75" customHeight="1" x14ac:dyDescent="0.25">
      <c r="A23" s="11"/>
      <c r="B23" s="591">
        <f>0.5/1000*0.7457*453.59245</f>
        <v>0.16912194498250002</v>
      </c>
      <c r="C23" s="562">
        <v>4</v>
      </c>
      <c r="D23" s="534" t="s">
        <v>479</v>
      </c>
      <c r="E23" s="541"/>
      <c r="F23" s="543"/>
      <c r="G23" s="553"/>
      <c r="H23" s="583"/>
      <c r="I23" s="526"/>
      <c r="J23" s="534" t="s">
        <v>446</v>
      </c>
      <c r="K23" s="536"/>
      <c r="L23" s="11"/>
    </row>
    <row r="24" spans="1:12" customFormat="1" ht="12.75" customHeight="1" x14ac:dyDescent="0.25">
      <c r="A24" s="11"/>
      <c r="B24" s="592"/>
      <c r="C24" s="520"/>
      <c r="D24" s="535"/>
      <c r="E24" s="542"/>
      <c r="F24" s="529"/>
      <c r="G24" s="553"/>
      <c r="H24" s="583"/>
      <c r="I24" s="526"/>
      <c r="J24" s="535"/>
      <c r="K24" s="475"/>
      <c r="L24" s="11"/>
    </row>
    <row r="25" spans="1:12" customFormat="1" ht="12.75" customHeight="1" x14ac:dyDescent="0.25">
      <c r="A25" s="11"/>
      <c r="B25" s="627">
        <v>14</v>
      </c>
      <c r="C25" s="562">
        <v>5</v>
      </c>
      <c r="D25" s="534" t="s">
        <v>58</v>
      </c>
      <c r="E25" s="541"/>
      <c r="F25" s="528"/>
      <c r="G25" s="553"/>
      <c r="H25" s="530" t="s">
        <v>122</v>
      </c>
      <c r="I25" s="526"/>
      <c r="J25" s="442" t="s">
        <v>447</v>
      </c>
      <c r="K25" s="438"/>
      <c r="L25" s="11"/>
    </row>
    <row r="26" spans="1:12" customFormat="1" ht="12.75" customHeight="1" x14ac:dyDescent="0.25">
      <c r="A26" s="11"/>
      <c r="B26" s="628"/>
      <c r="C26" s="520"/>
      <c r="D26" s="535"/>
      <c r="E26" s="542"/>
      <c r="F26" s="529"/>
      <c r="G26" s="538"/>
      <c r="H26" s="531"/>
      <c r="I26" s="527"/>
      <c r="J26" s="442"/>
      <c r="K26" s="438"/>
      <c r="L26" s="11"/>
    </row>
    <row r="27" spans="1:12" customFormat="1" ht="12.75" customHeight="1" x14ac:dyDescent="0.25">
      <c r="A27" s="11"/>
      <c r="B27" s="588">
        <f>5.88/10^4</f>
        <v>5.8799999999999998E-4</v>
      </c>
      <c r="C27" s="523">
        <v>6</v>
      </c>
      <c r="D27" s="534" t="s">
        <v>59</v>
      </c>
      <c r="E27" s="541"/>
      <c r="F27" s="528"/>
      <c r="G27" s="537" t="s">
        <v>45</v>
      </c>
      <c r="H27" s="582" t="s">
        <v>188</v>
      </c>
      <c r="I27" s="528"/>
      <c r="J27" s="534" t="s">
        <v>431</v>
      </c>
      <c r="K27" s="536"/>
      <c r="L27" s="11"/>
    </row>
    <row r="28" spans="1:12" customFormat="1" ht="12.75" customHeight="1" x14ac:dyDescent="0.25">
      <c r="A28" s="11"/>
      <c r="B28" s="589"/>
      <c r="C28" s="520"/>
      <c r="D28" s="535"/>
      <c r="E28" s="542"/>
      <c r="F28" s="529"/>
      <c r="G28" s="538"/>
      <c r="H28" s="583"/>
      <c r="I28" s="543"/>
      <c r="J28" s="535"/>
      <c r="K28" s="475"/>
      <c r="L28" s="11"/>
    </row>
    <row r="29" spans="1:12" customFormat="1" ht="12.75" customHeight="1" x14ac:dyDescent="0.25">
      <c r="A29" s="11"/>
      <c r="B29" s="588">
        <f>+(9.5+9.91)/1000</f>
        <v>1.941E-2</v>
      </c>
      <c r="C29" s="523">
        <v>7</v>
      </c>
      <c r="D29" s="534" t="s">
        <v>473</v>
      </c>
      <c r="E29" s="541"/>
      <c r="F29" s="528"/>
      <c r="G29" s="537" t="s">
        <v>45</v>
      </c>
      <c r="H29" s="583"/>
      <c r="I29" s="543"/>
      <c r="J29" s="534" t="s">
        <v>508</v>
      </c>
      <c r="K29" s="528"/>
      <c r="L29" s="11"/>
    </row>
    <row r="30" spans="1:12" customFormat="1" ht="12.75" customHeight="1" x14ac:dyDescent="0.25">
      <c r="A30" s="11"/>
      <c r="B30" s="589"/>
      <c r="C30" s="520"/>
      <c r="D30" s="535"/>
      <c r="E30" s="542"/>
      <c r="F30" s="529"/>
      <c r="G30" s="553"/>
      <c r="H30" s="583"/>
      <c r="I30" s="543"/>
      <c r="J30" s="539"/>
      <c r="K30" s="543"/>
      <c r="L30" s="11"/>
    </row>
    <row r="31" spans="1:12" customFormat="1" ht="12.75" customHeight="1" x14ac:dyDescent="0.25">
      <c r="A31" s="11"/>
      <c r="B31" s="588">
        <f>+(9.5+9.91)/1000*B15*0.7457*453.59245/10^6</f>
        <v>6.4773386979040934E-2</v>
      </c>
      <c r="C31" s="523">
        <v>8</v>
      </c>
      <c r="D31" s="534" t="s">
        <v>474</v>
      </c>
      <c r="E31" s="541"/>
      <c r="F31" s="528"/>
      <c r="G31" s="553"/>
      <c r="H31" s="530" t="s">
        <v>158</v>
      </c>
      <c r="I31" s="543"/>
      <c r="J31" s="539"/>
      <c r="K31" s="543"/>
      <c r="L31" s="11"/>
    </row>
    <row r="32" spans="1:12" customFormat="1" ht="12.75" customHeight="1" x14ac:dyDescent="0.25">
      <c r="A32" s="11"/>
      <c r="B32" s="589"/>
      <c r="C32" s="520"/>
      <c r="D32" s="535"/>
      <c r="E32" s="542"/>
      <c r="F32" s="529"/>
      <c r="G32" s="538"/>
      <c r="H32" s="531"/>
      <c r="I32" s="529"/>
      <c r="J32" s="535"/>
      <c r="K32" s="529"/>
      <c r="L32" s="11"/>
    </row>
    <row r="33" spans="1:12" customFormat="1" ht="12.75" customHeight="1" x14ac:dyDescent="0.25">
      <c r="A33" s="11"/>
      <c r="B33" s="590">
        <v>1.87</v>
      </c>
      <c r="C33" s="523"/>
      <c r="D33" s="534" t="s">
        <v>480</v>
      </c>
      <c r="E33" s="541"/>
      <c r="F33" s="528"/>
      <c r="G33" s="537" t="s">
        <v>580</v>
      </c>
      <c r="H33" s="582" t="s">
        <v>472</v>
      </c>
      <c r="I33" s="617"/>
      <c r="J33" s="582" t="s">
        <v>430</v>
      </c>
      <c r="K33" s="536"/>
      <c r="L33" s="11"/>
    </row>
    <row r="34" spans="1:12" customFormat="1" ht="12.75" customHeight="1" x14ac:dyDescent="0.25">
      <c r="A34" s="11"/>
      <c r="B34" s="592"/>
      <c r="C34" s="520"/>
      <c r="D34" s="535"/>
      <c r="E34" s="542"/>
      <c r="F34" s="529"/>
      <c r="G34" s="553"/>
      <c r="H34" s="583"/>
      <c r="I34" s="618"/>
      <c r="J34" s="634"/>
      <c r="K34" s="475"/>
      <c r="L34" s="11"/>
    </row>
    <row r="35" spans="1:12" customFormat="1" ht="12.75" customHeight="1" x14ac:dyDescent="0.25">
      <c r="A35" s="11"/>
      <c r="B35" s="590">
        <f>1.87/1000*0.7457*453.59245</f>
        <v>0.63251607423455014</v>
      </c>
      <c r="C35" s="523">
        <v>9</v>
      </c>
      <c r="D35" s="534" t="s">
        <v>481</v>
      </c>
      <c r="E35" s="541"/>
      <c r="F35" s="528"/>
      <c r="G35" s="553"/>
      <c r="H35" s="583"/>
      <c r="I35" s="618"/>
      <c r="J35" s="534" t="s">
        <v>432</v>
      </c>
      <c r="K35" s="528"/>
      <c r="L35" s="11"/>
    </row>
    <row r="36" spans="1:12" customFormat="1" ht="12.75" customHeight="1" x14ac:dyDescent="0.25">
      <c r="A36" s="11"/>
      <c r="B36" s="592"/>
      <c r="C36" s="520"/>
      <c r="D36" s="535"/>
      <c r="E36" s="542"/>
      <c r="F36" s="529"/>
      <c r="G36" s="538"/>
      <c r="H36" s="583"/>
      <c r="I36" s="618"/>
      <c r="J36" s="535"/>
      <c r="K36" s="529"/>
      <c r="L36" s="11"/>
    </row>
    <row r="37" spans="1:12" customFormat="1" ht="12.75" customHeight="1" x14ac:dyDescent="0.25">
      <c r="A37" s="11"/>
      <c r="B37" s="565" t="s">
        <v>162</v>
      </c>
      <c r="C37" s="523"/>
      <c r="D37" s="534" t="s">
        <v>160</v>
      </c>
      <c r="E37" s="541"/>
      <c r="F37" s="528"/>
      <c r="G37" s="537" t="s">
        <v>45</v>
      </c>
      <c r="H37" s="583"/>
      <c r="I37" s="618"/>
      <c r="J37" s="539" t="s">
        <v>136</v>
      </c>
      <c r="K37" s="528"/>
      <c r="L37" s="11"/>
    </row>
    <row r="38" spans="1:12" customFormat="1" ht="12.75" customHeight="1" x14ac:dyDescent="0.25">
      <c r="A38" s="11"/>
      <c r="B38" s="625"/>
      <c r="C38" s="520"/>
      <c r="D38" s="535"/>
      <c r="E38" s="542"/>
      <c r="F38" s="529"/>
      <c r="G38" s="538"/>
      <c r="H38" s="583"/>
      <c r="I38" s="618"/>
      <c r="J38" s="535"/>
      <c r="K38" s="529"/>
      <c r="L38" s="11"/>
    </row>
    <row r="39" spans="1:12" customFormat="1" ht="12.75" customHeight="1" x14ac:dyDescent="0.25">
      <c r="A39" s="11"/>
      <c r="B39" s="590">
        <v>0.47</v>
      </c>
      <c r="C39" s="523"/>
      <c r="D39" s="534" t="s">
        <v>482</v>
      </c>
      <c r="E39" s="541"/>
      <c r="F39" s="528"/>
      <c r="G39" s="537" t="s">
        <v>45</v>
      </c>
      <c r="H39" s="583"/>
      <c r="I39" s="618"/>
      <c r="J39" s="582" t="s">
        <v>430</v>
      </c>
      <c r="K39" s="536"/>
      <c r="L39" s="11"/>
    </row>
    <row r="40" spans="1:12" customFormat="1" ht="12.75" customHeight="1" x14ac:dyDescent="0.25">
      <c r="A40" s="11"/>
      <c r="B40" s="592"/>
      <c r="C40" s="520"/>
      <c r="D40" s="535"/>
      <c r="E40" s="542"/>
      <c r="F40" s="529"/>
      <c r="G40" s="553"/>
      <c r="H40" s="530" t="s">
        <v>122</v>
      </c>
      <c r="I40" s="618"/>
      <c r="J40" s="634"/>
      <c r="K40" s="475"/>
      <c r="L40" s="11"/>
    </row>
    <row r="41" spans="1:12" customFormat="1" ht="12.75" customHeight="1" x14ac:dyDescent="0.25">
      <c r="A41" s="11"/>
      <c r="B41" s="590">
        <f>0.47/1000*0.7457*453.59245</f>
        <v>0.15897462828355</v>
      </c>
      <c r="C41" s="523">
        <f>1+C35</f>
        <v>10</v>
      </c>
      <c r="D41" s="534" t="s">
        <v>483</v>
      </c>
      <c r="E41" s="541"/>
      <c r="F41" s="528"/>
      <c r="G41" s="553"/>
      <c r="H41" s="530"/>
      <c r="I41" s="618"/>
      <c r="J41" s="534" t="s">
        <v>433</v>
      </c>
      <c r="K41" s="536"/>
      <c r="L41" s="11"/>
    </row>
    <row r="42" spans="1:12" customFormat="1" ht="12.75" customHeight="1" x14ac:dyDescent="0.25">
      <c r="A42" s="11"/>
      <c r="B42" s="592"/>
      <c r="C42" s="520"/>
      <c r="D42" s="535"/>
      <c r="E42" s="542"/>
      <c r="F42" s="529"/>
      <c r="G42" s="538"/>
      <c r="H42" s="530"/>
      <c r="I42" s="618"/>
      <c r="J42" s="535"/>
      <c r="K42" s="475"/>
      <c r="L42" s="11"/>
    </row>
    <row r="43" spans="1:12" customFormat="1" ht="12.75" customHeight="1" x14ac:dyDescent="0.25">
      <c r="A43" s="11"/>
      <c r="B43" s="565">
        <v>0.8</v>
      </c>
      <c r="C43" s="523"/>
      <c r="D43" s="534" t="s">
        <v>161</v>
      </c>
      <c r="E43" s="541"/>
      <c r="F43" s="528"/>
      <c r="G43" s="537" t="s">
        <v>45</v>
      </c>
      <c r="H43" s="530"/>
      <c r="I43" s="618"/>
      <c r="J43" s="534" t="s">
        <v>137</v>
      </c>
      <c r="K43" s="536"/>
      <c r="L43" s="11"/>
    </row>
    <row r="44" spans="1:12" customFormat="1" ht="12.75" customHeight="1" x14ac:dyDescent="0.25">
      <c r="A44" s="11"/>
      <c r="B44" s="625"/>
      <c r="C44" s="520"/>
      <c r="D44" s="535"/>
      <c r="E44" s="542"/>
      <c r="F44" s="529"/>
      <c r="G44" s="538"/>
      <c r="H44" s="531"/>
      <c r="I44" s="633"/>
      <c r="J44" s="535"/>
      <c r="K44" s="475"/>
      <c r="L44" s="11"/>
    </row>
    <row r="45" spans="1:12" customFormat="1" ht="12.75" customHeight="1" x14ac:dyDescent="0.25">
      <c r="A45" s="11"/>
      <c r="B45" s="590">
        <v>116.88</v>
      </c>
      <c r="C45" s="523">
        <v>11</v>
      </c>
      <c r="D45" s="534" t="s">
        <v>63</v>
      </c>
      <c r="E45" s="541"/>
      <c r="F45" s="528"/>
      <c r="G45" s="537" t="s">
        <v>579</v>
      </c>
      <c r="H45" s="70" t="s">
        <v>293</v>
      </c>
      <c r="I45" s="536"/>
      <c r="J45" s="534" t="s">
        <v>463</v>
      </c>
      <c r="K45" s="523"/>
      <c r="L45" s="11"/>
    </row>
    <row r="46" spans="1:12" customFormat="1" ht="12.75" customHeight="1" x14ac:dyDescent="0.25">
      <c r="A46" s="11"/>
      <c r="B46" s="592"/>
      <c r="C46" s="520"/>
      <c r="D46" s="535"/>
      <c r="E46" s="542"/>
      <c r="F46" s="529"/>
      <c r="G46" s="538"/>
      <c r="H46" s="79" t="s">
        <v>138</v>
      </c>
      <c r="I46" s="475"/>
      <c r="J46" s="535"/>
      <c r="K46" s="520"/>
      <c r="L46" s="11"/>
    </row>
    <row r="47" spans="1:12" customFormat="1" x14ac:dyDescent="0.25">
      <c r="A47" s="11"/>
      <c r="B47" s="20" t="s">
        <v>27</v>
      </c>
      <c r="C47" s="575"/>
      <c r="D47" s="575"/>
      <c r="E47" s="576"/>
      <c r="F47" s="575"/>
      <c r="G47" s="575"/>
      <c r="H47" s="575"/>
      <c r="I47" s="575"/>
      <c r="J47" s="575"/>
      <c r="K47" s="575"/>
      <c r="L47" s="11"/>
    </row>
    <row r="48" spans="1:12" customFormat="1" ht="12.75" customHeight="1" x14ac:dyDescent="0.25">
      <c r="A48" s="11"/>
      <c r="B48" s="20"/>
      <c r="C48" s="21">
        <v>1</v>
      </c>
      <c r="D48" s="533" t="s">
        <v>439</v>
      </c>
      <c r="E48" s="533"/>
      <c r="F48" s="533"/>
      <c r="G48" s="533"/>
      <c r="H48" s="533"/>
      <c r="I48" s="533"/>
      <c r="J48" s="533"/>
      <c r="K48" s="533"/>
      <c r="L48" s="11"/>
    </row>
    <row r="49" spans="1:12" customFormat="1" x14ac:dyDescent="0.25">
      <c r="A49" s="11"/>
      <c r="B49" s="20"/>
      <c r="C49" s="21"/>
      <c r="D49" s="533"/>
      <c r="E49" s="533"/>
      <c r="F49" s="533"/>
      <c r="G49" s="533"/>
      <c r="H49" s="533"/>
      <c r="I49" s="533"/>
      <c r="J49" s="533"/>
      <c r="K49" s="533"/>
      <c r="L49" s="11"/>
    </row>
    <row r="50" spans="1:12" customFormat="1" ht="12.75" customHeight="1" x14ac:dyDescent="0.25">
      <c r="A50" s="11"/>
      <c r="B50" s="20"/>
      <c r="C50" s="11"/>
      <c r="D50" s="500" t="s">
        <v>122</v>
      </c>
      <c r="E50" s="500"/>
      <c r="F50" s="500"/>
      <c r="G50" s="500"/>
      <c r="H50" s="500"/>
      <c r="I50" s="500"/>
      <c r="J50" s="500"/>
      <c r="K50" s="500"/>
      <c r="L50" s="11"/>
    </row>
    <row r="51" spans="1:12" customFormat="1" x14ac:dyDescent="0.25">
      <c r="A51" s="11"/>
      <c r="B51" s="325"/>
      <c r="C51" s="21"/>
      <c r="D51" s="504" t="s">
        <v>425</v>
      </c>
      <c r="E51" s="504"/>
      <c r="F51" s="504"/>
      <c r="G51" s="504"/>
      <c r="H51" s="504"/>
      <c r="I51" s="504"/>
      <c r="J51" s="504"/>
      <c r="K51" s="504"/>
      <c r="L51" s="11"/>
    </row>
    <row r="52" spans="1:12" customFormat="1" x14ac:dyDescent="0.25">
      <c r="A52" s="11"/>
      <c r="B52" s="325"/>
      <c r="C52" s="21"/>
      <c r="D52" s="504"/>
      <c r="E52" s="504"/>
      <c r="F52" s="504"/>
      <c r="G52" s="504"/>
      <c r="H52" s="504"/>
      <c r="I52" s="504"/>
      <c r="J52" s="504"/>
      <c r="K52" s="504"/>
      <c r="L52" s="11"/>
    </row>
    <row r="53" spans="1:12" customFormat="1" x14ac:dyDescent="0.25">
      <c r="A53" s="11"/>
      <c r="B53" s="325"/>
      <c r="C53" s="21"/>
      <c r="D53" s="66"/>
      <c r="E53" s="503"/>
      <c r="F53" s="503"/>
      <c r="G53" s="503"/>
      <c r="H53" s="503"/>
      <c r="I53" s="503"/>
      <c r="J53" s="503"/>
      <c r="K53" s="503"/>
      <c r="L53" s="11"/>
    </row>
    <row r="54" spans="1:12" customFormat="1" x14ac:dyDescent="0.25">
      <c r="A54" s="11"/>
      <c r="B54" s="325"/>
      <c r="C54" s="21"/>
      <c r="D54" s="66"/>
      <c r="E54" s="635"/>
      <c r="F54" s="635"/>
      <c r="G54" s="635"/>
      <c r="H54" s="635"/>
      <c r="I54" s="635"/>
      <c r="J54" s="635"/>
      <c r="K54" s="635"/>
      <c r="L54" s="11"/>
    </row>
    <row r="55" spans="1:12" customFormat="1" x14ac:dyDescent="0.25">
      <c r="A55" s="11"/>
      <c r="B55" s="325"/>
      <c r="C55" s="21"/>
      <c r="D55" s="66"/>
      <c r="E55" s="503"/>
      <c r="F55" s="503"/>
      <c r="G55" s="503"/>
      <c r="H55" s="503"/>
      <c r="I55" s="503"/>
      <c r="J55" s="503"/>
      <c r="K55" s="503"/>
      <c r="L55" s="11"/>
    </row>
    <row r="56" spans="1:12" customFormat="1" ht="12.75" customHeight="1" x14ac:dyDescent="0.25">
      <c r="A56" s="11"/>
      <c r="B56" s="20"/>
      <c r="C56" s="21"/>
      <c r="D56" s="533" t="s">
        <v>443</v>
      </c>
      <c r="E56" s="533"/>
      <c r="F56" s="533"/>
      <c r="G56" s="533"/>
      <c r="H56" s="533"/>
      <c r="I56" s="533"/>
      <c r="J56" s="533"/>
      <c r="K56" s="533"/>
      <c r="L56" s="11"/>
    </row>
    <row r="57" spans="1:12" customFormat="1" ht="12.75" customHeight="1" x14ac:dyDescent="0.25">
      <c r="A57" s="11"/>
      <c r="B57" s="20"/>
      <c r="C57" s="21"/>
      <c r="D57" s="533"/>
      <c r="E57" s="533"/>
      <c r="F57" s="533"/>
      <c r="G57" s="533"/>
      <c r="H57" s="533"/>
      <c r="I57" s="533"/>
      <c r="J57" s="533"/>
      <c r="K57" s="533"/>
      <c r="L57" s="11"/>
    </row>
    <row r="58" spans="1:12" customFormat="1" ht="12.75" customHeight="1" x14ac:dyDescent="0.25">
      <c r="A58" s="11"/>
      <c r="B58" s="20"/>
      <c r="C58" s="21"/>
      <c r="D58" s="579" t="s">
        <v>156</v>
      </c>
      <c r="E58" s="579"/>
      <c r="F58" s="579"/>
      <c r="G58" s="579"/>
      <c r="H58" s="579"/>
      <c r="I58" s="579"/>
      <c r="J58" s="579"/>
      <c r="K58" s="579"/>
      <c r="L58" s="11"/>
    </row>
    <row r="59" spans="1:12" customFormat="1" x14ac:dyDescent="0.25">
      <c r="A59" s="11"/>
      <c r="B59" s="11"/>
      <c r="C59" s="25">
        <v>2</v>
      </c>
      <c r="D59" s="504" t="s">
        <v>154</v>
      </c>
      <c r="E59" s="504"/>
      <c r="F59" s="504"/>
      <c r="G59" s="504"/>
      <c r="H59" s="504"/>
      <c r="I59" s="504"/>
      <c r="J59" s="504"/>
      <c r="K59" s="504"/>
      <c r="L59" s="11"/>
    </row>
    <row r="60" spans="1:12" customFormat="1" x14ac:dyDescent="0.25">
      <c r="A60" s="11"/>
      <c r="B60" s="11"/>
      <c r="C60" s="11"/>
      <c r="D60" s="500" t="s">
        <v>155</v>
      </c>
      <c r="E60" s="500"/>
      <c r="F60" s="500"/>
      <c r="G60" s="504"/>
      <c r="H60" s="504"/>
      <c r="I60" s="504"/>
      <c r="J60" s="504"/>
      <c r="K60" s="504"/>
      <c r="L60" s="11"/>
    </row>
    <row r="61" spans="1:12" customFormat="1" x14ac:dyDescent="0.25">
      <c r="A61" s="11"/>
      <c r="B61" s="11"/>
      <c r="C61" s="24">
        <f>+C17</f>
        <v>3</v>
      </c>
      <c r="D61" s="577" t="s">
        <v>509</v>
      </c>
      <c r="E61" s="577"/>
      <c r="F61" s="577"/>
      <c r="G61" s="577"/>
      <c r="H61" s="577"/>
      <c r="I61" s="577"/>
      <c r="J61" s="577"/>
      <c r="K61" s="577"/>
      <c r="L61" s="11"/>
    </row>
    <row r="62" spans="1:12" customFormat="1" x14ac:dyDescent="0.25">
      <c r="A62" s="11"/>
      <c r="B62" s="11"/>
      <c r="C62" s="24"/>
      <c r="D62" s="75"/>
      <c r="E62" s="501"/>
      <c r="F62" s="501"/>
      <c r="G62" s="501"/>
      <c r="H62" s="501"/>
      <c r="I62" s="501"/>
      <c r="J62" s="501"/>
      <c r="K62" s="501"/>
      <c r="L62" s="11"/>
    </row>
    <row r="63" spans="1:12" customFormat="1" x14ac:dyDescent="0.25">
      <c r="A63" s="11"/>
      <c r="B63" s="11"/>
      <c r="C63" s="24"/>
      <c r="D63" s="11"/>
      <c r="E63" s="501" t="s">
        <v>426</v>
      </c>
      <c r="F63" s="501"/>
      <c r="G63" s="501"/>
      <c r="H63" s="501"/>
      <c r="I63" s="501"/>
      <c r="J63" s="501"/>
      <c r="K63" s="501"/>
      <c r="L63" s="11"/>
    </row>
    <row r="64" spans="1:12" customFormat="1" x14ac:dyDescent="0.25">
      <c r="A64" s="11"/>
      <c r="B64" s="11"/>
      <c r="C64" s="24"/>
      <c r="D64" s="75"/>
      <c r="E64" s="501"/>
      <c r="F64" s="501"/>
      <c r="G64" s="501"/>
      <c r="H64" s="501"/>
      <c r="I64" s="501"/>
      <c r="J64" s="501"/>
      <c r="K64" s="501"/>
      <c r="L64" s="11"/>
    </row>
    <row r="65" spans="1:12" customFormat="1" x14ac:dyDescent="0.25">
      <c r="A65" s="11"/>
      <c r="B65" s="11"/>
      <c r="C65" s="24"/>
      <c r="D65" s="75"/>
      <c r="E65" s="501"/>
      <c r="F65" s="501"/>
      <c r="G65" s="501"/>
      <c r="H65" s="501"/>
      <c r="I65" s="501"/>
      <c r="J65" s="501"/>
      <c r="K65" s="501"/>
      <c r="L65" s="11"/>
    </row>
    <row r="66" spans="1:12" customFormat="1" x14ac:dyDescent="0.25">
      <c r="A66" s="11"/>
      <c r="B66" s="11"/>
      <c r="C66" s="24"/>
      <c r="D66" s="75"/>
      <c r="E66" s="501"/>
      <c r="F66" s="501"/>
      <c r="G66" s="501"/>
      <c r="H66" s="501"/>
      <c r="I66" s="501"/>
      <c r="J66" s="501"/>
      <c r="K66" s="501"/>
      <c r="L66" s="11"/>
    </row>
    <row r="67" spans="1:12" customFormat="1" x14ac:dyDescent="0.25">
      <c r="A67" s="11"/>
      <c r="B67" s="11"/>
      <c r="C67" s="24"/>
      <c r="D67" s="75"/>
      <c r="E67" s="501"/>
      <c r="F67" s="501"/>
      <c r="G67" s="501"/>
      <c r="H67" s="501"/>
      <c r="I67" s="501"/>
      <c r="J67" s="501"/>
      <c r="K67" s="501"/>
      <c r="L67" s="11"/>
    </row>
    <row r="68" spans="1:12" customFormat="1" ht="12.75" customHeight="1" x14ac:dyDescent="0.25">
      <c r="A68" s="11"/>
      <c r="B68" s="11"/>
      <c r="C68" s="11"/>
      <c r="D68" s="533" t="s">
        <v>444</v>
      </c>
      <c r="E68" s="533"/>
      <c r="F68" s="533"/>
      <c r="G68" s="533"/>
      <c r="H68" s="533"/>
      <c r="I68" s="533"/>
      <c r="J68" s="533"/>
      <c r="K68" s="533"/>
      <c r="L68" s="11"/>
    </row>
    <row r="69" spans="1:12" s="2" customFormat="1" ht="12.75" customHeight="1" x14ac:dyDescent="0.25">
      <c r="A69" s="11"/>
      <c r="B69" s="11"/>
      <c r="C69" s="24">
        <f>+C23</f>
        <v>4</v>
      </c>
      <c r="D69" s="533" t="s">
        <v>427</v>
      </c>
      <c r="E69" s="533"/>
      <c r="F69" s="533"/>
      <c r="G69" s="533"/>
      <c r="H69" s="533"/>
      <c r="I69" s="533"/>
      <c r="J69" s="533"/>
      <c r="K69" s="533"/>
      <c r="L69" s="11"/>
    </row>
    <row r="70" spans="1:12" s="2" customFormat="1" x14ac:dyDescent="0.25">
      <c r="A70" s="11"/>
      <c r="B70" s="11"/>
      <c r="C70" s="24"/>
      <c r="D70" s="533"/>
      <c r="E70" s="533"/>
      <c r="F70" s="533"/>
      <c r="G70" s="533"/>
      <c r="H70" s="533"/>
      <c r="I70" s="533"/>
      <c r="J70" s="533"/>
      <c r="K70" s="533"/>
      <c r="L70" s="11"/>
    </row>
    <row r="71" spans="1:12" s="2" customFormat="1" x14ac:dyDescent="0.25">
      <c r="A71" s="11"/>
      <c r="B71" s="11"/>
      <c r="C71" s="24"/>
      <c r="D71" s="69"/>
      <c r="E71" s="540"/>
      <c r="F71" s="540"/>
      <c r="G71" s="540"/>
      <c r="H71" s="540"/>
      <c r="I71" s="540"/>
      <c r="J71" s="540"/>
      <c r="K71" s="540"/>
      <c r="L71" s="11"/>
    </row>
    <row r="72" spans="1:12" s="2" customFormat="1" x14ac:dyDescent="0.25">
      <c r="A72" s="11"/>
      <c r="B72" s="11"/>
      <c r="C72" s="24"/>
      <c r="D72" s="69"/>
      <c r="E72" s="540"/>
      <c r="F72" s="540"/>
      <c r="G72" s="540"/>
      <c r="H72" s="540"/>
      <c r="I72" s="540"/>
      <c r="J72" s="540"/>
      <c r="K72" s="540"/>
      <c r="L72" s="11"/>
    </row>
    <row r="73" spans="1:12" s="2" customFormat="1" x14ac:dyDescent="0.25">
      <c r="A73" s="11"/>
      <c r="B73" s="11"/>
      <c r="C73" s="24"/>
      <c r="D73" s="69"/>
      <c r="E73" s="540"/>
      <c r="F73" s="540"/>
      <c r="G73" s="540"/>
      <c r="H73" s="540"/>
      <c r="I73" s="540"/>
      <c r="J73" s="540"/>
      <c r="K73" s="540"/>
      <c r="L73" s="11"/>
    </row>
    <row r="74" spans="1:12" customFormat="1" x14ac:dyDescent="0.25">
      <c r="A74" s="11"/>
      <c r="B74" s="11"/>
      <c r="C74" s="24">
        <f>+C25</f>
        <v>5</v>
      </c>
      <c r="D74" s="504" t="s">
        <v>429</v>
      </c>
      <c r="E74" s="504"/>
      <c r="F74" s="504"/>
      <c r="G74" s="504"/>
      <c r="H74" s="504"/>
      <c r="I74" s="504"/>
      <c r="J74" s="504"/>
      <c r="K74" s="504"/>
      <c r="L74" s="11"/>
    </row>
    <row r="75" spans="1:12" customFormat="1" x14ac:dyDescent="0.25">
      <c r="A75" s="11"/>
      <c r="B75" s="11"/>
      <c r="C75" s="24"/>
      <c r="D75" s="504"/>
      <c r="E75" s="504"/>
      <c r="F75" s="504"/>
      <c r="G75" s="504"/>
      <c r="H75" s="504"/>
      <c r="I75" s="504"/>
      <c r="J75" s="504"/>
      <c r="K75" s="504"/>
      <c r="L75" s="11"/>
    </row>
    <row r="76" spans="1:12" customFormat="1" x14ac:dyDescent="0.25">
      <c r="A76" s="11"/>
      <c r="B76" s="11"/>
      <c r="C76" s="24"/>
      <c r="D76" s="75"/>
      <c r="E76" s="503"/>
      <c r="F76" s="503"/>
      <c r="G76" s="503"/>
      <c r="H76" s="503"/>
      <c r="I76" s="503"/>
      <c r="J76" s="503"/>
      <c r="K76" s="503"/>
      <c r="L76" s="11"/>
    </row>
    <row r="77" spans="1:12" customFormat="1" x14ac:dyDescent="0.25">
      <c r="A77" s="11"/>
      <c r="B77" s="11"/>
      <c r="C77" s="24"/>
      <c r="D77" s="75"/>
      <c r="E77" s="503"/>
      <c r="F77" s="503"/>
      <c r="G77" s="503"/>
      <c r="H77" s="503"/>
      <c r="I77" s="503"/>
      <c r="J77" s="503"/>
      <c r="K77" s="503"/>
      <c r="L77" s="11"/>
    </row>
    <row r="78" spans="1:12" customFormat="1" x14ac:dyDescent="0.25">
      <c r="A78" s="11"/>
      <c r="B78" s="11"/>
      <c r="C78" s="24"/>
      <c r="D78" s="75"/>
      <c r="E78" s="503"/>
      <c r="F78" s="503"/>
      <c r="G78" s="503"/>
      <c r="H78" s="503"/>
      <c r="I78" s="503"/>
      <c r="J78" s="503"/>
      <c r="K78" s="503"/>
      <c r="L78" s="11"/>
    </row>
    <row r="79" spans="1:12" customFormat="1" x14ac:dyDescent="0.25">
      <c r="A79" s="11"/>
      <c r="B79" s="11"/>
      <c r="C79" s="24"/>
      <c r="D79" s="504" t="s">
        <v>587</v>
      </c>
      <c r="E79" s="504"/>
      <c r="F79" s="504"/>
      <c r="G79" s="504"/>
      <c r="H79" s="504"/>
      <c r="I79" s="504"/>
      <c r="J79" s="504"/>
      <c r="K79" s="504"/>
      <c r="L79" s="11"/>
    </row>
    <row r="80" spans="1:12" customFormat="1" ht="12.75" customHeight="1" x14ac:dyDescent="0.25">
      <c r="A80" s="11"/>
      <c r="B80" s="11"/>
      <c r="C80" s="25">
        <f>+C27</f>
        <v>6</v>
      </c>
      <c r="D80" s="533" t="s">
        <v>450</v>
      </c>
      <c r="E80" s="533"/>
      <c r="F80" s="533"/>
      <c r="G80" s="533"/>
      <c r="H80" s="533"/>
      <c r="I80" s="533"/>
      <c r="J80" s="533"/>
      <c r="K80" s="533"/>
      <c r="L80" s="11"/>
    </row>
    <row r="81" spans="1:12" customFormat="1" ht="12.75" customHeight="1" x14ac:dyDescent="0.25">
      <c r="A81" s="11"/>
      <c r="B81" s="11"/>
      <c r="C81" s="326"/>
      <c r="D81" s="533"/>
      <c r="E81" s="533"/>
      <c r="F81" s="533"/>
      <c r="G81" s="533"/>
      <c r="H81" s="533"/>
      <c r="I81" s="533"/>
      <c r="J81" s="533"/>
      <c r="K81" s="533"/>
      <c r="L81" s="11"/>
    </row>
    <row r="82" spans="1:12" customFormat="1" x14ac:dyDescent="0.25">
      <c r="A82" s="11"/>
      <c r="B82" s="11"/>
      <c r="C82" s="11"/>
      <c r="D82" s="533"/>
      <c r="E82" s="533"/>
      <c r="F82" s="533"/>
      <c r="G82" s="533"/>
      <c r="H82" s="533"/>
      <c r="I82" s="533"/>
      <c r="J82" s="533"/>
      <c r="K82" s="533"/>
      <c r="L82" s="11"/>
    </row>
    <row r="83" spans="1:12" customFormat="1" x14ac:dyDescent="0.25">
      <c r="A83" s="11"/>
      <c r="B83" s="11"/>
      <c r="C83" s="11"/>
      <c r="D83" s="500" t="s">
        <v>60</v>
      </c>
      <c r="E83" s="500"/>
      <c r="F83" s="500"/>
      <c r="G83" s="504"/>
      <c r="H83" s="504"/>
      <c r="I83" s="504"/>
      <c r="J83" s="504"/>
      <c r="K83" s="504"/>
      <c r="L83" s="11"/>
    </row>
    <row r="84" spans="1:12" customFormat="1" ht="12.75" customHeight="1" x14ac:dyDescent="0.25">
      <c r="A84" s="11"/>
      <c r="B84" s="11"/>
      <c r="C84" s="25">
        <f>+C29</f>
        <v>7</v>
      </c>
      <c r="D84" s="533" t="s">
        <v>434</v>
      </c>
      <c r="E84" s="533"/>
      <c r="F84" s="533"/>
      <c r="G84" s="533"/>
      <c r="H84" s="533"/>
      <c r="I84" s="533"/>
      <c r="J84" s="533"/>
      <c r="K84" s="533"/>
      <c r="L84" s="11"/>
    </row>
    <row r="85" spans="1:12" customFormat="1" ht="12.75" customHeight="1" x14ac:dyDescent="0.25">
      <c r="A85" s="11"/>
      <c r="B85" s="11"/>
      <c r="C85" s="25"/>
      <c r="D85" s="69"/>
      <c r="E85" s="540"/>
      <c r="F85" s="540"/>
      <c r="G85" s="540"/>
      <c r="H85" s="540"/>
      <c r="I85" s="540"/>
      <c r="J85" s="540"/>
      <c r="K85" s="540"/>
      <c r="L85" s="11"/>
    </row>
    <row r="86" spans="1:12" customFormat="1" ht="12.75" customHeight="1" x14ac:dyDescent="0.25">
      <c r="A86" s="11"/>
      <c r="B86" s="11"/>
      <c r="C86" s="25"/>
      <c r="D86" s="69"/>
      <c r="E86" s="540"/>
      <c r="F86" s="540"/>
      <c r="G86" s="540"/>
      <c r="H86" s="540"/>
      <c r="I86" s="540"/>
      <c r="J86" s="540"/>
      <c r="K86" s="540"/>
      <c r="L86" s="11"/>
    </row>
    <row r="87" spans="1:12" customFormat="1" ht="12.75" customHeight="1" x14ac:dyDescent="0.25">
      <c r="A87" s="11"/>
      <c r="B87" s="11"/>
      <c r="C87" s="25">
        <f>+C31</f>
        <v>8</v>
      </c>
      <c r="D87" s="610" t="s">
        <v>454</v>
      </c>
      <c r="E87" s="610"/>
      <c r="F87" s="610"/>
      <c r="G87" s="610"/>
      <c r="H87" s="610"/>
      <c r="I87" s="610"/>
      <c r="J87" s="610"/>
      <c r="K87" s="610"/>
      <c r="L87" s="11"/>
    </row>
    <row r="88" spans="1:12" customFormat="1" ht="12.75" customHeight="1" x14ac:dyDescent="0.25">
      <c r="A88" s="11"/>
      <c r="B88" s="11"/>
      <c r="C88" s="25"/>
      <c r="D88" s="69"/>
      <c r="E88" s="501"/>
      <c r="F88" s="501"/>
      <c r="G88" s="501"/>
      <c r="H88" s="501"/>
      <c r="I88" s="501"/>
      <c r="J88" s="501"/>
      <c r="K88" s="501"/>
      <c r="L88" s="11"/>
    </row>
    <row r="89" spans="1:12" customFormat="1" ht="12.75" customHeight="1" x14ac:dyDescent="0.25">
      <c r="A89" s="11"/>
      <c r="B89" s="11"/>
      <c r="C89" s="25"/>
      <c r="D89" s="69"/>
      <c r="E89" s="501"/>
      <c r="F89" s="501"/>
      <c r="G89" s="501"/>
      <c r="H89" s="501"/>
      <c r="I89" s="501"/>
      <c r="J89" s="501"/>
      <c r="K89" s="501"/>
      <c r="L89" s="11"/>
    </row>
    <row r="90" spans="1:12" customFormat="1" ht="12.75" customHeight="1" x14ac:dyDescent="0.25">
      <c r="A90" s="11"/>
      <c r="B90" s="11"/>
      <c r="C90" s="25"/>
      <c r="D90" s="69"/>
      <c r="E90" s="501"/>
      <c r="F90" s="501"/>
      <c r="G90" s="501"/>
      <c r="H90" s="501"/>
      <c r="I90" s="501"/>
      <c r="J90" s="501"/>
      <c r="K90" s="501"/>
      <c r="L90" s="11"/>
    </row>
    <row r="91" spans="1:12" customFormat="1" ht="12.75" customHeight="1" x14ac:dyDescent="0.25">
      <c r="A91" s="11"/>
      <c r="B91" s="11"/>
      <c r="C91" s="24">
        <f>+C35</f>
        <v>9</v>
      </c>
      <c r="D91" s="533" t="s">
        <v>435</v>
      </c>
      <c r="E91" s="533"/>
      <c r="F91" s="533"/>
      <c r="G91" s="533"/>
      <c r="H91" s="533"/>
      <c r="I91" s="533"/>
      <c r="J91" s="533"/>
      <c r="K91" s="533"/>
      <c r="L91" s="11"/>
    </row>
    <row r="92" spans="1:12" customFormat="1" x14ac:dyDescent="0.25">
      <c r="A92" s="11"/>
      <c r="B92" s="11"/>
      <c r="C92" s="24"/>
      <c r="D92" s="533"/>
      <c r="E92" s="533"/>
      <c r="F92" s="533"/>
      <c r="G92" s="533"/>
      <c r="H92" s="533"/>
      <c r="I92" s="533"/>
      <c r="J92" s="533"/>
      <c r="K92" s="533"/>
      <c r="L92" s="11"/>
    </row>
    <row r="93" spans="1:12" customFormat="1" x14ac:dyDescent="0.25">
      <c r="A93" s="11"/>
      <c r="B93" s="11"/>
      <c r="C93" s="24"/>
      <c r="D93" s="69"/>
      <c r="E93" s="540"/>
      <c r="F93" s="540"/>
      <c r="G93" s="540"/>
      <c r="H93" s="540"/>
      <c r="I93" s="540"/>
      <c r="J93" s="540"/>
      <c r="K93" s="540"/>
      <c r="L93" s="11"/>
    </row>
    <row r="94" spans="1:12" customFormat="1" x14ac:dyDescent="0.25">
      <c r="A94" s="11"/>
      <c r="B94" s="11"/>
      <c r="C94" s="24"/>
      <c r="D94" s="69"/>
      <c r="E94" s="540"/>
      <c r="F94" s="540"/>
      <c r="G94" s="540"/>
      <c r="H94" s="540"/>
      <c r="I94" s="540"/>
      <c r="J94" s="540"/>
      <c r="K94" s="540"/>
      <c r="L94" s="11"/>
    </row>
    <row r="95" spans="1:12" customFormat="1" x14ac:dyDescent="0.25">
      <c r="A95" s="11"/>
      <c r="B95" s="11"/>
      <c r="C95" s="24"/>
      <c r="D95" s="69"/>
      <c r="E95" s="540"/>
      <c r="F95" s="540"/>
      <c r="G95" s="540"/>
      <c r="H95" s="540"/>
      <c r="I95" s="540"/>
      <c r="J95" s="540"/>
      <c r="K95" s="540"/>
      <c r="L95" s="11"/>
    </row>
    <row r="96" spans="1:12" customFormat="1" x14ac:dyDescent="0.25">
      <c r="A96" s="11"/>
      <c r="B96" s="11"/>
      <c r="C96" s="24">
        <f>+C41</f>
        <v>10</v>
      </c>
      <c r="D96" s="533" t="s">
        <v>436</v>
      </c>
      <c r="E96" s="533"/>
      <c r="F96" s="533"/>
      <c r="G96" s="533"/>
      <c r="H96" s="533"/>
      <c r="I96" s="533"/>
      <c r="J96" s="533"/>
      <c r="K96" s="533"/>
      <c r="L96" s="11"/>
    </row>
    <row r="97" spans="1:12" customFormat="1" x14ac:dyDescent="0.25">
      <c r="A97" s="11"/>
      <c r="B97" s="11"/>
      <c r="C97" s="24"/>
      <c r="D97" s="533"/>
      <c r="E97" s="533"/>
      <c r="F97" s="533"/>
      <c r="G97" s="533"/>
      <c r="H97" s="533"/>
      <c r="I97" s="533"/>
      <c r="J97" s="533"/>
      <c r="K97" s="533"/>
      <c r="L97" s="11"/>
    </row>
    <row r="98" spans="1:12" customFormat="1" x14ac:dyDescent="0.25">
      <c r="A98" s="11"/>
      <c r="B98" s="11"/>
      <c r="C98" s="24"/>
      <c r="D98" s="69"/>
      <c r="E98" s="540"/>
      <c r="F98" s="540"/>
      <c r="G98" s="540"/>
      <c r="H98" s="540"/>
      <c r="I98" s="540"/>
      <c r="J98" s="540"/>
      <c r="K98" s="540"/>
      <c r="L98" s="11"/>
    </row>
    <row r="99" spans="1:12" customFormat="1" x14ac:dyDescent="0.25">
      <c r="A99" s="11"/>
      <c r="B99" s="11"/>
      <c r="C99" s="24"/>
      <c r="D99" s="69"/>
      <c r="E99" s="540"/>
      <c r="F99" s="540"/>
      <c r="G99" s="540"/>
      <c r="H99" s="540"/>
      <c r="I99" s="540"/>
      <c r="J99" s="540"/>
      <c r="K99" s="540"/>
      <c r="L99" s="11"/>
    </row>
    <row r="100" spans="1:12" customFormat="1" x14ac:dyDescent="0.25">
      <c r="A100" s="11"/>
      <c r="B100" s="11"/>
      <c r="C100" s="24"/>
      <c r="D100" s="69"/>
      <c r="E100" s="540"/>
      <c r="F100" s="540"/>
      <c r="G100" s="540"/>
      <c r="H100" s="540"/>
      <c r="I100" s="540"/>
      <c r="J100" s="540"/>
      <c r="K100" s="540"/>
      <c r="L100" s="11"/>
    </row>
    <row r="101" spans="1:12" customFormat="1" ht="12.75" customHeight="1" x14ac:dyDescent="0.25">
      <c r="A101" s="11"/>
      <c r="B101" s="11"/>
      <c r="C101" s="25">
        <f>+C45</f>
        <v>11</v>
      </c>
      <c r="D101" s="504" t="s">
        <v>437</v>
      </c>
      <c r="E101" s="504"/>
      <c r="F101" s="504"/>
      <c r="G101" s="504"/>
      <c r="H101" s="504"/>
      <c r="I101" s="504"/>
      <c r="J101" s="504"/>
      <c r="K101" s="504"/>
      <c r="L101" s="11"/>
    </row>
    <row r="102" spans="1:12" customFormat="1" x14ac:dyDescent="0.25">
      <c r="A102" s="11"/>
      <c r="B102" s="11"/>
      <c r="C102" s="11"/>
      <c r="D102" s="504"/>
      <c r="E102" s="504"/>
      <c r="F102" s="504"/>
      <c r="G102" s="504"/>
      <c r="H102" s="504"/>
      <c r="I102" s="504"/>
      <c r="J102" s="504"/>
      <c r="K102" s="504"/>
      <c r="L102" s="11"/>
    </row>
    <row r="103" spans="1:12" customFormat="1" x14ac:dyDescent="0.25">
      <c r="A103" s="11"/>
      <c r="B103" s="11"/>
      <c r="C103" s="11"/>
      <c r="D103" s="66"/>
      <c r="E103" s="503"/>
      <c r="F103" s="503"/>
      <c r="G103" s="503"/>
      <c r="H103" s="503"/>
      <c r="I103" s="503"/>
      <c r="J103" s="503"/>
      <c r="K103" s="503"/>
      <c r="L103" s="11"/>
    </row>
    <row r="104" spans="1:12" customFormat="1" x14ac:dyDescent="0.25">
      <c r="A104" s="11"/>
      <c r="B104" s="11"/>
      <c r="C104" s="11"/>
      <c r="D104" s="66"/>
      <c r="E104" s="504" t="s">
        <v>438</v>
      </c>
      <c r="F104" s="504"/>
      <c r="G104" s="504"/>
      <c r="H104" s="504"/>
      <c r="I104" s="504"/>
      <c r="J104" s="504"/>
      <c r="K104" s="504"/>
      <c r="L104" s="11"/>
    </row>
    <row r="105" spans="1:12" customFormat="1" x14ac:dyDescent="0.25">
      <c r="A105" s="11"/>
      <c r="B105" s="11"/>
      <c r="C105" s="11"/>
      <c r="D105" s="66"/>
      <c r="E105" s="503"/>
      <c r="F105" s="503"/>
      <c r="G105" s="503"/>
      <c r="H105" s="503"/>
      <c r="I105" s="503"/>
      <c r="J105" s="503"/>
      <c r="K105" s="503"/>
      <c r="L105" s="11"/>
    </row>
    <row r="106" spans="1:12" customFormat="1" x14ac:dyDescent="0.25">
      <c r="A106" s="11"/>
      <c r="B106" s="11"/>
      <c r="C106" s="11"/>
      <c r="D106" s="504" t="s">
        <v>588</v>
      </c>
      <c r="E106" s="504"/>
      <c r="F106" s="504"/>
      <c r="G106" s="504"/>
      <c r="H106" s="504"/>
      <c r="I106" s="504"/>
      <c r="J106" s="504"/>
      <c r="K106" s="504"/>
      <c r="L106" s="11"/>
    </row>
    <row r="107" spans="1:12" customFormat="1" x14ac:dyDescent="0.25">
      <c r="A107" s="11"/>
      <c r="B107" s="11"/>
      <c r="C107" s="11"/>
      <c r="D107" s="504"/>
      <c r="E107" s="504"/>
      <c r="F107" s="504"/>
      <c r="G107" s="504"/>
      <c r="H107" s="504"/>
      <c r="I107" s="504"/>
      <c r="J107" s="504"/>
      <c r="K107" s="504"/>
      <c r="L107" s="11"/>
    </row>
    <row r="108" spans="1:12" customFormat="1" ht="12.75" customHeight="1" x14ac:dyDescent="0.25">
      <c r="A108" s="11"/>
      <c r="B108" s="501"/>
      <c r="C108" s="501"/>
      <c r="D108" s="501"/>
      <c r="E108" s="501"/>
      <c r="F108" s="501"/>
      <c r="G108" s="501"/>
      <c r="H108" s="501"/>
      <c r="I108" s="501"/>
      <c r="J108" s="501"/>
      <c r="K108" s="501"/>
      <c r="L108" s="11"/>
    </row>
    <row r="109" spans="1:12" customFormat="1" ht="12.75" customHeight="1" x14ac:dyDescent="0.25">
      <c r="A109" s="11"/>
      <c r="B109" s="501"/>
      <c r="C109" s="501"/>
      <c r="D109" s="501"/>
      <c r="E109" s="501"/>
      <c r="F109" s="501"/>
      <c r="G109" s="501"/>
      <c r="H109" s="501"/>
      <c r="I109" s="501"/>
      <c r="J109" s="501"/>
      <c r="K109" s="501"/>
      <c r="L109" s="11"/>
    </row>
    <row r="110" spans="1:12" customFormat="1" ht="12.75" customHeight="1" x14ac:dyDescent="0.25">
      <c r="A110" s="11"/>
      <c r="B110" s="501"/>
      <c r="C110" s="501"/>
      <c r="D110" s="501"/>
      <c r="E110" s="501"/>
      <c r="F110" s="501"/>
      <c r="G110" s="501"/>
      <c r="H110" s="501"/>
      <c r="I110" s="501"/>
      <c r="J110" s="501"/>
      <c r="K110" s="501"/>
      <c r="L110" s="11"/>
    </row>
    <row r="111" spans="1:12" customFormat="1" ht="12.75" customHeight="1" x14ac:dyDescent="0.25">
      <c r="A111" s="11"/>
      <c r="B111" s="501"/>
      <c r="C111" s="501"/>
      <c r="D111" s="501"/>
      <c r="E111" s="501"/>
      <c r="F111" s="501"/>
      <c r="G111" s="501"/>
      <c r="H111" s="501"/>
      <c r="I111" s="501"/>
      <c r="J111" s="501"/>
      <c r="K111" s="501"/>
      <c r="L111" s="11"/>
    </row>
    <row r="112" spans="1:12" customFormat="1" ht="15.6" x14ac:dyDescent="0.25">
      <c r="A112" s="11"/>
      <c r="B112" s="513" t="s">
        <v>198</v>
      </c>
      <c r="C112" s="513"/>
      <c r="D112" s="513"/>
      <c r="E112" s="513"/>
      <c r="F112" s="513"/>
      <c r="G112" s="513"/>
      <c r="H112" s="513" t="s">
        <v>180</v>
      </c>
      <c r="I112" s="513"/>
      <c r="J112" s="511" t="s">
        <v>24</v>
      </c>
      <c r="K112" s="511"/>
      <c r="L112" s="11"/>
    </row>
    <row r="113" spans="1:12" customFormat="1" ht="12.75" customHeight="1" x14ac:dyDescent="0.25">
      <c r="A113" s="11"/>
      <c r="B113" s="559">
        <v>9760</v>
      </c>
      <c r="C113" s="523"/>
      <c r="D113" s="534" t="s">
        <v>54</v>
      </c>
      <c r="E113" s="541"/>
      <c r="F113" s="580"/>
      <c r="G113" s="537" t="s">
        <v>45</v>
      </c>
      <c r="H113" s="582" t="s">
        <v>146</v>
      </c>
      <c r="I113" s="523"/>
      <c r="J113" s="584" t="s">
        <v>532</v>
      </c>
      <c r="K113" s="523"/>
      <c r="L113" s="11"/>
    </row>
    <row r="114" spans="1:12" customFormat="1" ht="12.75" customHeight="1" x14ac:dyDescent="0.25">
      <c r="A114" s="11"/>
      <c r="B114" s="560"/>
      <c r="C114" s="520"/>
      <c r="D114" s="535"/>
      <c r="E114" s="542"/>
      <c r="F114" s="609"/>
      <c r="G114" s="538"/>
      <c r="H114" s="583"/>
      <c r="I114" s="562"/>
      <c r="J114" s="603"/>
      <c r="K114" s="619"/>
      <c r="L114" s="11"/>
    </row>
    <row r="115" spans="1:12" customFormat="1" ht="12.75" customHeight="1" x14ac:dyDescent="0.25">
      <c r="A115" s="11"/>
      <c r="B115" s="559">
        <f>0.7457*B113</f>
        <v>7278.0320000000002</v>
      </c>
      <c r="C115" s="523">
        <v>3</v>
      </c>
      <c r="D115" s="534" t="s">
        <v>22</v>
      </c>
      <c r="E115" s="541"/>
      <c r="F115" s="528"/>
      <c r="G115" s="537" t="s">
        <v>45</v>
      </c>
      <c r="H115" s="583"/>
      <c r="I115" s="562"/>
      <c r="J115" s="615"/>
      <c r="K115" s="620"/>
      <c r="L115" s="11"/>
    </row>
    <row r="116" spans="1:12" customFormat="1" ht="12.75" customHeight="1" x14ac:dyDescent="0.25">
      <c r="A116" s="11"/>
      <c r="B116" s="560"/>
      <c r="C116" s="520"/>
      <c r="D116" s="535"/>
      <c r="E116" s="542"/>
      <c r="F116" s="543"/>
      <c r="G116" s="538"/>
      <c r="H116" s="583"/>
      <c r="I116" s="562"/>
      <c r="J116" s="534" t="s">
        <v>424</v>
      </c>
      <c r="K116" s="544"/>
      <c r="L116" s="11"/>
    </row>
    <row r="117" spans="1:12" customFormat="1" ht="12.75" customHeight="1" x14ac:dyDescent="0.25">
      <c r="A117" s="11"/>
      <c r="B117" s="622">
        <v>0.35</v>
      </c>
      <c r="C117" s="523"/>
      <c r="D117" s="534" t="s">
        <v>344</v>
      </c>
      <c r="E117" s="541"/>
      <c r="F117" s="528"/>
      <c r="G117" s="537" t="s">
        <v>45</v>
      </c>
      <c r="H117" s="530" t="s">
        <v>122</v>
      </c>
      <c r="I117" s="562"/>
      <c r="J117" s="539"/>
      <c r="K117" s="526"/>
      <c r="L117" s="11"/>
    </row>
    <row r="118" spans="1:12" customFormat="1" ht="12.75" customHeight="1" thickBot="1" x14ac:dyDescent="0.3">
      <c r="A118" s="11"/>
      <c r="B118" s="623"/>
      <c r="C118" s="563"/>
      <c r="D118" s="549"/>
      <c r="E118" s="550"/>
      <c r="F118" s="564"/>
      <c r="G118" s="538"/>
      <c r="H118" s="568"/>
      <c r="I118" s="563"/>
      <c r="J118" s="549"/>
      <c r="K118" s="616"/>
      <c r="L118" s="11"/>
    </row>
    <row r="119" spans="1:12" customFormat="1" ht="12.75" customHeight="1" x14ac:dyDescent="0.25">
      <c r="A119" s="11"/>
      <c r="B119" s="624">
        <v>1.49</v>
      </c>
      <c r="C119" s="525"/>
      <c r="D119" s="547" t="s">
        <v>484</v>
      </c>
      <c r="E119" s="548"/>
      <c r="F119" s="551"/>
      <c r="G119" s="552" t="s">
        <v>580</v>
      </c>
      <c r="H119" s="626" t="s">
        <v>186</v>
      </c>
      <c r="I119" s="525"/>
      <c r="J119" s="547" t="s">
        <v>449</v>
      </c>
      <c r="K119" s="525"/>
      <c r="L119" s="11"/>
    </row>
    <row r="120" spans="1:12" customFormat="1" ht="12.75" customHeight="1" x14ac:dyDescent="0.25">
      <c r="A120" s="11"/>
      <c r="B120" s="592"/>
      <c r="C120" s="527"/>
      <c r="D120" s="535"/>
      <c r="E120" s="542"/>
      <c r="F120" s="529"/>
      <c r="G120" s="553"/>
      <c r="H120" s="583"/>
      <c r="I120" s="526"/>
      <c r="J120" s="535"/>
      <c r="K120" s="527"/>
      <c r="L120" s="11"/>
    </row>
    <row r="121" spans="1:12" customFormat="1" ht="12.75" customHeight="1" x14ac:dyDescent="0.25">
      <c r="A121" s="11"/>
      <c r="B121" s="591">
        <f>1.49/1000*0.7457*453.59245</f>
        <v>0.50398339604785003</v>
      </c>
      <c r="C121" s="562">
        <v>4</v>
      </c>
      <c r="D121" s="534" t="s">
        <v>485</v>
      </c>
      <c r="E121" s="541"/>
      <c r="F121" s="543"/>
      <c r="G121" s="553"/>
      <c r="H121" s="583"/>
      <c r="I121" s="526"/>
      <c r="J121" s="535" t="s">
        <v>451</v>
      </c>
      <c r="K121" s="475"/>
      <c r="L121" s="11"/>
    </row>
    <row r="122" spans="1:12" customFormat="1" ht="12.75" customHeight="1" x14ac:dyDescent="0.25">
      <c r="A122" s="11"/>
      <c r="B122" s="592"/>
      <c r="C122" s="520"/>
      <c r="D122" s="535"/>
      <c r="E122" s="542"/>
      <c r="F122" s="529"/>
      <c r="G122" s="553"/>
      <c r="H122" s="583"/>
      <c r="I122" s="526"/>
      <c r="J122" s="442"/>
      <c r="K122" s="438"/>
      <c r="L122" s="11"/>
    </row>
    <row r="123" spans="1:12" customFormat="1" ht="12.75" customHeight="1" x14ac:dyDescent="0.25">
      <c r="A123" s="11"/>
      <c r="B123" s="621">
        <v>42.5</v>
      </c>
      <c r="C123" s="562">
        <v>5</v>
      </c>
      <c r="D123" s="534" t="s">
        <v>58</v>
      </c>
      <c r="E123" s="541"/>
      <c r="F123" s="528"/>
      <c r="G123" s="553"/>
      <c r="H123" s="530" t="s">
        <v>122</v>
      </c>
      <c r="I123" s="526"/>
      <c r="J123" s="442" t="s">
        <v>448</v>
      </c>
      <c r="K123" s="438"/>
      <c r="L123" s="11"/>
    </row>
    <row r="124" spans="1:12" customFormat="1" ht="12.75" customHeight="1" x14ac:dyDescent="0.25">
      <c r="A124" s="11"/>
      <c r="B124" s="614"/>
      <c r="C124" s="520"/>
      <c r="D124" s="535"/>
      <c r="E124" s="542"/>
      <c r="F124" s="529"/>
      <c r="G124" s="538"/>
      <c r="H124" s="615"/>
      <c r="I124" s="527"/>
      <c r="J124" s="442"/>
      <c r="K124" s="438"/>
      <c r="L124" s="11"/>
    </row>
    <row r="125" spans="1:12" customFormat="1" ht="12.75" customHeight="1" x14ac:dyDescent="0.25">
      <c r="A125" s="11"/>
      <c r="B125" s="588">
        <f>5.88/10^4</f>
        <v>5.8799999999999998E-4</v>
      </c>
      <c r="C125" s="523">
        <v>6</v>
      </c>
      <c r="D125" s="534" t="s">
        <v>59</v>
      </c>
      <c r="E125" s="541"/>
      <c r="F125" s="528"/>
      <c r="G125" s="537" t="s">
        <v>45</v>
      </c>
      <c r="H125" s="582" t="s">
        <v>187</v>
      </c>
      <c r="I125" s="528"/>
      <c r="J125" s="534" t="s">
        <v>455</v>
      </c>
      <c r="K125" s="536"/>
      <c r="L125" s="11"/>
    </row>
    <row r="126" spans="1:12" customFormat="1" ht="12.75" customHeight="1" x14ac:dyDescent="0.25">
      <c r="A126" s="11"/>
      <c r="B126" s="589"/>
      <c r="C126" s="520"/>
      <c r="D126" s="535"/>
      <c r="E126" s="542"/>
      <c r="F126" s="529"/>
      <c r="G126" s="538"/>
      <c r="H126" s="583"/>
      <c r="I126" s="543"/>
      <c r="J126" s="535"/>
      <c r="K126" s="475"/>
      <c r="L126" s="11"/>
    </row>
    <row r="127" spans="1:12" customFormat="1" ht="12.75" customHeight="1" x14ac:dyDescent="0.25">
      <c r="A127" s="11"/>
      <c r="B127" s="588">
        <f>+(7.71/100+9.91)/1000</f>
        <v>9.9871000000000005E-3</v>
      </c>
      <c r="C127" s="523">
        <v>7</v>
      </c>
      <c r="D127" s="534" t="s">
        <v>473</v>
      </c>
      <c r="E127" s="541"/>
      <c r="F127" s="528"/>
      <c r="G127" s="537" t="s">
        <v>45</v>
      </c>
      <c r="H127" s="583"/>
      <c r="I127" s="543"/>
      <c r="J127" s="534" t="s">
        <v>452</v>
      </c>
      <c r="K127" s="528"/>
      <c r="L127" s="11"/>
    </row>
    <row r="128" spans="1:12" customFormat="1" ht="12.75" customHeight="1" x14ac:dyDescent="0.25">
      <c r="A128" s="11"/>
      <c r="B128" s="589"/>
      <c r="C128" s="520"/>
      <c r="D128" s="535"/>
      <c r="E128" s="542"/>
      <c r="F128" s="529"/>
      <c r="G128" s="553"/>
      <c r="H128" s="583"/>
      <c r="I128" s="543"/>
      <c r="J128" s="539"/>
      <c r="K128" s="543"/>
      <c r="L128" s="11"/>
    </row>
    <row r="129" spans="1:12" customFormat="1" ht="12.75" customHeight="1" x14ac:dyDescent="0.25">
      <c r="A129" s="327"/>
      <c r="B129" s="588">
        <f>+(7.71/100+9.91)/1000*B113*0.7457*453.59245/10^6</f>
        <v>3.2970017401861847E-2</v>
      </c>
      <c r="C129" s="523">
        <v>8</v>
      </c>
      <c r="D129" s="534" t="s">
        <v>474</v>
      </c>
      <c r="E129" s="541"/>
      <c r="F129" s="528"/>
      <c r="G129" s="553"/>
      <c r="H129" s="530" t="s">
        <v>158</v>
      </c>
      <c r="I129" s="543"/>
      <c r="J129" s="539"/>
      <c r="K129" s="543"/>
      <c r="L129" s="11"/>
    </row>
    <row r="130" spans="1:12" customFormat="1" ht="12.75" customHeight="1" x14ac:dyDescent="0.25">
      <c r="A130" s="327"/>
      <c r="B130" s="589"/>
      <c r="C130" s="520"/>
      <c r="D130" s="535"/>
      <c r="E130" s="542"/>
      <c r="F130" s="529"/>
      <c r="G130" s="538"/>
      <c r="H130" s="531"/>
      <c r="I130" s="529"/>
      <c r="J130" s="535"/>
      <c r="K130" s="529"/>
      <c r="L130" s="11"/>
    </row>
    <row r="131" spans="1:12" customFormat="1" ht="12.75" customHeight="1" x14ac:dyDescent="0.25">
      <c r="A131" s="327"/>
      <c r="B131" s="590">
        <v>0.87</v>
      </c>
      <c r="C131" s="523"/>
      <c r="D131" s="534" t="s">
        <v>486</v>
      </c>
      <c r="E131" s="541"/>
      <c r="F131" s="528"/>
      <c r="G131" s="537" t="s">
        <v>580</v>
      </c>
      <c r="H131" s="582" t="s">
        <v>471</v>
      </c>
      <c r="I131" s="617"/>
      <c r="J131" s="534" t="s">
        <v>457</v>
      </c>
      <c r="K131" s="536"/>
      <c r="L131" s="11"/>
    </row>
    <row r="132" spans="1:12" customFormat="1" ht="12.75" customHeight="1" x14ac:dyDescent="0.25">
      <c r="A132" s="327"/>
      <c r="B132" s="592"/>
      <c r="C132" s="520"/>
      <c r="D132" s="535"/>
      <c r="E132" s="542"/>
      <c r="F132" s="529"/>
      <c r="G132" s="553"/>
      <c r="H132" s="583"/>
      <c r="I132" s="618"/>
      <c r="J132" s="535"/>
      <c r="K132" s="475"/>
      <c r="L132" s="11"/>
    </row>
    <row r="133" spans="1:12" customFormat="1" ht="12.75" customHeight="1" x14ac:dyDescent="0.25">
      <c r="A133" s="327"/>
      <c r="B133" s="590">
        <f>0.87/1000*0.7457*453.59245</f>
        <v>0.29427218426955004</v>
      </c>
      <c r="C133" s="523">
        <v>9</v>
      </c>
      <c r="D133" s="534" t="s">
        <v>477</v>
      </c>
      <c r="E133" s="541"/>
      <c r="F133" s="528"/>
      <c r="G133" s="553"/>
      <c r="H133" s="583"/>
      <c r="I133" s="618"/>
      <c r="J133" s="534" t="s">
        <v>458</v>
      </c>
      <c r="K133" s="528"/>
      <c r="L133" s="11"/>
    </row>
    <row r="134" spans="1:12" customFormat="1" ht="12.75" customHeight="1" x14ac:dyDescent="0.25">
      <c r="A134" s="327"/>
      <c r="B134" s="592"/>
      <c r="C134" s="520"/>
      <c r="D134" s="535"/>
      <c r="E134" s="542"/>
      <c r="F134" s="529"/>
      <c r="G134" s="538"/>
      <c r="H134" s="583"/>
      <c r="I134" s="618"/>
      <c r="J134" s="535"/>
      <c r="K134" s="529"/>
      <c r="L134" s="11"/>
    </row>
    <row r="135" spans="1:12" customFormat="1" ht="12.75" customHeight="1" x14ac:dyDescent="0.25">
      <c r="A135" s="327"/>
      <c r="B135" s="565" t="s">
        <v>45</v>
      </c>
      <c r="C135" s="523"/>
      <c r="D135" s="534" t="s">
        <v>189</v>
      </c>
      <c r="E135" s="541"/>
      <c r="F135" s="528"/>
      <c r="G135" s="537" t="s">
        <v>45</v>
      </c>
      <c r="H135" s="583"/>
      <c r="I135" s="618"/>
      <c r="J135" s="534" t="s">
        <v>459</v>
      </c>
      <c r="K135" s="536"/>
      <c r="L135" s="11"/>
    </row>
    <row r="136" spans="1:12" customFormat="1" ht="12.75" customHeight="1" x14ac:dyDescent="0.25">
      <c r="A136" s="327"/>
      <c r="B136" s="625"/>
      <c r="C136" s="520"/>
      <c r="D136" s="535"/>
      <c r="E136" s="542"/>
      <c r="F136" s="529"/>
      <c r="G136" s="538"/>
      <c r="H136" s="583"/>
      <c r="I136" s="618"/>
      <c r="J136" s="535"/>
      <c r="K136" s="475"/>
      <c r="L136" s="11"/>
    </row>
    <row r="137" spans="1:12" customFormat="1" ht="12.75" customHeight="1" x14ac:dyDescent="0.25">
      <c r="A137" s="327"/>
      <c r="B137" s="590">
        <v>0.38</v>
      </c>
      <c r="C137" s="523"/>
      <c r="D137" s="534" t="s">
        <v>487</v>
      </c>
      <c r="E137" s="541"/>
      <c r="F137" s="528"/>
      <c r="G137" s="537" t="s">
        <v>45</v>
      </c>
      <c r="H137" s="530" t="s">
        <v>122</v>
      </c>
      <c r="I137" s="618"/>
      <c r="J137" s="582" t="s">
        <v>461</v>
      </c>
      <c r="K137" s="528"/>
      <c r="L137" s="11"/>
    </row>
    <row r="138" spans="1:12" customFormat="1" ht="12.75" customHeight="1" x14ac:dyDescent="0.25">
      <c r="A138" s="327"/>
      <c r="B138" s="592"/>
      <c r="C138" s="520"/>
      <c r="D138" s="535"/>
      <c r="E138" s="542"/>
      <c r="F138" s="529"/>
      <c r="G138" s="553"/>
      <c r="H138" s="530"/>
      <c r="I138" s="618"/>
      <c r="J138" s="634"/>
      <c r="K138" s="529"/>
      <c r="L138" s="11"/>
    </row>
    <row r="139" spans="1:12" customFormat="1" ht="12.75" customHeight="1" x14ac:dyDescent="0.25">
      <c r="A139" s="327"/>
      <c r="B139" s="591">
        <f>0.38/1000*0.7457*453.59245</f>
        <v>0.1285326781867</v>
      </c>
      <c r="C139" s="562">
        <v>10</v>
      </c>
      <c r="D139" s="539" t="s">
        <v>488</v>
      </c>
      <c r="E139" s="593"/>
      <c r="F139" s="543"/>
      <c r="G139" s="553"/>
      <c r="H139" s="530"/>
      <c r="I139" s="618"/>
      <c r="J139" s="534" t="s">
        <v>462</v>
      </c>
      <c r="K139" s="536"/>
      <c r="L139" s="11"/>
    </row>
    <row r="140" spans="1:12" customFormat="1" ht="12.75" customHeight="1" x14ac:dyDescent="0.25">
      <c r="A140" s="327"/>
      <c r="B140" s="592"/>
      <c r="C140" s="520"/>
      <c r="D140" s="535"/>
      <c r="E140" s="542"/>
      <c r="F140" s="529"/>
      <c r="G140" s="538"/>
      <c r="H140" s="530"/>
      <c r="I140" s="618"/>
      <c r="J140" s="535"/>
      <c r="K140" s="475"/>
      <c r="L140" s="11"/>
    </row>
    <row r="141" spans="1:12" customFormat="1" ht="12.75" customHeight="1" x14ac:dyDescent="0.25">
      <c r="A141" s="11"/>
      <c r="B141" s="565" t="s">
        <v>45</v>
      </c>
      <c r="C141" s="523"/>
      <c r="D141" s="534" t="s">
        <v>191</v>
      </c>
      <c r="E141" s="541"/>
      <c r="F141" s="528"/>
      <c r="G141" s="537" t="s">
        <v>45</v>
      </c>
      <c r="H141" s="530"/>
      <c r="I141" s="618"/>
      <c r="J141" s="534" t="s">
        <v>190</v>
      </c>
      <c r="K141" s="536"/>
      <c r="L141" s="11"/>
    </row>
    <row r="142" spans="1:12" customFormat="1" ht="12.75" customHeight="1" x14ac:dyDescent="0.25">
      <c r="A142" s="11"/>
      <c r="B142" s="625"/>
      <c r="C142" s="520"/>
      <c r="D142" s="535"/>
      <c r="E142" s="542"/>
      <c r="F142" s="529"/>
      <c r="G142" s="538"/>
      <c r="H142" s="531"/>
      <c r="I142" s="633"/>
      <c r="J142" s="535"/>
      <c r="K142" s="475"/>
      <c r="L142" s="11"/>
    </row>
    <row r="143" spans="1:12" customFormat="1" ht="12.75" customHeight="1" x14ac:dyDescent="0.25">
      <c r="A143" s="11"/>
      <c r="B143" s="590">
        <v>116.88</v>
      </c>
      <c r="C143" s="523">
        <v>11</v>
      </c>
      <c r="D143" s="534" t="s">
        <v>63</v>
      </c>
      <c r="E143" s="541"/>
      <c r="F143" s="528"/>
      <c r="G143" s="537" t="s">
        <v>579</v>
      </c>
      <c r="H143" s="70" t="s">
        <v>293</v>
      </c>
      <c r="I143" s="536"/>
      <c r="J143" s="534" t="s">
        <v>491</v>
      </c>
      <c r="K143" s="523"/>
      <c r="L143" s="11"/>
    </row>
    <row r="144" spans="1:12" customFormat="1" ht="12.75" customHeight="1" x14ac:dyDescent="0.25">
      <c r="A144" s="11"/>
      <c r="B144" s="592"/>
      <c r="C144" s="520"/>
      <c r="D144" s="535"/>
      <c r="E144" s="542"/>
      <c r="F144" s="529"/>
      <c r="G144" s="538"/>
      <c r="H144" s="79" t="s">
        <v>138</v>
      </c>
      <c r="I144" s="475"/>
      <c r="J144" s="535"/>
      <c r="K144" s="520"/>
      <c r="L144" s="11"/>
    </row>
    <row r="145" spans="1:12" customFormat="1" x14ac:dyDescent="0.25">
      <c r="A145" s="11"/>
      <c r="B145" s="20" t="s">
        <v>27</v>
      </c>
      <c r="C145" s="575"/>
      <c r="D145" s="575"/>
      <c r="E145" s="576"/>
      <c r="F145" s="575"/>
      <c r="G145" s="575"/>
      <c r="H145" s="575"/>
      <c r="I145" s="575"/>
      <c r="J145" s="575"/>
      <c r="K145" s="575"/>
      <c r="L145" s="11"/>
    </row>
    <row r="146" spans="1:12" customFormat="1" ht="12.75" customHeight="1" x14ac:dyDescent="0.25">
      <c r="A146" s="11"/>
      <c r="B146" s="20"/>
      <c r="C146" s="21">
        <v>1</v>
      </c>
      <c r="D146" s="533" t="s">
        <v>440</v>
      </c>
      <c r="E146" s="533"/>
      <c r="F146" s="533"/>
      <c r="G146" s="533"/>
      <c r="H146" s="533"/>
      <c r="I146" s="533"/>
      <c r="J146" s="533"/>
      <c r="K146" s="533"/>
      <c r="L146" s="11"/>
    </row>
    <row r="147" spans="1:12" customFormat="1" x14ac:dyDescent="0.25">
      <c r="A147" s="11"/>
      <c r="B147" s="20"/>
      <c r="C147" s="21"/>
      <c r="D147" s="533"/>
      <c r="E147" s="533"/>
      <c r="F147" s="533"/>
      <c r="G147" s="533"/>
      <c r="H147" s="533"/>
      <c r="I147" s="533"/>
      <c r="J147" s="533"/>
      <c r="K147" s="533"/>
      <c r="L147" s="11"/>
    </row>
    <row r="148" spans="1:12" customFormat="1" ht="12.75" customHeight="1" x14ac:dyDescent="0.25">
      <c r="A148" s="11"/>
      <c r="B148" s="20"/>
      <c r="C148" s="11"/>
      <c r="D148" s="500" t="s">
        <v>122</v>
      </c>
      <c r="E148" s="500"/>
      <c r="F148" s="500"/>
      <c r="G148" s="500"/>
      <c r="H148" s="500"/>
      <c r="I148" s="500"/>
      <c r="J148" s="500"/>
      <c r="K148" s="500"/>
      <c r="L148" s="11"/>
    </row>
    <row r="149" spans="1:12" customFormat="1" x14ac:dyDescent="0.25">
      <c r="A149" s="11"/>
      <c r="B149" s="20"/>
      <c r="C149" s="21"/>
      <c r="D149" s="533" t="s">
        <v>441</v>
      </c>
      <c r="E149" s="533"/>
      <c r="F149" s="533"/>
      <c r="G149" s="533"/>
      <c r="H149" s="533"/>
      <c r="I149" s="533"/>
      <c r="J149" s="533"/>
      <c r="K149" s="533"/>
      <c r="L149" s="11"/>
    </row>
    <row r="150" spans="1:12" customFormat="1" x14ac:dyDescent="0.25">
      <c r="A150" s="11"/>
      <c r="B150" s="20"/>
      <c r="C150" s="21"/>
      <c r="D150" s="533"/>
      <c r="E150" s="533"/>
      <c r="F150" s="533"/>
      <c r="G150" s="533"/>
      <c r="H150" s="533"/>
      <c r="I150" s="533"/>
      <c r="J150" s="533"/>
      <c r="K150" s="533"/>
      <c r="L150" s="11"/>
    </row>
    <row r="151" spans="1:12" customFormat="1" x14ac:dyDescent="0.25">
      <c r="A151" s="11"/>
      <c r="B151" s="20"/>
      <c r="C151" s="21"/>
      <c r="D151" s="69"/>
      <c r="E151" s="540"/>
      <c r="F151" s="540"/>
      <c r="G151" s="540"/>
      <c r="H151" s="540"/>
      <c r="I151" s="540"/>
      <c r="J151" s="540"/>
      <c r="K151" s="540"/>
      <c r="L151" s="11"/>
    </row>
    <row r="152" spans="1:12" customFormat="1" x14ac:dyDescent="0.25">
      <c r="A152" s="11"/>
      <c r="B152" s="20"/>
      <c r="C152" s="21"/>
      <c r="D152" s="69"/>
      <c r="E152" s="533" t="s">
        <v>517</v>
      </c>
      <c r="F152" s="533"/>
      <c r="G152" s="533"/>
      <c r="H152" s="533"/>
      <c r="I152" s="533"/>
      <c r="J152" s="533"/>
      <c r="K152" s="533"/>
      <c r="L152" s="11"/>
    </row>
    <row r="153" spans="1:12" customFormat="1" x14ac:dyDescent="0.25">
      <c r="A153" s="11"/>
      <c r="B153" s="20"/>
      <c r="C153" s="21"/>
      <c r="D153" s="69"/>
      <c r="E153" s="540"/>
      <c r="F153" s="540"/>
      <c r="G153" s="540"/>
      <c r="H153" s="540"/>
      <c r="I153" s="540"/>
      <c r="J153" s="540"/>
      <c r="K153" s="540"/>
      <c r="L153" s="11"/>
    </row>
    <row r="154" spans="1:12" customFormat="1" ht="12.75" customHeight="1" x14ac:dyDescent="0.25">
      <c r="A154" s="11"/>
      <c r="B154" s="20"/>
      <c r="C154" s="21"/>
      <c r="D154" s="533" t="s">
        <v>442</v>
      </c>
      <c r="E154" s="533"/>
      <c r="F154" s="533"/>
      <c r="G154" s="533"/>
      <c r="H154" s="533"/>
      <c r="I154" s="533"/>
      <c r="J154" s="533"/>
      <c r="K154" s="533"/>
      <c r="L154" s="11"/>
    </row>
    <row r="155" spans="1:12" customFormat="1" x14ac:dyDescent="0.25">
      <c r="A155" s="11"/>
      <c r="B155" s="20"/>
      <c r="C155" s="21"/>
      <c r="D155" s="533"/>
      <c r="E155" s="533"/>
      <c r="F155" s="533"/>
      <c r="G155" s="533"/>
      <c r="H155" s="533"/>
      <c r="I155" s="533"/>
      <c r="J155" s="533"/>
      <c r="K155" s="533"/>
      <c r="L155" s="11"/>
    </row>
    <row r="156" spans="1:12" customFormat="1" ht="12.75" customHeight="1" x14ac:dyDescent="0.25">
      <c r="A156" s="11"/>
      <c r="B156" s="20"/>
      <c r="C156" s="21"/>
      <c r="D156" s="579" t="s">
        <v>156</v>
      </c>
      <c r="E156" s="579"/>
      <c r="F156" s="579"/>
      <c r="G156" s="579"/>
      <c r="H156" s="579"/>
      <c r="I156" s="579"/>
      <c r="J156" s="579"/>
      <c r="K156" s="579"/>
      <c r="L156" s="11"/>
    </row>
    <row r="157" spans="1:12" customFormat="1" x14ac:dyDescent="0.25">
      <c r="A157" s="11"/>
      <c r="B157" s="11"/>
      <c r="C157" s="25">
        <v>2</v>
      </c>
      <c r="D157" s="504" t="s">
        <v>154</v>
      </c>
      <c r="E157" s="504"/>
      <c r="F157" s="504"/>
      <c r="G157" s="504"/>
      <c r="H157" s="504"/>
      <c r="I157" s="504"/>
      <c r="J157" s="504"/>
      <c r="K157" s="504"/>
      <c r="L157" s="11"/>
    </row>
    <row r="158" spans="1:12" customFormat="1" x14ac:dyDescent="0.25">
      <c r="A158" s="11"/>
      <c r="B158" s="11"/>
      <c r="C158" s="11"/>
      <c r="D158" s="500" t="s">
        <v>155</v>
      </c>
      <c r="E158" s="500"/>
      <c r="F158" s="500"/>
      <c r="G158" s="504"/>
      <c r="H158" s="504"/>
      <c r="I158" s="504"/>
      <c r="J158" s="504"/>
      <c r="K158" s="504"/>
      <c r="L158" s="11"/>
    </row>
    <row r="159" spans="1:12" customFormat="1" x14ac:dyDescent="0.25">
      <c r="A159" s="11"/>
      <c r="B159" s="11"/>
      <c r="C159" s="24">
        <f>+C115</f>
        <v>3</v>
      </c>
      <c r="D159" s="577" t="s">
        <v>509</v>
      </c>
      <c r="E159" s="577"/>
      <c r="F159" s="577"/>
      <c r="G159" s="577"/>
      <c r="H159" s="577"/>
      <c r="I159" s="577"/>
      <c r="J159" s="577"/>
      <c r="K159" s="577"/>
      <c r="L159" s="11"/>
    </row>
    <row r="160" spans="1:12" customFormat="1" x14ac:dyDescent="0.25">
      <c r="A160" s="11"/>
      <c r="B160" s="11"/>
      <c r="C160" s="24"/>
      <c r="D160" s="75"/>
      <c r="E160" s="501"/>
      <c r="F160" s="501"/>
      <c r="G160" s="501"/>
      <c r="H160" s="501"/>
      <c r="I160" s="501"/>
      <c r="J160" s="501"/>
      <c r="K160" s="501"/>
      <c r="L160" s="11"/>
    </row>
    <row r="161" spans="1:12" customFormat="1" x14ac:dyDescent="0.25">
      <c r="A161" s="11"/>
      <c r="B161" s="11"/>
      <c r="C161" s="24"/>
      <c r="D161" s="75"/>
      <c r="E161" s="501"/>
      <c r="F161" s="501"/>
      <c r="G161" s="501"/>
      <c r="H161" s="501"/>
      <c r="I161" s="501"/>
      <c r="J161" s="501"/>
      <c r="K161" s="501"/>
      <c r="L161" s="11"/>
    </row>
    <row r="162" spans="1:12" customFormat="1" x14ac:dyDescent="0.25">
      <c r="A162" s="11"/>
      <c r="B162" s="11"/>
      <c r="C162" s="24"/>
      <c r="D162" s="75"/>
      <c r="E162" s="501"/>
      <c r="F162" s="501"/>
      <c r="G162" s="501"/>
      <c r="H162" s="501"/>
      <c r="I162" s="501"/>
      <c r="J162" s="501"/>
      <c r="K162" s="501"/>
      <c r="L162" s="11"/>
    </row>
    <row r="163" spans="1:12" customFormat="1" x14ac:dyDescent="0.25">
      <c r="A163" s="11"/>
      <c r="B163" s="11"/>
      <c r="C163" s="24"/>
      <c r="D163" s="75"/>
      <c r="E163" s="501"/>
      <c r="F163" s="501"/>
      <c r="G163" s="501"/>
      <c r="H163" s="501"/>
      <c r="I163" s="501"/>
      <c r="J163" s="501"/>
      <c r="K163" s="501"/>
      <c r="L163" s="11"/>
    </row>
    <row r="164" spans="1:12" customFormat="1" x14ac:dyDescent="0.25">
      <c r="A164" s="11"/>
      <c r="B164" s="11"/>
      <c r="C164" s="24"/>
      <c r="D164" s="75"/>
      <c r="E164" s="501"/>
      <c r="F164" s="501"/>
      <c r="G164" s="501"/>
      <c r="H164" s="501"/>
      <c r="I164" s="501"/>
      <c r="J164" s="501"/>
      <c r="K164" s="501"/>
      <c r="L164" s="11"/>
    </row>
    <row r="165" spans="1:12" customFormat="1" x14ac:dyDescent="0.25">
      <c r="A165" s="11"/>
      <c r="B165" s="11"/>
      <c r="C165" s="24"/>
      <c r="D165" s="75"/>
      <c r="E165" s="501"/>
      <c r="F165" s="501"/>
      <c r="G165" s="501"/>
      <c r="H165" s="501"/>
      <c r="I165" s="501"/>
      <c r="J165" s="501"/>
      <c r="K165" s="501"/>
      <c r="L165" s="11"/>
    </row>
    <row r="166" spans="1:12" customFormat="1" x14ac:dyDescent="0.25">
      <c r="A166" s="11"/>
      <c r="B166" s="11"/>
      <c r="C166" s="24"/>
      <c r="D166" s="610" t="s">
        <v>445</v>
      </c>
      <c r="E166" s="610"/>
      <c r="F166" s="610"/>
      <c r="G166" s="610"/>
      <c r="H166" s="610"/>
      <c r="I166" s="610"/>
      <c r="J166" s="610"/>
      <c r="K166" s="610"/>
      <c r="L166" s="11"/>
    </row>
    <row r="167" spans="1:12" customFormat="1" ht="12.75" customHeight="1" x14ac:dyDescent="0.25">
      <c r="A167" s="11"/>
      <c r="B167" s="11"/>
      <c r="C167" s="24">
        <f>+C121</f>
        <v>4</v>
      </c>
      <c r="D167" s="533" t="s">
        <v>510</v>
      </c>
      <c r="E167" s="533"/>
      <c r="F167" s="533"/>
      <c r="G167" s="533"/>
      <c r="H167" s="533"/>
      <c r="I167" s="533"/>
      <c r="J167" s="533"/>
      <c r="K167" s="533"/>
      <c r="L167" s="11"/>
    </row>
    <row r="168" spans="1:12" customFormat="1" x14ac:dyDescent="0.25">
      <c r="A168" s="11"/>
      <c r="B168" s="11"/>
      <c r="C168" s="24"/>
      <c r="D168" s="533"/>
      <c r="E168" s="533"/>
      <c r="F168" s="533"/>
      <c r="G168" s="533"/>
      <c r="H168" s="533"/>
      <c r="I168" s="533"/>
      <c r="J168" s="533"/>
      <c r="K168" s="533"/>
      <c r="L168" s="11"/>
    </row>
    <row r="169" spans="1:12" customFormat="1" x14ac:dyDescent="0.25">
      <c r="A169" s="11"/>
      <c r="B169" s="11"/>
      <c r="C169" s="24"/>
      <c r="D169" s="69"/>
      <c r="E169" s="540"/>
      <c r="F169" s="540"/>
      <c r="G169" s="540"/>
      <c r="H169" s="540"/>
      <c r="I169" s="540"/>
      <c r="J169" s="540"/>
      <c r="K169" s="540"/>
      <c r="L169" s="11"/>
    </row>
    <row r="170" spans="1:12" customFormat="1" x14ac:dyDescent="0.25">
      <c r="A170" s="11"/>
      <c r="B170" s="11"/>
      <c r="C170" s="24"/>
      <c r="D170" s="69"/>
      <c r="E170" s="540"/>
      <c r="F170" s="540"/>
      <c r="G170" s="540"/>
      <c r="H170" s="540"/>
      <c r="I170" s="540"/>
      <c r="J170" s="540"/>
      <c r="K170" s="540"/>
      <c r="L170" s="11"/>
    </row>
    <row r="171" spans="1:12" customFormat="1" x14ac:dyDescent="0.25">
      <c r="A171" s="11"/>
      <c r="B171" s="11"/>
      <c r="C171" s="24"/>
      <c r="D171" s="69"/>
      <c r="E171" s="540"/>
      <c r="F171" s="540"/>
      <c r="G171" s="540"/>
      <c r="H171" s="540"/>
      <c r="I171" s="540"/>
      <c r="J171" s="540"/>
      <c r="K171" s="540"/>
      <c r="L171" s="11"/>
    </row>
    <row r="172" spans="1:12" customFormat="1" x14ac:dyDescent="0.25">
      <c r="A172" s="45"/>
      <c r="B172" s="11"/>
      <c r="C172" s="24">
        <f>+C123</f>
        <v>5</v>
      </c>
      <c r="D172" s="577" t="s">
        <v>308</v>
      </c>
      <c r="E172" s="577"/>
      <c r="F172" s="577"/>
      <c r="G172" s="577"/>
      <c r="H172" s="577"/>
      <c r="I172" s="577"/>
      <c r="J172" s="577"/>
      <c r="K172" s="577"/>
      <c r="L172" s="11"/>
    </row>
    <row r="173" spans="1:12" customFormat="1" x14ac:dyDescent="0.25">
      <c r="A173" s="45"/>
      <c r="B173" s="11"/>
      <c r="C173" s="24"/>
      <c r="D173" s="75"/>
      <c r="E173" s="501"/>
      <c r="F173" s="501"/>
      <c r="G173" s="501"/>
      <c r="H173" s="501"/>
      <c r="I173" s="501"/>
      <c r="J173" s="501"/>
      <c r="K173" s="501"/>
      <c r="L173" s="11"/>
    </row>
    <row r="174" spans="1:12" customFormat="1" x14ac:dyDescent="0.25">
      <c r="A174" s="45"/>
      <c r="B174" s="11"/>
      <c r="C174" s="24"/>
      <c r="D174" s="75"/>
      <c r="E174" s="501"/>
      <c r="F174" s="501"/>
      <c r="G174" s="501"/>
      <c r="H174" s="501"/>
      <c r="I174" s="501"/>
      <c r="J174" s="501"/>
      <c r="K174" s="501"/>
      <c r="L174" s="11"/>
    </row>
    <row r="175" spans="1:12" customFormat="1" x14ac:dyDescent="0.25">
      <c r="A175" s="45"/>
      <c r="B175" s="11"/>
      <c r="C175" s="24"/>
      <c r="D175" s="75"/>
      <c r="E175" s="501"/>
      <c r="F175" s="501"/>
      <c r="G175" s="501"/>
      <c r="H175" s="501"/>
      <c r="I175" s="501"/>
      <c r="J175" s="501"/>
      <c r="K175" s="501"/>
      <c r="L175" s="11"/>
    </row>
    <row r="176" spans="1:12" customFormat="1" x14ac:dyDescent="0.25">
      <c r="A176" s="45"/>
      <c r="B176" s="11"/>
      <c r="C176" s="24"/>
      <c r="D176" s="504" t="s">
        <v>589</v>
      </c>
      <c r="E176" s="504"/>
      <c r="F176" s="504"/>
      <c r="G176" s="504"/>
      <c r="H176" s="504"/>
      <c r="I176" s="504"/>
      <c r="J176" s="504"/>
      <c r="K176" s="504"/>
      <c r="L176" s="11"/>
    </row>
    <row r="177" spans="1:12" customFormat="1" ht="12.75" customHeight="1" x14ac:dyDescent="0.25">
      <c r="A177" s="11"/>
      <c r="B177" s="11"/>
      <c r="C177" s="25">
        <f>+C125</f>
        <v>6</v>
      </c>
      <c r="D177" s="533" t="s">
        <v>456</v>
      </c>
      <c r="E177" s="533"/>
      <c r="F177" s="533"/>
      <c r="G177" s="533"/>
      <c r="H177" s="533"/>
      <c r="I177" s="533"/>
      <c r="J177" s="533"/>
      <c r="K177" s="533"/>
      <c r="L177" s="11"/>
    </row>
    <row r="178" spans="1:12" customFormat="1" ht="12.75" customHeight="1" x14ac:dyDescent="0.25">
      <c r="A178" s="11"/>
      <c r="B178" s="11"/>
      <c r="C178" s="326"/>
      <c r="D178" s="533"/>
      <c r="E178" s="533"/>
      <c r="F178" s="533"/>
      <c r="G178" s="533"/>
      <c r="H178" s="533"/>
      <c r="I178" s="533"/>
      <c r="J178" s="533"/>
      <c r="K178" s="533"/>
      <c r="L178" s="11"/>
    </row>
    <row r="179" spans="1:12" customFormat="1" x14ac:dyDescent="0.25">
      <c r="A179" s="11"/>
      <c r="B179" s="11"/>
      <c r="C179" s="11"/>
      <c r="D179" s="533"/>
      <c r="E179" s="533"/>
      <c r="F179" s="533"/>
      <c r="G179" s="533"/>
      <c r="H179" s="533"/>
      <c r="I179" s="533"/>
      <c r="J179" s="533"/>
      <c r="K179" s="533"/>
      <c r="L179" s="11"/>
    </row>
    <row r="180" spans="1:12" customFormat="1" x14ac:dyDescent="0.25">
      <c r="A180" s="11"/>
      <c r="B180" s="11"/>
      <c r="C180" s="11"/>
      <c r="D180" s="500" t="s">
        <v>60</v>
      </c>
      <c r="E180" s="500"/>
      <c r="F180" s="500"/>
      <c r="G180" s="504"/>
      <c r="H180" s="504"/>
      <c r="I180" s="504"/>
      <c r="J180" s="504"/>
      <c r="K180" s="504"/>
      <c r="L180" s="11"/>
    </row>
    <row r="181" spans="1:12" customFormat="1" ht="12.75" customHeight="1" x14ac:dyDescent="0.25">
      <c r="A181" s="11"/>
      <c r="B181" s="11"/>
      <c r="C181" s="25">
        <f>+C127</f>
        <v>7</v>
      </c>
      <c r="D181" s="533" t="s">
        <v>453</v>
      </c>
      <c r="E181" s="533"/>
      <c r="F181" s="533"/>
      <c r="G181" s="533"/>
      <c r="H181" s="533"/>
      <c r="I181" s="533"/>
      <c r="J181" s="533"/>
      <c r="K181" s="533"/>
      <c r="L181" s="11"/>
    </row>
    <row r="182" spans="1:12" customFormat="1" x14ac:dyDescent="0.25">
      <c r="A182" s="11"/>
      <c r="B182" s="11"/>
      <c r="C182" s="11"/>
      <c r="D182" s="65"/>
      <c r="E182" s="596"/>
      <c r="F182" s="596"/>
      <c r="G182" s="596"/>
      <c r="H182" s="596"/>
      <c r="I182" s="596"/>
      <c r="J182" s="596"/>
      <c r="K182" s="596"/>
      <c r="L182" s="11"/>
    </row>
    <row r="183" spans="1:12" customFormat="1" x14ac:dyDescent="0.25">
      <c r="A183" s="11"/>
      <c r="B183" s="11"/>
      <c r="C183" s="11"/>
      <c r="D183" s="65"/>
      <c r="E183" s="596"/>
      <c r="F183" s="596"/>
      <c r="G183" s="596"/>
      <c r="H183" s="596"/>
      <c r="I183" s="596"/>
      <c r="J183" s="596"/>
      <c r="K183" s="596"/>
      <c r="L183" s="11"/>
    </row>
    <row r="184" spans="1:12" customFormat="1" ht="12.75" customHeight="1" x14ac:dyDescent="0.25">
      <c r="A184" s="11"/>
      <c r="B184" s="11"/>
      <c r="C184" s="25">
        <f>+C129</f>
        <v>8</v>
      </c>
      <c r="D184" s="610" t="s">
        <v>454</v>
      </c>
      <c r="E184" s="610"/>
      <c r="F184" s="610"/>
      <c r="G184" s="610"/>
      <c r="H184" s="610"/>
      <c r="I184" s="610"/>
      <c r="J184" s="610"/>
      <c r="K184" s="610"/>
      <c r="L184" s="11"/>
    </row>
    <row r="185" spans="1:12" customFormat="1" x14ac:dyDescent="0.25">
      <c r="A185" s="11"/>
      <c r="B185" s="11"/>
      <c r="C185" s="11"/>
      <c r="D185" s="65"/>
      <c r="E185" s="596"/>
      <c r="F185" s="596"/>
      <c r="G185" s="596"/>
      <c r="H185" s="596"/>
      <c r="I185" s="596"/>
      <c r="J185" s="596"/>
      <c r="K185" s="596"/>
      <c r="L185" s="11"/>
    </row>
    <row r="186" spans="1:12" customFormat="1" x14ac:dyDescent="0.25">
      <c r="A186" s="11"/>
      <c r="B186" s="11"/>
      <c r="C186" s="11"/>
      <c r="D186" s="64"/>
      <c r="E186" s="596"/>
      <c r="F186" s="596"/>
      <c r="G186" s="596"/>
      <c r="H186" s="596"/>
      <c r="I186" s="596"/>
      <c r="J186" s="596"/>
      <c r="K186" s="596"/>
      <c r="L186" s="11"/>
    </row>
    <row r="187" spans="1:12" customFormat="1" x14ac:dyDescent="0.25">
      <c r="A187" s="11"/>
      <c r="B187" s="11"/>
      <c r="C187" s="11"/>
      <c r="D187" s="65"/>
      <c r="E187" s="596"/>
      <c r="F187" s="596"/>
      <c r="G187" s="596"/>
      <c r="H187" s="596"/>
      <c r="I187" s="596"/>
      <c r="J187" s="596"/>
      <c r="K187" s="596"/>
      <c r="L187" s="11"/>
    </row>
    <row r="188" spans="1:12" customFormat="1" ht="12.75" customHeight="1" x14ac:dyDescent="0.25">
      <c r="A188" s="11"/>
      <c r="B188" s="11"/>
      <c r="C188" s="24">
        <f>+C133</f>
        <v>9</v>
      </c>
      <c r="D188" s="533" t="s">
        <v>511</v>
      </c>
      <c r="E188" s="533"/>
      <c r="F188" s="533"/>
      <c r="G188" s="533"/>
      <c r="H188" s="533"/>
      <c r="I188" s="533"/>
      <c r="J188" s="533"/>
      <c r="K188" s="533"/>
      <c r="L188" s="11"/>
    </row>
    <row r="189" spans="1:12" customFormat="1" x14ac:dyDescent="0.25">
      <c r="A189" s="11"/>
      <c r="B189" s="11"/>
      <c r="C189" s="24"/>
      <c r="D189" s="533"/>
      <c r="E189" s="533"/>
      <c r="F189" s="533"/>
      <c r="G189" s="533"/>
      <c r="H189" s="533"/>
      <c r="I189" s="533"/>
      <c r="J189" s="533"/>
      <c r="K189" s="533"/>
      <c r="L189" s="11"/>
    </row>
    <row r="190" spans="1:12" customFormat="1" x14ac:dyDescent="0.25">
      <c r="A190" s="11"/>
      <c r="B190" s="11"/>
      <c r="C190" s="24"/>
      <c r="D190" s="69"/>
      <c r="E190" s="540"/>
      <c r="F190" s="540"/>
      <c r="G190" s="540"/>
      <c r="H190" s="540"/>
      <c r="I190" s="540"/>
      <c r="J190" s="540"/>
      <c r="K190" s="540"/>
      <c r="L190" s="11"/>
    </row>
    <row r="191" spans="1:12" customFormat="1" x14ac:dyDescent="0.25">
      <c r="A191" s="11"/>
      <c r="B191" s="11"/>
      <c r="C191" s="24"/>
      <c r="D191" s="69"/>
      <c r="E191" s="540"/>
      <c r="F191" s="540"/>
      <c r="G191" s="540"/>
      <c r="H191" s="540"/>
      <c r="I191" s="540"/>
      <c r="J191" s="540"/>
      <c r="K191" s="540"/>
      <c r="L191" s="11"/>
    </row>
    <row r="192" spans="1:12" customFormat="1" x14ac:dyDescent="0.25">
      <c r="A192" s="11"/>
      <c r="B192" s="11"/>
      <c r="C192" s="24"/>
      <c r="D192" s="69"/>
      <c r="E192" s="540"/>
      <c r="F192" s="540"/>
      <c r="G192" s="540"/>
      <c r="H192" s="540"/>
      <c r="I192" s="540"/>
      <c r="J192" s="540"/>
      <c r="K192" s="540"/>
      <c r="L192" s="11"/>
    </row>
    <row r="193" spans="1:12" customFormat="1" ht="12.75" customHeight="1" x14ac:dyDescent="0.25">
      <c r="A193" s="11"/>
      <c r="B193" s="11"/>
      <c r="C193" s="24">
        <f>+C139</f>
        <v>10</v>
      </c>
      <c r="D193" s="533" t="s">
        <v>460</v>
      </c>
      <c r="E193" s="533"/>
      <c r="F193" s="533"/>
      <c r="G193" s="533"/>
      <c r="H193" s="533"/>
      <c r="I193" s="533"/>
      <c r="J193" s="533"/>
      <c r="K193" s="533"/>
      <c r="L193" s="11"/>
    </row>
    <row r="194" spans="1:12" customFormat="1" x14ac:dyDescent="0.25">
      <c r="A194" s="11"/>
      <c r="B194" s="11"/>
      <c r="C194" s="24"/>
      <c r="D194" s="533"/>
      <c r="E194" s="533"/>
      <c r="F194" s="533"/>
      <c r="G194" s="533"/>
      <c r="H194" s="533"/>
      <c r="I194" s="533"/>
      <c r="J194" s="533"/>
      <c r="K194" s="533"/>
      <c r="L194" s="11"/>
    </row>
    <row r="195" spans="1:12" customFormat="1" x14ac:dyDescent="0.25">
      <c r="A195" s="11"/>
      <c r="B195" s="11"/>
      <c r="C195" s="24"/>
      <c r="D195" s="69"/>
      <c r="E195" s="540"/>
      <c r="F195" s="540"/>
      <c r="G195" s="540"/>
      <c r="H195" s="540"/>
      <c r="I195" s="540"/>
      <c r="J195" s="540"/>
      <c r="K195" s="540"/>
      <c r="L195" s="11"/>
    </row>
    <row r="196" spans="1:12" customFormat="1" x14ac:dyDescent="0.25">
      <c r="A196" s="11"/>
      <c r="B196" s="11"/>
      <c r="C196" s="24"/>
      <c r="D196" s="69"/>
      <c r="E196" s="540"/>
      <c r="F196" s="540"/>
      <c r="G196" s="540"/>
      <c r="H196" s="540"/>
      <c r="I196" s="540"/>
      <c r="J196" s="540"/>
      <c r="K196" s="540"/>
      <c r="L196" s="11"/>
    </row>
    <row r="197" spans="1:12" customFormat="1" x14ac:dyDescent="0.25">
      <c r="A197" s="11"/>
      <c r="B197" s="11"/>
      <c r="C197" s="24"/>
      <c r="D197" s="69"/>
      <c r="E197" s="540"/>
      <c r="F197" s="540"/>
      <c r="G197" s="540"/>
      <c r="H197" s="540"/>
      <c r="I197" s="540"/>
      <c r="J197" s="540"/>
      <c r="K197" s="540"/>
      <c r="L197" s="11"/>
    </row>
    <row r="198" spans="1:12" customFormat="1" ht="12.75" customHeight="1" x14ac:dyDescent="0.25">
      <c r="A198" s="11"/>
      <c r="B198" s="11"/>
      <c r="C198" s="25">
        <f>+C143</f>
        <v>11</v>
      </c>
      <c r="D198" s="504" t="s">
        <v>194</v>
      </c>
      <c r="E198" s="504"/>
      <c r="F198" s="504"/>
      <c r="G198" s="504"/>
      <c r="H198" s="504"/>
      <c r="I198" s="504"/>
      <c r="J198" s="504"/>
      <c r="K198" s="504"/>
      <c r="L198" s="11"/>
    </row>
    <row r="199" spans="1:12" customFormat="1" x14ac:dyDescent="0.25">
      <c r="A199" s="11"/>
      <c r="B199" s="11"/>
      <c r="C199" s="11"/>
      <c r="D199" s="504"/>
      <c r="E199" s="504"/>
      <c r="F199" s="504"/>
      <c r="G199" s="504"/>
      <c r="H199" s="504"/>
      <c r="I199" s="504"/>
      <c r="J199" s="504"/>
      <c r="K199" s="504"/>
      <c r="L199" s="11"/>
    </row>
    <row r="200" spans="1:12" customFormat="1" x14ac:dyDescent="0.25">
      <c r="A200" s="11"/>
      <c r="B200" s="11"/>
      <c r="C200" s="11"/>
      <c r="D200" s="66"/>
      <c r="E200" s="503"/>
      <c r="F200" s="503"/>
      <c r="G200" s="503"/>
      <c r="H200" s="503"/>
      <c r="I200" s="503"/>
      <c r="J200" s="503"/>
      <c r="K200" s="503"/>
      <c r="L200" s="11"/>
    </row>
    <row r="201" spans="1:12" customFormat="1" x14ac:dyDescent="0.25">
      <c r="A201" s="11"/>
      <c r="B201" s="11"/>
      <c r="C201" s="11"/>
      <c r="D201" s="66"/>
      <c r="E201" s="503"/>
      <c r="F201" s="503"/>
      <c r="G201" s="503"/>
      <c r="H201" s="503"/>
      <c r="I201" s="503"/>
      <c r="J201" s="503"/>
      <c r="K201" s="503"/>
      <c r="L201" s="11"/>
    </row>
    <row r="202" spans="1:12" customFormat="1" x14ac:dyDescent="0.25">
      <c r="A202" s="11"/>
      <c r="B202" s="11"/>
      <c r="C202" s="11"/>
      <c r="D202" s="66"/>
      <c r="E202" s="503"/>
      <c r="F202" s="503"/>
      <c r="G202" s="503"/>
      <c r="H202" s="503"/>
      <c r="I202" s="503"/>
      <c r="J202" s="503"/>
      <c r="K202" s="503"/>
      <c r="L202" s="11"/>
    </row>
    <row r="203" spans="1:12" customFormat="1" ht="12.75" customHeight="1" x14ac:dyDescent="0.3">
      <c r="A203" s="11"/>
      <c r="B203" s="11"/>
      <c r="C203" s="11"/>
      <c r="D203" s="11" t="s">
        <v>464</v>
      </c>
      <c r="E203" s="11"/>
      <c r="F203" s="11"/>
      <c r="G203" s="11"/>
      <c r="H203" s="11"/>
      <c r="I203" s="11"/>
      <c r="J203" s="11"/>
      <c r="K203" s="11"/>
      <c r="L203" s="11"/>
    </row>
    <row r="204" spans="1:12" customFormat="1" ht="12.75" customHeight="1" x14ac:dyDescent="0.25">
      <c r="A204" s="11"/>
      <c r="B204" s="501"/>
      <c r="C204" s="501"/>
      <c r="D204" s="501"/>
      <c r="E204" s="501"/>
      <c r="F204" s="501"/>
      <c r="G204" s="501"/>
      <c r="H204" s="501"/>
      <c r="I204" s="501"/>
      <c r="J204" s="501"/>
      <c r="K204" s="501"/>
      <c r="L204" s="11"/>
    </row>
    <row r="205" spans="1:12" customFormat="1" ht="12.75" customHeight="1" x14ac:dyDescent="0.25">
      <c r="A205" s="11"/>
      <c r="B205" s="501"/>
      <c r="C205" s="501"/>
      <c r="D205" s="501"/>
      <c r="E205" s="501"/>
      <c r="F205" s="501"/>
      <c r="G205" s="501"/>
      <c r="H205" s="501"/>
      <c r="I205" s="501"/>
      <c r="J205" s="501"/>
      <c r="K205" s="501"/>
      <c r="L205" s="11"/>
    </row>
    <row r="206" spans="1:12" customFormat="1" x14ac:dyDescent="0.25">
      <c r="A206" s="11"/>
      <c r="B206" s="501"/>
      <c r="C206" s="501"/>
      <c r="D206" s="501"/>
      <c r="E206" s="501"/>
      <c r="F206" s="501"/>
      <c r="G206" s="501"/>
      <c r="H206" s="501"/>
      <c r="I206" s="501"/>
      <c r="J206" s="501"/>
      <c r="K206" s="501"/>
      <c r="L206" s="11"/>
    </row>
    <row r="207" spans="1:12" customFormat="1" x14ac:dyDescent="0.25">
      <c r="A207" s="11"/>
      <c r="B207" s="501"/>
      <c r="C207" s="501"/>
      <c r="D207" s="501"/>
      <c r="E207" s="501"/>
      <c r="F207" s="501"/>
      <c r="G207" s="501"/>
      <c r="H207" s="501"/>
      <c r="I207" s="501"/>
      <c r="J207" s="501"/>
      <c r="K207" s="501"/>
      <c r="L207" s="11"/>
    </row>
    <row r="208" spans="1:12" customFormat="1" ht="15.6" x14ac:dyDescent="0.25">
      <c r="A208" s="11"/>
      <c r="B208" s="554" t="s">
        <v>198</v>
      </c>
      <c r="C208" s="554"/>
      <c r="D208" s="554"/>
      <c r="E208" s="554"/>
      <c r="F208" s="554"/>
      <c r="G208" s="511" t="s">
        <v>468</v>
      </c>
      <c r="H208" s="511"/>
      <c r="I208" s="511"/>
      <c r="J208" s="511" t="s">
        <v>204</v>
      </c>
      <c r="K208" s="511"/>
      <c r="L208" s="11"/>
    </row>
    <row r="209" spans="1:12" customFormat="1" ht="12.75" customHeight="1" x14ac:dyDescent="0.25">
      <c r="A209" s="11"/>
      <c r="B209" s="559">
        <f>(224*35.6*(10^6)/1055.87)/0.903/770</f>
        <v>10861.982285966171</v>
      </c>
      <c r="C209" s="523">
        <v>2</v>
      </c>
      <c r="D209" s="534" t="s">
        <v>200</v>
      </c>
      <c r="E209" s="541"/>
      <c r="F209" s="580"/>
      <c r="G209" s="537" t="s">
        <v>45</v>
      </c>
      <c r="H209" s="582" t="s">
        <v>197</v>
      </c>
      <c r="I209" s="544"/>
      <c r="J209" s="584" t="s">
        <v>512</v>
      </c>
      <c r="K209" s="544"/>
      <c r="L209" s="11"/>
    </row>
    <row r="210" spans="1:12" customFormat="1" ht="12.75" customHeight="1" x14ac:dyDescent="0.25">
      <c r="A210" s="11"/>
      <c r="B210" s="560"/>
      <c r="C210" s="520"/>
      <c r="D210" s="535"/>
      <c r="E210" s="542"/>
      <c r="F210" s="609"/>
      <c r="G210" s="538"/>
      <c r="H210" s="583"/>
      <c r="I210" s="526"/>
      <c r="J210" s="603"/>
      <c r="K210" s="611"/>
      <c r="L210" s="11"/>
    </row>
    <row r="211" spans="1:12" customFormat="1" ht="12.75" customHeight="1" x14ac:dyDescent="0.25">
      <c r="A211" s="11"/>
      <c r="B211" s="559">
        <f>+B209*0.7457</f>
        <v>8099.780190644974</v>
      </c>
      <c r="C211" s="523">
        <v>3</v>
      </c>
      <c r="D211" s="534" t="s">
        <v>201</v>
      </c>
      <c r="E211" s="541"/>
      <c r="F211" s="528"/>
      <c r="G211" s="537" t="s">
        <v>45</v>
      </c>
      <c r="H211" s="583"/>
      <c r="I211" s="526"/>
      <c r="J211" s="615"/>
      <c r="K211" s="612"/>
      <c r="L211" s="11"/>
    </row>
    <row r="212" spans="1:12" customFormat="1" ht="12.75" customHeight="1" x14ac:dyDescent="0.25">
      <c r="A212" s="11"/>
      <c r="B212" s="560"/>
      <c r="C212" s="520"/>
      <c r="D212" s="535"/>
      <c r="E212" s="542"/>
      <c r="F212" s="543"/>
      <c r="G212" s="538"/>
      <c r="H212" s="77" t="s">
        <v>196</v>
      </c>
      <c r="I212" s="526"/>
      <c r="J212" s="603" t="s">
        <v>260</v>
      </c>
      <c r="K212" s="544"/>
      <c r="L212" s="11"/>
    </row>
    <row r="213" spans="1:12" customFormat="1" ht="12.75" customHeight="1" x14ac:dyDescent="0.25">
      <c r="A213" s="11"/>
      <c r="B213" s="622">
        <f>3412/B209*100%</f>
        <v>0.31412314163026672</v>
      </c>
      <c r="C213" s="523">
        <v>4</v>
      </c>
      <c r="D213" s="534" t="s">
        <v>202</v>
      </c>
      <c r="E213" s="541"/>
      <c r="F213" s="528"/>
      <c r="G213" s="537" t="s">
        <v>45</v>
      </c>
      <c r="H213" s="328" t="s">
        <v>222</v>
      </c>
      <c r="I213" s="526"/>
      <c r="J213" s="603"/>
      <c r="K213" s="526"/>
      <c r="L213" s="11"/>
    </row>
    <row r="214" spans="1:12" customFormat="1" ht="12.75" customHeight="1" thickBot="1" x14ac:dyDescent="0.3">
      <c r="A214" s="11"/>
      <c r="B214" s="623"/>
      <c r="C214" s="563"/>
      <c r="D214" s="549"/>
      <c r="E214" s="550"/>
      <c r="F214" s="564"/>
      <c r="G214" s="538"/>
      <c r="H214" s="603" t="s">
        <v>224</v>
      </c>
      <c r="I214" s="526"/>
      <c r="J214" s="604"/>
      <c r="K214" s="616"/>
      <c r="L214" s="11"/>
    </row>
    <row r="215" spans="1:12" customFormat="1" ht="12.75" customHeight="1" x14ac:dyDescent="0.25">
      <c r="A215" s="11"/>
      <c r="B215" s="613">
        <v>2</v>
      </c>
      <c r="C215" s="562"/>
      <c r="D215" s="547" t="s">
        <v>475</v>
      </c>
      <c r="E215" s="548"/>
      <c r="F215" s="543"/>
      <c r="G215" s="552" t="s">
        <v>580</v>
      </c>
      <c r="H215" s="603"/>
      <c r="I215" s="526"/>
      <c r="J215" s="605" t="s">
        <v>469</v>
      </c>
      <c r="K215" s="606"/>
      <c r="L215" s="11"/>
    </row>
    <row r="216" spans="1:12" customFormat="1" ht="12.75" customHeight="1" x14ac:dyDescent="0.25">
      <c r="A216" s="11"/>
      <c r="B216" s="614"/>
      <c r="C216" s="520"/>
      <c r="D216" s="535"/>
      <c r="E216" s="542"/>
      <c r="F216" s="529"/>
      <c r="G216" s="553"/>
      <c r="H216" s="603"/>
      <c r="I216" s="526"/>
      <c r="J216" s="442"/>
      <c r="K216" s="438"/>
      <c r="L216" s="11"/>
    </row>
    <row r="217" spans="1:12" customFormat="1" ht="12.75" customHeight="1" x14ac:dyDescent="0.25">
      <c r="A217" s="11"/>
      <c r="B217" s="632">
        <v>1</v>
      </c>
      <c r="C217" s="562">
        <f>1+C213</f>
        <v>5</v>
      </c>
      <c r="D217" s="534" t="s">
        <v>489</v>
      </c>
      <c r="E217" s="541"/>
      <c r="F217" s="528"/>
      <c r="G217" s="553"/>
      <c r="H217" s="329" t="s">
        <v>223</v>
      </c>
      <c r="I217" s="526"/>
      <c r="J217" s="442" t="s">
        <v>470</v>
      </c>
      <c r="K217" s="438"/>
      <c r="L217" s="11"/>
    </row>
    <row r="218" spans="1:12" customFormat="1" ht="12.75" customHeight="1" x14ac:dyDescent="0.25">
      <c r="A218" s="11"/>
      <c r="B218" s="614"/>
      <c r="C218" s="520"/>
      <c r="D218" s="535"/>
      <c r="E218" s="542"/>
      <c r="F218" s="529"/>
      <c r="G218" s="538"/>
      <c r="H218" s="330"/>
      <c r="I218" s="527"/>
      <c r="J218" s="442"/>
      <c r="K218" s="438"/>
      <c r="L218" s="11"/>
    </row>
    <row r="219" spans="1:12" customFormat="1" ht="12.75" customHeight="1" x14ac:dyDescent="0.25">
      <c r="A219" s="11"/>
      <c r="B219" s="588">
        <v>5.8799999999999998E-4</v>
      </c>
      <c r="C219" s="523">
        <v>6</v>
      </c>
      <c r="D219" s="534" t="s">
        <v>59</v>
      </c>
      <c r="E219" s="541"/>
      <c r="F219" s="528"/>
      <c r="G219" s="537" t="s">
        <v>45</v>
      </c>
      <c r="H219" s="582" t="s">
        <v>187</v>
      </c>
      <c r="I219" s="528"/>
      <c r="J219" s="534" t="s">
        <v>455</v>
      </c>
      <c r="K219" s="536"/>
      <c r="L219" s="11"/>
    </row>
    <row r="220" spans="1:12" customFormat="1" ht="12.75" customHeight="1" x14ac:dyDescent="0.25">
      <c r="A220" s="11"/>
      <c r="B220" s="589"/>
      <c r="C220" s="520"/>
      <c r="D220" s="535"/>
      <c r="E220" s="542"/>
      <c r="F220" s="529"/>
      <c r="G220" s="538"/>
      <c r="H220" s="583"/>
      <c r="I220" s="543"/>
      <c r="J220" s="535"/>
      <c r="K220" s="475"/>
      <c r="L220" s="11"/>
    </row>
    <row r="221" spans="1:12" customFormat="1" ht="12.75" customHeight="1" x14ac:dyDescent="0.25">
      <c r="A221" s="11"/>
      <c r="B221" s="588">
        <f>+(7.71/100+9.91)/1000</f>
        <v>9.9871000000000005E-3</v>
      </c>
      <c r="C221" s="523">
        <v>7</v>
      </c>
      <c r="D221" s="534" t="s">
        <v>473</v>
      </c>
      <c r="E221" s="541"/>
      <c r="F221" s="528"/>
      <c r="G221" s="537" t="s">
        <v>45</v>
      </c>
      <c r="H221" s="583"/>
      <c r="I221" s="543"/>
      <c r="J221" s="534" t="s">
        <v>192</v>
      </c>
      <c r="K221" s="528"/>
      <c r="L221" s="11"/>
    </row>
    <row r="222" spans="1:12" customFormat="1" ht="12.75" customHeight="1" x14ac:dyDescent="0.25">
      <c r="A222" s="11"/>
      <c r="B222" s="589"/>
      <c r="C222" s="520"/>
      <c r="D222" s="535"/>
      <c r="E222" s="542"/>
      <c r="F222" s="529"/>
      <c r="G222" s="553"/>
      <c r="H222" s="583"/>
      <c r="I222" s="543"/>
      <c r="J222" s="539"/>
      <c r="K222" s="543"/>
      <c r="L222" s="11"/>
    </row>
    <row r="223" spans="1:12" customFormat="1" ht="12.75" customHeight="1" x14ac:dyDescent="0.25">
      <c r="A223" s="11"/>
      <c r="B223" s="588">
        <f>+(7.71/100+9.91)/1000*B209*0.7457*453.59245/10^6</f>
        <v>3.6692596822440554E-2</v>
      </c>
      <c r="C223" s="523">
        <v>8</v>
      </c>
      <c r="D223" s="534" t="s">
        <v>474</v>
      </c>
      <c r="E223" s="541"/>
      <c r="F223" s="528"/>
      <c r="G223" s="553"/>
      <c r="H223" s="600" t="s">
        <v>158</v>
      </c>
      <c r="I223" s="543"/>
      <c r="J223" s="539"/>
      <c r="K223" s="543"/>
      <c r="L223" s="11"/>
    </row>
    <row r="224" spans="1:12" customFormat="1" ht="12.75" customHeight="1" x14ac:dyDescent="0.25">
      <c r="A224" s="11"/>
      <c r="B224" s="589"/>
      <c r="C224" s="520"/>
      <c r="D224" s="535"/>
      <c r="E224" s="542"/>
      <c r="F224" s="529"/>
      <c r="G224" s="538"/>
      <c r="H224" s="601"/>
      <c r="I224" s="529"/>
      <c r="J224" s="535"/>
      <c r="K224" s="529"/>
      <c r="L224" s="11"/>
    </row>
    <row r="225" spans="1:12" customFormat="1" ht="12.75" customHeight="1" x14ac:dyDescent="0.25">
      <c r="A225" s="11"/>
      <c r="B225" s="632">
        <v>1.7</v>
      </c>
      <c r="C225" s="523"/>
      <c r="D225" s="534" t="s">
        <v>477</v>
      </c>
      <c r="E225" s="541"/>
      <c r="F225" s="528"/>
      <c r="G225" s="537" t="s">
        <v>580</v>
      </c>
      <c r="H225" s="534" t="s">
        <v>197</v>
      </c>
      <c r="I225" s="617"/>
      <c r="J225" s="534" t="s">
        <v>490</v>
      </c>
      <c r="K225" s="528"/>
      <c r="L225" s="11"/>
    </row>
    <row r="226" spans="1:12" customFormat="1" ht="12.75" customHeight="1" x14ac:dyDescent="0.25">
      <c r="A226" s="11"/>
      <c r="B226" s="614"/>
      <c r="C226" s="520"/>
      <c r="D226" s="535"/>
      <c r="E226" s="542"/>
      <c r="F226" s="529"/>
      <c r="G226" s="538"/>
      <c r="H226" s="539"/>
      <c r="I226" s="618"/>
      <c r="J226" s="539"/>
      <c r="K226" s="543"/>
      <c r="L226" s="11"/>
    </row>
    <row r="227" spans="1:12" customFormat="1" ht="12.75" customHeight="1" x14ac:dyDescent="0.25">
      <c r="A227" s="11"/>
      <c r="B227" s="632">
        <v>4.5999999999999996</v>
      </c>
      <c r="C227" s="523"/>
      <c r="D227" s="534" t="s">
        <v>476</v>
      </c>
      <c r="E227" s="541"/>
      <c r="F227" s="528"/>
      <c r="G227" s="537" t="s">
        <v>45</v>
      </c>
      <c r="H227" s="539"/>
      <c r="I227" s="618"/>
      <c r="J227" s="539"/>
      <c r="K227" s="543"/>
      <c r="L227" s="11"/>
    </row>
    <row r="228" spans="1:12" customFormat="1" ht="12.75" customHeight="1" x14ac:dyDescent="0.25">
      <c r="A228" s="11"/>
      <c r="B228" s="614"/>
      <c r="C228" s="520"/>
      <c r="D228" s="535"/>
      <c r="E228" s="542"/>
      <c r="F228" s="529"/>
      <c r="G228" s="538"/>
      <c r="H228" s="68" t="s">
        <v>196</v>
      </c>
      <c r="I228" s="618"/>
      <c r="J228" s="535"/>
      <c r="K228" s="529"/>
      <c r="L228" s="11"/>
    </row>
    <row r="229" spans="1:12" customFormat="1" ht="12.75" customHeight="1" x14ac:dyDescent="0.25">
      <c r="A229" s="11"/>
      <c r="B229" s="590">
        <v>116.88</v>
      </c>
      <c r="C229" s="523">
        <v>9</v>
      </c>
      <c r="D229" s="534" t="s">
        <v>63</v>
      </c>
      <c r="E229" s="541"/>
      <c r="F229" s="528"/>
      <c r="G229" s="537" t="s">
        <v>579</v>
      </c>
      <c r="H229" s="70" t="s">
        <v>293</v>
      </c>
      <c r="I229" s="536"/>
      <c r="J229" s="534" t="s">
        <v>492</v>
      </c>
      <c r="K229" s="523"/>
      <c r="L229" s="11"/>
    </row>
    <row r="230" spans="1:12" customFormat="1" ht="12.75" customHeight="1" x14ac:dyDescent="0.25">
      <c r="A230" s="11"/>
      <c r="B230" s="592"/>
      <c r="C230" s="520"/>
      <c r="D230" s="535"/>
      <c r="E230" s="542"/>
      <c r="F230" s="529"/>
      <c r="G230" s="538"/>
      <c r="H230" s="331" t="s">
        <v>138</v>
      </c>
      <c r="I230" s="475"/>
      <c r="J230" s="535"/>
      <c r="K230" s="520"/>
      <c r="L230" s="11"/>
    </row>
    <row r="231" spans="1:12" customFormat="1" x14ac:dyDescent="0.25">
      <c r="A231" s="11"/>
      <c r="B231" s="20" t="s">
        <v>27</v>
      </c>
      <c r="C231" s="575"/>
      <c r="D231" s="575"/>
      <c r="E231" s="576"/>
      <c r="F231" s="575"/>
      <c r="G231" s="575"/>
      <c r="H231" s="575"/>
      <c r="I231" s="575"/>
      <c r="J231" s="575"/>
      <c r="K231" s="575"/>
      <c r="L231" s="11"/>
    </row>
    <row r="232" spans="1:12" customFormat="1" ht="12.75" customHeight="1" x14ac:dyDescent="0.25">
      <c r="A232" s="11"/>
      <c r="B232" s="20"/>
      <c r="C232" s="21">
        <v>1</v>
      </c>
      <c r="D232" s="533" t="s">
        <v>465</v>
      </c>
      <c r="E232" s="533"/>
      <c r="F232" s="533"/>
      <c r="G232" s="533"/>
      <c r="H232" s="533"/>
      <c r="I232" s="533"/>
      <c r="J232" s="533"/>
      <c r="K232" s="533"/>
      <c r="L232" s="11"/>
    </row>
    <row r="233" spans="1:12" customFormat="1" ht="12.75" customHeight="1" x14ac:dyDescent="0.25">
      <c r="A233" s="11"/>
      <c r="B233" s="20"/>
      <c r="C233" s="21"/>
      <c r="D233" s="533"/>
      <c r="E233" s="533"/>
      <c r="F233" s="533"/>
      <c r="G233" s="533"/>
      <c r="H233" s="533"/>
      <c r="I233" s="533"/>
      <c r="J233" s="533"/>
      <c r="K233" s="533"/>
      <c r="L233" s="11"/>
    </row>
    <row r="234" spans="1:12" customFormat="1" ht="12.75" customHeight="1" x14ac:dyDescent="0.25">
      <c r="A234" s="11"/>
      <c r="B234" s="20"/>
      <c r="C234" s="74"/>
      <c r="D234" s="533"/>
      <c r="E234" s="533"/>
      <c r="F234" s="533"/>
      <c r="G234" s="533"/>
      <c r="H234" s="533"/>
      <c r="I234" s="533"/>
      <c r="J234" s="533"/>
      <c r="K234" s="533"/>
      <c r="L234" s="11"/>
    </row>
    <row r="235" spans="1:12" customFormat="1" x14ac:dyDescent="0.25">
      <c r="A235" s="11"/>
      <c r="B235" s="20"/>
      <c r="C235" s="74"/>
      <c r="D235" s="332" t="s">
        <v>466</v>
      </c>
      <c r="E235" s="74"/>
      <c r="F235" s="74"/>
      <c r="G235" s="74"/>
      <c r="H235" s="608" t="s">
        <v>196</v>
      </c>
      <c r="I235" s="608"/>
      <c r="J235" s="608"/>
      <c r="K235" s="608"/>
      <c r="L235" s="11"/>
    </row>
    <row r="236" spans="1:12" customFormat="1" x14ac:dyDescent="0.25">
      <c r="A236" s="11"/>
      <c r="B236" s="20"/>
      <c r="C236" s="74"/>
      <c r="D236" s="332" t="s">
        <v>467</v>
      </c>
      <c r="E236" s="74"/>
      <c r="F236" s="74"/>
      <c r="G236" s="74"/>
      <c r="H236" s="608" t="s">
        <v>195</v>
      </c>
      <c r="I236" s="608"/>
      <c r="J236" s="608"/>
      <c r="K236" s="608"/>
      <c r="L236" s="11"/>
    </row>
    <row r="237" spans="1:12" customFormat="1" x14ac:dyDescent="0.25">
      <c r="A237" s="11"/>
      <c r="B237" s="20"/>
      <c r="C237" s="74"/>
      <c r="D237" s="333" t="s">
        <v>513</v>
      </c>
      <c r="E237" s="74"/>
      <c r="F237" s="74"/>
      <c r="G237" s="74"/>
      <c r="H237" s="334"/>
      <c r="I237" s="334"/>
      <c r="J237" s="334"/>
      <c r="K237" s="334"/>
      <c r="L237" s="11"/>
    </row>
    <row r="238" spans="1:12" customFormat="1" x14ac:dyDescent="0.25">
      <c r="A238" s="11"/>
      <c r="B238" s="11"/>
      <c r="C238" s="21">
        <f>+C209</f>
        <v>2</v>
      </c>
      <c r="D238" s="599" t="s">
        <v>501</v>
      </c>
      <c r="E238" s="599"/>
      <c r="F238" s="599"/>
      <c r="G238" s="599"/>
      <c r="H238" s="599"/>
      <c r="I238" s="599"/>
      <c r="J238" s="599"/>
      <c r="K238" s="599"/>
      <c r="L238" s="11"/>
    </row>
    <row r="239" spans="1:12" customFormat="1" x14ac:dyDescent="0.25">
      <c r="A239" s="11"/>
      <c r="B239" s="11"/>
      <c r="C239" s="21"/>
      <c r="D239" s="599"/>
      <c r="E239" s="599"/>
      <c r="F239" s="599"/>
      <c r="G239" s="599"/>
      <c r="H239" s="599"/>
      <c r="I239" s="599"/>
      <c r="J239" s="599"/>
      <c r="K239" s="599"/>
      <c r="L239" s="11"/>
    </row>
    <row r="240" spans="1:12" customFormat="1" x14ac:dyDescent="0.25">
      <c r="A240" s="11"/>
      <c r="B240" s="11"/>
      <c r="C240" s="75"/>
      <c r="D240" s="73"/>
      <c r="E240" s="594"/>
      <c r="F240" s="594"/>
      <c r="G240" s="594"/>
      <c r="H240" s="594"/>
      <c r="I240" s="594"/>
      <c r="J240" s="594"/>
      <c r="K240" s="594"/>
      <c r="L240" s="11"/>
    </row>
    <row r="241" spans="1:12" customFormat="1" x14ac:dyDescent="0.25">
      <c r="A241" s="11"/>
      <c r="B241" s="11"/>
      <c r="C241" s="75"/>
      <c r="D241" s="73"/>
      <c r="E241" s="594"/>
      <c r="F241" s="594"/>
      <c r="G241" s="594"/>
      <c r="H241" s="594"/>
      <c r="I241" s="594"/>
      <c r="J241" s="594"/>
      <c r="K241" s="594"/>
      <c r="L241" s="11"/>
    </row>
    <row r="242" spans="1:12" customFormat="1" x14ac:dyDescent="0.25">
      <c r="A242" s="11"/>
      <c r="B242" s="11"/>
      <c r="C242" s="75"/>
      <c r="D242" s="73"/>
      <c r="E242" s="594"/>
      <c r="F242" s="594"/>
      <c r="G242" s="594"/>
      <c r="H242" s="594"/>
      <c r="I242" s="594"/>
      <c r="J242" s="594"/>
      <c r="K242" s="594"/>
      <c r="L242" s="11"/>
    </row>
    <row r="243" spans="1:12" customFormat="1" ht="12.75" customHeight="1" x14ac:dyDescent="0.25">
      <c r="A243" s="11"/>
      <c r="B243" s="11"/>
      <c r="C243" s="25">
        <f>+C211</f>
        <v>3</v>
      </c>
      <c r="D243" s="598" t="s">
        <v>503</v>
      </c>
      <c r="E243" s="598"/>
      <c r="F243" s="598"/>
      <c r="G243" s="598"/>
      <c r="H243" s="598"/>
      <c r="I243" s="598"/>
      <c r="J243" s="598"/>
      <c r="K243" s="598"/>
      <c r="L243" s="11"/>
    </row>
    <row r="244" spans="1:12" customFormat="1" ht="12.75" customHeight="1" x14ac:dyDescent="0.25">
      <c r="A244" s="11"/>
      <c r="B244" s="11"/>
      <c r="C244" s="25"/>
      <c r="D244" s="47"/>
      <c r="E244" s="501"/>
      <c r="F244" s="501"/>
      <c r="G244" s="501"/>
      <c r="H244" s="501"/>
      <c r="I244" s="501"/>
      <c r="J244" s="501"/>
      <c r="K244" s="501"/>
      <c r="L244" s="11"/>
    </row>
    <row r="245" spans="1:12" customFormat="1" ht="12.75" customHeight="1" x14ac:dyDescent="0.25">
      <c r="A245" s="11"/>
      <c r="B245" s="11"/>
      <c r="C245" s="25"/>
      <c r="D245" s="47"/>
      <c r="E245" s="501"/>
      <c r="F245" s="501"/>
      <c r="G245" s="501"/>
      <c r="H245" s="501"/>
      <c r="I245" s="501"/>
      <c r="J245" s="501"/>
      <c r="K245" s="501"/>
      <c r="L245" s="11"/>
    </row>
    <row r="246" spans="1:12" customFormat="1" ht="12.75" customHeight="1" x14ac:dyDescent="0.25">
      <c r="A246" s="11"/>
      <c r="B246" s="11"/>
      <c r="C246" s="25"/>
      <c r="D246" s="47"/>
      <c r="E246" s="501"/>
      <c r="F246" s="501"/>
      <c r="G246" s="501"/>
      <c r="H246" s="501"/>
      <c r="I246" s="501"/>
      <c r="J246" s="501"/>
      <c r="K246" s="501"/>
      <c r="L246" s="11"/>
    </row>
    <row r="247" spans="1:12" customFormat="1" ht="12.75" customHeight="1" x14ac:dyDescent="0.25">
      <c r="A247" s="11"/>
      <c r="B247" s="11"/>
      <c r="C247" s="75"/>
      <c r="D247" s="504" t="s">
        <v>590</v>
      </c>
      <c r="E247" s="504"/>
      <c r="F247" s="504"/>
      <c r="G247" s="504"/>
      <c r="H247" s="504"/>
      <c r="I247" s="504"/>
      <c r="J247" s="504"/>
      <c r="K247" s="504"/>
      <c r="L247" s="11"/>
    </row>
    <row r="248" spans="1:12" customFormat="1" ht="12.75" customHeight="1" x14ac:dyDescent="0.25">
      <c r="A248" s="11"/>
      <c r="B248" s="11"/>
      <c r="C248" s="75"/>
      <c r="D248" s="504"/>
      <c r="E248" s="504"/>
      <c r="F248" s="504"/>
      <c r="G248" s="504"/>
      <c r="H248" s="504"/>
      <c r="I248" s="504"/>
      <c r="J248" s="504"/>
      <c r="K248" s="504"/>
      <c r="L248" s="11"/>
    </row>
    <row r="249" spans="1:12" customFormat="1" ht="12.75" customHeight="1" x14ac:dyDescent="0.25">
      <c r="A249" s="11"/>
      <c r="B249" s="11"/>
      <c r="C249" s="75"/>
      <c r="D249" s="504"/>
      <c r="E249" s="504"/>
      <c r="F249" s="504"/>
      <c r="G249" s="504"/>
      <c r="H249" s="504"/>
      <c r="I249" s="504"/>
      <c r="J249" s="504"/>
      <c r="K249" s="504"/>
      <c r="L249" s="11"/>
    </row>
    <row r="250" spans="1:12" customFormat="1" ht="12.75" customHeight="1" x14ac:dyDescent="0.25">
      <c r="A250" s="11"/>
      <c r="B250" s="11"/>
      <c r="C250" s="75"/>
      <c r="D250" s="66"/>
      <c r="E250" s="503"/>
      <c r="F250" s="503"/>
      <c r="G250" s="503"/>
      <c r="H250" s="503"/>
      <c r="I250" s="503"/>
      <c r="J250" s="503"/>
      <c r="K250" s="503"/>
      <c r="L250" s="11"/>
    </row>
    <row r="251" spans="1:12" customFormat="1" ht="12.75" customHeight="1" x14ac:dyDescent="0.25">
      <c r="A251" s="11"/>
      <c r="B251" s="11"/>
      <c r="C251" s="75"/>
      <c r="D251" s="66"/>
      <c r="E251" s="503"/>
      <c r="F251" s="503"/>
      <c r="G251" s="503"/>
      <c r="H251" s="503"/>
      <c r="I251" s="503"/>
      <c r="J251" s="503"/>
      <c r="K251" s="503"/>
      <c r="L251" s="11"/>
    </row>
    <row r="252" spans="1:12" customFormat="1" ht="12.75" customHeight="1" x14ac:dyDescent="0.25">
      <c r="A252" s="11"/>
      <c r="B252" s="11"/>
      <c r="C252" s="75"/>
      <c r="D252" s="66"/>
      <c r="E252" s="503"/>
      <c r="F252" s="503"/>
      <c r="G252" s="503"/>
      <c r="H252" s="503"/>
      <c r="I252" s="503"/>
      <c r="J252" s="503"/>
      <c r="K252" s="503"/>
      <c r="L252" s="11"/>
    </row>
    <row r="253" spans="1:12" customFormat="1" ht="12.75" customHeight="1" x14ac:dyDescent="0.25">
      <c r="A253" s="11"/>
      <c r="B253" s="11"/>
      <c r="C253" s="25">
        <f>+C213</f>
        <v>4</v>
      </c>
      <c r="D253" s="598" t="s">
        <v>199</v>
      </c>
      <c r="E253" s="598"/>
      <c r="F253" s="598"/>
      <c r="G253" s="598"/>
      <c r="H253" s="598"/>
      <c r="I253" s="598"/>
      <c r="J253" s="598"/>
      <c r="K253" s="598"/>
      <c r="L253" s="11"/>
    </row>
    <row r="254" spans="1:12" customFormat="1" ht="12.75" customHeight="1" x14ac:dyDescent="0.25">
      <c r="A254" s="11"/>
      <c r="B254" s="11"/>
      <c r="C254" s="25"/>
      <c r="D254" s="47"/>
      <c r="E254" s="501"/>
      <c r="F254" s="501"/>
      <c r="G254" s="501"/>
      <c r="H254" s="501"/>
      <c r="I254" s="501"/>
      <c r="J254" s="501"/>
      <c r="K254" s="501"/>
      <c r="L254" s="11"/>
    </row>
    <row r="255" spans="1:12" customFormat="1" ht="12.75" customHeight="1" x14ac:dyDescent="0.25">
      <c r="A255" s="11"/>
      <c r="B255" s="11"/>
      <c r="C255" s="25"/>
      <c r="D255" s="47"/>
      <c r="E255" s="501"/>
      <c r="F255" s="501"/>
      <c r="G255" s="501"/>
      <c r="H255" s="501"/>
      <c r="I255" s="501"/>
      <c r="J255" s="501"/>
      <c r="K255" s="501"/>
      <c r="L255" s="11"/>
    </row>
    <row r="256" spans="1:12" customFormat="1" ht="12.75" customHeight="1" x14ac:dyDescent="0.25">
      <c r="A256" s="11"/>
      <c r="B256" s="11"/>
      <c r="C256" s="25"/>
      <c r="D256" s="47"/>
      <c r="E256" s="501"/>
      <c r="F256" s="501"/>
      <c r="G256" s="501"/>
      <c r="H256" s="501"/>
      <c r="I256" s="501"/>
      <c r="J256" s="501"/>
      <c r="K256" s="501"/>
      <c r="L256" s="11"/>
    </row>
    <row r="257" spans="1:12" customFormat="1" ht="12.75" customHeight="1" x14ac:dyDescent="0.25">
      <c r="A257" s="11"/>
      <c r="B257" s="11"/>
      <c r="C257" s="75"/>
      <c r="D257" s="598" t="s">
        <v>514</v>
      </c>
      <c r="E257" s="598"/>
      <c r="F257" s="598"/>
      <c r="G257" s="598"/>
      <c r="H257" s="598"/>
      <c r="I257" s="598"/>
      <c r="J257" s="598"/>
      <c r="K257" s="598"/>
      <c r="L257" s="11"/>
    </row>
    <row r="258" spans="1:12" customFormat="1" ht="12.75" customHeight="1" x14ac:dyDescent="0.25">
      <c r="A258" s="11"/>
      <c r="B258" s="11"/>
      <c r="C258" s="75"/>
      <c r="D258" s="47"/>
      <c r="E258" s="501"/>
      <c r="F258" s="501"/>
      <c r="G258" s="501"/>
      <c r="H258" s="501"/>
      <c r="I258" s="501"/>
      <c r="J258" s="501"/>
      <c r="K258" s="501"/>
      <c r="L258" s="11"/>
    </row>
    <row r="259" spans="1:12" customFormat="1" ht="12.75" customHeight="1" x14ac:dyDescent="0.25">
      <c r="A259" s="11"/>
      <c r="B259" s="11"/>
      <c r="C259" s="75"/>
      <c r="D259" s="47"/>
      <c r="E259" s="501"/>
      <c r="F259" s="501"/>
      <c r="G259" s="501"/>
      <c r="H259" s="501"/>
      <c r="I259" s="501"/>
      <c r="J259" s="501"/>
      <c r="K259" s="501"/>
      <c r="L259" s="11"/>
    </row>
    <row r="260" spans="1:12" customFormat="1" ht="12.75" customHeight="1" x14ac:dyDescent="0.25">
      <c r="A260" s="11"/>
      <c r="B260" s="11"/>
      <c r="C260" s="75"/>
      <c r="D260" s="47"/>
      <c r="E260" s="501"/>
      <c r="F260" s="501"/>
      <c r="G260" s="501"/>
      <c r="H260" s="501"/>
      <c r="I260" s="501"/>
      <c r="J260" s="501"/>
      <c r="K260" s="501"/>
      <c r="L260" s="11"/>
    </row>
    <row r="261" spans="1:12" customFormat="1" ht="12.75" customHeight="1" x14ac:dyDescent="0.25">
      <c r="A261" s="11"/>
      <c r="B261" s="11"/>
      <c r="C261" s="25">
        <f>+C217</f>
        <v>5</v>
      </c>
      <c r="D261" s="504" t="s">
        <v>591</v>
      </c>
      <c r="E261" s="504"/>
      <c r="F261" s="504"/>
      <c r="G261" s="504"/>
      <c r="H261" s="504"/>
      <c r="I261" s="504"/>
      <c r="J261" s="504"/>
      <c r="K261" s="504"/>
      <c r="L261" s="11"/>
    </row>
    <row r="262" spans="1:12" customFormat="1" ht="12.75" customHeight="1" x14ac:dyDescent="0.25">
      <c r="A262" s="11"/>
      <c r="B262" s="11"/>
      <c r="C262" s="75"/>
      <c r="D262" s="504"/>
      <c r="E262" s="504"/>
      <c r="F262" s="504"/>
      <c r="G262" s="504"/>
      <c r="H262" s="504"/>
      <c r="I262" s="504"/>
      <c r="J262" s="504"/>
      <c r="K262" s="504"/>
      <c r="L262" s="11"/>
    </row>
    <row r="263" spans="1:12" customFormat="1" ht="12.75" customHeight="1" x14ac:dyDescent="0.25">
      <c r="A263" s="11"/>
      <c r="B263" s="11"/>
      <c r="C263" s="25">
        <f>+C219</f>
        <v>6</v>
      </c>
      <c r="D263" s="533" t="s">
        <v>505</v>
      </c>
      <c r="E263" s="533"/>
      <c r="F263" s="533"/>
      <c r="G263" s="533"/>
      <c r="H263" s="533"/>
      <c r="I263" s="533"/>
      <c r="J263" s="533"/>
      <c r="K263" s="533"/>
      <c r="L263" s="11"/>
    </row>
    <row r="264" spans="1:12" customFormat="1" ht="12.75" customHeight="1" x14ac:dyDescent="0.25">
      <c r="A264" s="11"/>
      <c r="B264" s="11"/>
      <c r="C264" s="326"/>
      <c r="D264" s="533"/>
      <c r="E264" s="533"/>
      <c r="F264" s="533"/>
      <c r="G264" s="533"/>
      <c r="H264" s="533"/>
      <c r="I264" s="533"/>
      <c r="J264" s="533"/>
      <c r="K264" s="533"/>
      <c r="L264" s="11"/>
    </row>
    <row r="265" spans="1:12" customFormat="1" x14ac:dyDescent="0.25">
      <c r="A265" s="11"/>
      <c r="B265" s="11"/>
      <c r="C265" s="11"/>
      <c r="D265" s="533"/>
      <c r="E265" s="533"/>
      <c r="F265" s="533"/>
      <c r="G265" s="533"/>
      <c r="H265" s="533"/>
      <c r="I265" s="533"/>
      <c r="J265" s="533"/>
      <c r="K265" s="533"/>
      <c r="L265" s="11"/>
    </row>
    <row r="266" spans="1:12" customFormat="1" x14ac:dyDescent="0.25">
      <c r="A266" s="11"/>
      <c r="B266" s="11"/>
      <c r="C266" s="11"/>
      <c r="D266" s="500" t="s">
        <v>60</v>
      </c>
      <c r="E266" s="500"/>
      <c r="F266" s="500"/>
      <c r="G266" s="504"/>
      <c r="H266" s="504"/>
      <c r="I266" s="504"/>
      <c r="J266" s="504"/>
      <c r="K266" s="504"/>
      <c r="L266" s="11"/>
    </row>
    <row r="267" spans="1:12" customFormat="1" ht="12.75" customHeight="1" x14ac:dyDescent="0.25">
      <c r="A267" s="11"/>
      <c r="B267" s="11"/>
      <c r="C267" s="25">
        <f>+C221</f>
        <v>7</v>
      </c>
      <c r="D267" s="533" t="s">
        <v>453</v>
      </c>
      <c r="E267" s="533"/>
      <c r="F267" s="533"/>
      <c r="G267" s="533"/>
      <c r="H267" s="533"/>
      <c r="I267" s="533"/>
      <c r="J267" s="533"/>
      <c r="K267" s="533"/>
      <c r="L267" s="11"/>
    </row>
    <row r="268" spans="1:12" customFormat="1" x14ac:dyDescent="0.25">
      <c r="A268" s="11"/>
      <c r="B268" s="11"/>
      <c r="C268" s="11"/>
      <c r="D268" s="65"/>
      <c r="E268" s="596"/>
      <c r="F268" s="596"/>
      <c r="G268" s="596"/>
      <c r="H268" s="596"/>
      <c r="I268" s="596"/>
      <c r="J268" s="596"/>
      <c r="K268" s="596"/>
      <c r="L268" s="11"/>
    </row>
    <row r="269" spans="1:12" customFormat="1" x14ac:dyDescent="0.25">
      <c r="A269" s="11"/>
      <c r="B269" s="11"/>
      <c r="C269" s="11"/>
      <c r="D269" s="65"/>
      <c r="E269" s="596"/>
      <c r="F269" s="596"/>
      <c r="G269" s="596"/>
      <c r="H269" s="596"/>
      <c r="I269" s="596"/>
      <c r="J269" s="596"/>
      <c r="K269" s="596"/>
      <c r="L269" s="11"/>
    </row>
    <row r="270" spans="1:12" customFormat="1" ht="12.75" customHeight="1" x14ac:dyDescent="0.25">
      <c r="A270" s="11"/>
      <c r="B270" s="11"/>
      <c r="C270" s="25">
        <f>+C223</f>
        <v>8</v>
      </c>
      <c r="D270" s="610" t="s">
        <v>454</v>
      </c>
      <c r="E270" s="610"/>
      <c r="F270" s="610"/>
      <c r="G270" s="610"/>
      <c r="H270" s="610"/>
      <c r="I270" s="610"/>
      <c r="J270" s="610"/>
      <c r="K270" s="610"/>
      <c r="L270" s="11"/>
    </row>
    <row r="271" spans="1:12" customFormat="1" x14ac:dyDescent="0.25">
      <c r="A271" s="11"/>
      <c r="B271" s="11"/>
      <c r="C271" s="11"/>
      <c r="D271" s="65"/>
      <c r="E271" s="596"/>
      <c r="F271" s="596"/>
      <c r="G271" s="596"/>
      <c r="H271" s="596"/>
      <c r="I271" s="596"/>
      <c r="J271" s="596"/>
      <c r="K271" s="596"/>
      <c r="L271" s="11"/>
    </row>
    <row r="272" spans="1:12" customFormat="1" x14ac:dyDescent="0.25">
      <c r="A272" s="11"/>
      <c r="B272" s="11"/>
      <c r="C272" s="11"/>
      <c r="D272" s="64"/>
      <c r="E272" s="596"/>
      <c r="F272" s="596"/>
      <c r="G272" s="596"/>
      <c r="H272" s="596"/>
      <c r="I272" s="596"/>
      <c r="J272" s="596"/>
      <c r="K272" s="596"/>
      <c r="L272" s="11"/>
    </row>
    <row r="273" spans="1:12" customFormat="1" x14ac:dyDescent="0.25">
      <c r="A273" s="11"/>
      <c r="B273" s="11"/>
      <c r="C273" s="11"/>
      <c r="D273" s="65"/>
      <c r="E273" s="596"/>
      <c r="F273" s="596"/>
      <c r="G273" s="596"/>
      <c r="H273" s="596"/>
      <c r="I273" s="596"/>
      <c r="J273" s="596"/>
      <c r="K273" s="596"/>
      <c r="L273" s="11"/>
    </row>
    <row r="274" spans="1:12" customFormat="1" ht="12.75" customHeight="1" x14ac:dyDescent="0.25">
      <c r="A274" s="11"/>
      <c r="B274" s="11"/>
      <c r="C274" s="25">
        <f>+C229</f>
        <v>9</v>
      </c>
      <c r="D274" s="533" t="s">
        <v>507</v>
      </c>
      <c r="E274" s="533"/>
      <c r="F274" s="533"/>
      <c r="G274" s="533"/>
      <c r="H274" s="533"/>
      <c r="I274" s="533"/>
      <c r="J274" s="533"/>
      <c r="K274" s="533"/>
      <c r="L274" s="11"/>
    </row>
    <row r="275" spans="1:12" customFormat="1" x14ac:dyDescent="0.25">
      <c r="A275" s="11"/>
      <c r="B275" s="11"/>
      <c r="C275" s="11"/>
      <c r="D275" s="533"/>
      <c r="E275" s="533"/>
      <c r="F275" s="533"/>
      <c r="G275" s="533"/>
      <c r="H275" s="533"/>
      <c r="I275" s="533"/>
      <c r="J275" s="533"/>
      <c r="K275" s="533"/>
      <c r="L275" s="11"/>
    </row>
    <row r="276" spans="1:12" customFormat="1" x14ac:dyDescent="0.25">
      <c r="A276" s="11"/>
      <c r="B276" s="501"/>
      <c r="C276" s="501"/>
      <c r="D276" s="501"/>
      <c r="E276" s="501"/>
      <c r="F276" s="501"/>
      <c r="G276" s="501"/>
      <c r="H276" s="501"/>
      <c r="I276" s="501"/>
      <c r="J276" s="501"/>
      <c r="K276" s="501"/>
      <c r="L276" s="11"/>
    </row>
    <row r="277" spans="1:12" customFormat="1" x14ac:dyDescent="0.25">
      <c r="A277" s="11"/>
      <c r="B277" s="501"/>
      <c r="C277" s="501"/>
      <c r="D277" s="501"/>
      <c r="E277" s="501"/>
      <c r="F277" s="501"/>
      <c r="G277" s="501"/>
      <c r="H277" s="501"/>
      <c r="I277" s="501"/>
      <c r="J277" s="501"/>
      <c r="K277" s="501"/>
      <c r="L277" s="11"/>
    </row>
    <row r="278" spans="1:12" customFormat="1" x14ac:dyDescent="0.25">
      <c r="A278" s="11"/>
      <c r="B278" s="501"/>
      <c r="C278" s="501"/>
      <c r="D278" s="501"/>
      <c r="E278" s="501"/>
      <c r="F278" s="501"/>
      <c r="G278" s="501"/>
      <c r="H278" s="501"/>
      <c r="I278" s="501"/>
      <c r="J278" s="501"/>
      <c r="K278" s="501"/>
      <c r="L278" s="11"/>
    </row>
    <row r="279" spans="1:12" customFormat="1" x14ac:dyDescent="0.25">
      <c r="A279" s="11"/>
      <c r="B279" s="501"/>
      <c r="C279" s="501"/>
      <c r="D279" s="501"/>
      <c r="E279" s="501"/>
      <c r="F279" s="501"/>
      <c r="G279" s="501"/>
      <c r="H279" s="501"/>
      <c r="I279" s="501"/>
      <c r="J279" s="501"/>
      <c r="K279" s="501"/>
      <c r="L279" s="11"/>
    </row>
    <row r="280" spans="1:12" customFormat="1" x14ac:dyDescent="0.25">
      <c r="A280" s="11"/>
      <c r="B280" s="501"/>
      <c r="C280" s="501"/>
      <c r="D280" s="501"/>
      <c r="E280" s="501"/>
      <c r="F280" s="501"/>
      <c r="G280" s="501"/>
      <c r="H280" s="501"/>
      <c r="I280" s="501"/>
      <c r="J280" s="501"/>
      <c r="K280" s="501"/>
      <c r="L280" s="11"/>
    </row>
    <row r="281" spans="1:12" customFormat="1" x14ac:dyDescent="0.25">
      <c r="A281" s="11"/>
      <c r="B281" s="501"/>
      <c r="C281" s="501"/>
      <c r="D281" s="501"/>
      <c r="E281" s="501"/>
      <c r="F281" s="501"/>
      <c r="G281" s="501"/>
      <c r="H281" s="501"/>
      <c r="I281" s="501"/>
      <c r="J281" s="501"/>
      <c r="K281" s="501"/>
      <c r="L281" s="11"/>
    </row>
    <row r="282" spans="1:12" customFormat="1" x14ac:dyDescent="0.25">
      <c r="A282" s="11"/>
      <c r="B282" s="501"/>
      <c r="C282" s="501"/>
      <c r="D282" s="501"/>
      <c r="E282" s="501"/>
      <c r="F282" s="501"/>
      <c r="G282" s="501"/>
      <c r="H282" s="501"/>
      <c r="I282" s="501"/>
      <c r="J282" s="501"/>
      <c r="K282" s="501"/>
      <c r="L282" s="11"/>
    </row>
    <row r="283" spans="1:12" customFormat="1" x14ac:dyDescent="0.25">
      <c r="A283" s="11"/>
      <c r="B283" s="501"/>
      <c r="C283" s="501"/>
      <c r="D283" s="501"/>
      <c r="E283" s="501"/>
      <c r="F283" s="501"/>
      <c r="G283" s="501"/>
      <c r="H283" s="501"/>
      <c r="I283" s="501"/>
      <c r="J283" s="501"/>
      <c r="K283" s="501"/>
      <c r="L283" s="11"/>
    </row>
    <row r="284" spans="1:12" customFormat="1" x14ac:dyDescent="0.25">
      <c r="A284" s="11"/>
      <c r="B284" s="501"/>
      <c r="C284" s="501"/>
      <c r="D284" s="501"/>
      <c r="E284" s="501"/>
      <c r="F284" s="501"/>
      <c r="G284" s="501"/>
      <c r="H284" s="501"/>
      <c r="I284" s="501"/>
      <c r="J284" s="501"/>
      <c r="K284" s="501"/>
      <c r="L284" s="11"/>
    </row>
    <row r="285" spans="1:12" customFormat="1" x14ac:dyDescent="0.25">
      <c r="A285" s="11"/>
      <c r="B285" s="501"/>
      <c r="C285" s="501"/>
      <c r="D285" s="501"/>
      <c r="E285" s="501"/>
      <c r="F285" s="501"/>
      <c r="G285" s="501"/>
      <c r="H285" s="501"/>
      <c r="I285" s="501"/>
      <c r="J285" s="501"/>
      <c r="K285" s="501"/>
      <c r="L285" s="11"/>
    </row>
    <row r="286" spans="1:12" customFormat="1" x14ac:dyDescent="0.25">
      <c r="A286" s="11"/>
      <c r="B286" s="501"/>
      <c r="C286" s="501"/>
      <c r="D286" s="501"/>
      <c r="E286" s="501"/>
      <c r="F286" s="501"/>
      <c r="G286" s="501"/>
      <c r="H286" s="501"/>
      <c r="I286" s="501"/>
      <c r="J286" s="501"/>
      <c r="K286" s="501"/>
      <c r="L286" s="11"/>
    </row>
    <row r="287" spans="1:12" customFormat="1" x14ac:dyDescent="0.25">
      <c r="A287" s="11"/>
      <c r="B287" s="501"/>
      <c r="C287" s="501"/>
      <c r="D287" s="501"/>
      <c r="E287" s="501"/>
      <c r="F287" s="501"/>
      <c r="G287" s="501"/>
      <c r="H287" s="501"/>
      <c r="I287" s="501"/>
      <c r="J287" s="501"/>
      <c r="K287" s="501"/>
      <c r="L287" s="11"/>
    </row>
    <row r="288" spans="1:12" customFormat="1" x14ac:dyDescent="0.25">
      <c r="A288" s="11"/>
      <c r="B288" s="501"/>
      <c r="C288" s="501"/>
      <c r="D288" s="501"/>
      <c r="E288" s="501"/>
      <c r="F288" s="501"/>
      <c r="G288" s="501"/>
      <c r="H288" s="501"/>
      <c r="I288" s="501"/>
      <c r="J288" s="501"/>
      <c r="K288" s="501"/>
      <c r="L288" s="11"/>
    </row>
    <row r="289" spans="1:12" customFormat="1" x14ac:dyDescent="0.25">
      <c r="A289" s="11"/>
      <c r="B289" s="501"/>
      <c r="C289" s="501"/>
      <c r="D289" s="501"/>
      <c r="E289" s="501"/>
      <c r="F289" s="501"/>
      <c r="G289" s="501"/>
      <c r="H289" s="501"/>
      <c r="I289" s="501"/>
      <c r="J289" s="501"/>
      <c r="K289" s="501"/>
      <c r="L289" s="11"/>
    </row>
    <row r="290" spans="1:12" customFormat="1" x14ac:dyDescent="0.25">
      <c r="A290" s="11"/>
      <c r="B290" s="501"/>
      <c r="C290" s="501"/>
      <c r="D290" s="501"/>
      <c r="E290" s="501"/>
      <c r="F290" s="501"/>
      <c r="G290" s="501"/>
      <c r="H290" s="501"/>
      <c r="I290" s="501"/>
      <c r="J290" s="501"/>
      <c r="K290" s="501"/>
      <c r="L290" s="11"/>
    </row>
    <row r="291" spans="1:12" customFormat="1" x14ac:dyDescent="0.25">
      <c r="A291" s="11"/>
      <c r="B291" s="501"/>
      <c r="C291" s="501"/>
      <c r="D291" s="501"/>
      <c r="E291" s="501"/>
      <c r="F291" s="501"/>
      <c r="G291" s="501"/>
      <c r="H291" s="501"/>
      <c r="I291" s="501"/>
      <c r="J291" s="501"/>
      <c r="K291" s="501"/>
      <c r="L291" s="11"/>
    </row>
    <row r="292" spans="1:12" customFormat="1" x14ac:dyDescent="0.25">
      <c r="A292" s="11"/>
      <c r="B292" s="501"/>
      <c r="C292" s="501"/>
      <c r="D292" s="501"/>
      <c r="E292" s="501"/>
      <c r="F292" s="501"/>
      <c r="G292" s="501"/>
      <c r="H292" s="501"/>
      <c r="I292" s="501"/>
      <c r="J292" s="501"/>
      <c r="K292" s="501"/>
      <c r="L292" s="11"/>
    </row>
    <row r="293" spans="1:12" customFormat="1" x14ac:dyDescent="0.25">
      <c r="A293" s="11"/>
      <c r="B293" s="501"/>
      <c r="C293" s="501"/>
      <c r="D293" s="501"/>
      <c r="E293" s="501"/>
      <c r="F293" s="501"/>
      <c r="G293" s="501"/>
      <c r="H293" s="501"/>
      <c r="I293" s="501"/>
      <c r="J293" s="501"/>
      <c r="K293" s="501"/>
      <c r="L293" s="11"/>
    </row>
    <row r="294" spans="1:12" customFormat="1" x14ac:dyDescent="0.25">
      <c r="A294" s="11"/>
      <c r="B294" s="501"/>
      <c r="C294" s="501"/>
      <c r="D294" s="501"/>
      <c r="E294" s="501"/>
      <c r="F294" s="501"/>
      <c r="G294" s="501"/>
      <c r="H294" s="501"/>
      <c r="I294" s="501"/>
      <c r="J294" s="501"/>
      <c r="K294" s="501"/>
      <c r="L294" s="11"/>
    </row>
    <row r="295" spans="1:12" customFormat="1" x14ac:dyDescent="0.25">
      <c r="A295" s="11"/>
      <c r="B295" s="501"/>
      <c r="C295" s="501"/>
      <c r="D295" s="501"/>
      <c r="E295" s="501"/>
      <c r="F295" s="501"/>
      <c r="G295" s="501"/>
      <c r="H295" s="501"/>
      <c r="I295" s="501"/>
      <c r="J295" s="501"/>
      <c r="K295" s="501"/>
      <c r="L295" s="11"/>
    </row>
    <row r="296" spans="1:12" customFormat="1" x14ac:dyDescent="0.25">
      <c r="A296" s="11"/>
      <c r="B296" s="501"/>
      <c r="C296" s="501"/>
      <c r="D296" s="501"/>
      <c r="E296" s="501"/>
      <c r="F296" s="501"/>
      <c r="G296" s="501"/>
      <c r="H296" s="501"/>
      <c r="I296" s="501"/>
      <c r="J296" s="501"/>
      <c r="K296" s="501"/>
      <c r="L296" s="11"/>
    </row>
    <row r="297" spans="1:12" customFormat="1" x14ac:dyDescent="0.25">
      <c r="A297" s="11"/>
      <c r="B297" s="501"/>
      <c r="C297" s="501"/>
      <c r="D297" s="501"/>
      <c r="E297" s="501"/>
      <c r="F297" s="501"/>
      <c r="G297" s="501"/>
      <c r="H297" s="501"/>
      <c r="I297" s="501"/>
      <c r="J297" s="501"/>
      <c r="K297" s="501"/>
      <c r="L297" s="11"/>
    </row>
    <row r="298" spans="1:12" customFormat="1" x14ac:dyDescent="0.25">
      <c r="A298" s="11"/>
      <c r="B298" s="501"/>
      <c r="C298" s="501"/>
      <c r="D298" s="501"/>
      <c r="E298" s="501"/>
      <c r="F298" s="501"/>
      <c r="G298" s="501"/>
      <c r="H298" s="501"/>
      <c r="I298" s="501"/>
      <c r="J298" s="501"/>
      <c r="K298" s="501"/>
      <c r="L298" s="11"/>
    </row>
    <row r="299" spans="1:12" customFormat="1" x14ac:dyDescent="0.25">
      <c r="A299" s="11"/>
      <c r="B299" s="501"/>
      <c r="C299" s="501"/>
      <c r="D299" s="501"/>
      <c r="E299" s="501"/>
      <c r="F299" s="501"/>
      <c r="G299" s="501"/>
      <c r="H299" s="501"/>
      <c r="I299" s="501"/>
      <c r="J299" s="501"/>
      <c r="K299" s="501"/>
      <c r="L299" s="11"/>
    </row>
    <row r="300" spans="1:12" customFormat="1" x14ac:dyDescent="0.25">
      <c r="A300" s="11"/>
      <c r="B300" s="501"/>
      <c r="C300" s="501"/>
      <c r="D300" s="501"/>
      <c r="E300" s="501"/>
      <c r="F300" s="501"/>
      <c r="G300" s="501"/>
      <c r="H300" s="501"/>
      <c r="I300" s="501"/>
      <c r="J300" s="501"/>
      <c r="K300" s="501"/>
      <c r="L300" s="11"/>
    </row>
    <row r="301" spans="1:12" customFormat="1" x14ac:dyDescent="0.25">
      <c r="A301" s="11"/>
      <c r="B301" s="501"/>
      <c r="C301" s="501"/>
      <c r="D301" s="501"/>
      <c r="E301" s="501"/>
      <c r="F301" s="501"/>
      <c r="G301" s="501"/>
      <c r="H301" s="501"/>
      <c r="I301" s="501"/>
      <c r="J301" s="501"/>
      <c r="K301" s="501"/>
      <c r="L301" s="11"/>
    </row>
    <row r="302" spans="1:12" customFormat="1" x14ac:dyDescent="0.25">
      <c r="A302" s="11"/>
      <c r="B302" s="501"/>
      <c r="C302" s="501"/>
      <c r="D302" s="501"/>
      <c r="E302" s="501"/>
      <c r="F302" s="501"/>
      <c r="G302" s="501"/>
      <c r="H302" s="501"/>
      <c r="I302" s="501"/>
      <c r="J302" s="501"/>
      <c r="K302" s="501"/>
      <c r="L302" s="11"/>
    </row>
    <row r="303" spans="1:12" customFormat="1" x14ac:dyDescent="0.25">
      <c r="A303" s="11"/>
      <c r="B303" s="501"/>
      <c r="C303" s="501"/>
      <c r="D303" s="501"/>
      <c r="E303" s="501"/>
      <c r="F303" s="501"/>
      <c r="G303" s="501"/>
      <c r="H303" s="501"/>
      <c r="I303" s="501"/>
      <c r="J303" s="501"/>
      <c r="K303" s="501"/>
      <c r="L303" s="11"/>
    </row>
    <row r="304" spans="1:12" customFormat="1" ht="15.6" x14ac:dyDescent="0.25">
      <c r="A304" s="11"/>
      <c r="B304" s="554" t="s">
        <v>198</v>
      </c>
      <c r="C304" s="554"/>
      <c r="D304" s="554"/>
      <c r="E304" s="554"/>
      <c r="F304" s="554"/>
      <c r="G304" s="511" t="s">
        <v>263</v>
      </c>
      <c r="H304" s="511"/>
      <c r="I304" s="511"/>
      <c r="J304" s="511" t="s">
        <v>205</v>
      </c>
      <c r="K304" s="511"/>
      <c r="L304" s="11"/>
    </row>
    <row r="305" spans="1:12" customFormat="1" ht="12.75" customHeight="1" x14ac:dyDescent="0.25">
      <c r="A305" s="11"/>
      <c r="B305" s="559">
        <f>(635*35.6*(10^6)/1055.87)/0.903/2335</f>
        <v>10154.034564704722</v>
      </c>
      <c r="C305" s="523">
        <v>2</v>
      </c>
      <c r="D305" s="534" t="s">
        <v>200</v>
      </c>
      <c r="E305" s="541"/>
      <c r="F305" s="580"/>
      <c r="G305" s="537" t="s">
        <v>45</v>
      </c>
      <c r="H305" s="582" t="s">
        <v>259</v>
      </c>
      <c r="I305" s="544"/>
      <c r="J305" s="584" t="s">
        <v>515</v>
      </c>
      <c r="K305" s="544"/>
      <c r="L305" s="11"/>
    </row>
    <row r="306" spans="1:12" customFormat="1" ht="12.75" customHeight="1" x14ac:dyDescent="0.25">
      <c r="A306" s="11"/>
      <c r="B306" s="560"/>
      <c r="C306" s="520"/>
      <c r="D306" s="535"/>
      <c r="E306" s="542"/>
      <c r="F306" s="609"/>
      <c r="G306" s="553"/>
      <c r="H306" s="583"/>
      <c r="I306" s="526"/>
      <c r="J306" s="603"/>
      <c r="K306" s="611"/>
      <c r="L306" s="11"/>
    </row>
    <row r="307" spans="1:12" customFormat="1" ht="12.75" customHeight="1" x14ac:dyDescent="0.25">
      <c r="A307" s="11"/>
      <c r="B307" s="559">
        <f>+B305*0.7457</f>
        <v>7571.8635749003115</v>
      </c>
      <c r="C307" s="523">
        <v>3</v>
      </c>
      <c r="D307" s="534" t="s">
        <v>201</v>
      </c>
      <c r="E307" s="541"/>
      <c r="F307" s="528"/>
      <c r="G307" s="537" t="s">
        <v>45</v>
      </c>
      <c r="H307" s="583"/>
      <c r="I307" s="526"/>
      <c r="J307" s="615"/>
      <c r="K307" s="612"/>
      <c r="L307" s="11"/>
    </row>
    <row r="308" spans="1:12" customFormat="1" ht="12.75" customHeight="1" x14ac:dyDescent="0.25">
      <c r="A308" s="11"/>
      <c r="B308" s="560"/>
      <c r="C308" s="520"/>
      <c r="D308" s="535"/>
      <c r="E308" s="542"/>
      <c r="F308" s="543"/>
      <c r="G308" s="553"/>
      <c r="H308" s="583"/>
      <c r="I308" s="526"/>
      <c r="J308" s="603" t="s">
        <v>493</v>
      </c>
      <c r="K308" s="544"/>
      <c r="L308" s="11"/>
    </row>
    <row r="309" spans="1:12" customFormat="1" ht="12.75" customHeight="1" x14ac:dyDescent="0.25">
      <c r="A309" s="11"/>
      <c r="B309" s="622">
        <f>3412/B305*100%</f>
        <v>0.33602406789711581</v>
      </c>
      <c r="C309" s="523">
        <v>4</v>
      </c>
      <c r="D309" s="534" t="s">
        <v>202</v>
      </c>
      <c r="E309" s="541"/>
      <c r="F309" s="528"/>
      <c r="G309" s="537" t="s">
        <v>45</v>
      </c>
      <c r="H309" s="583"/>
      <c r="I309" s="526"/>
      <c r="J309" s="603"/>
      <c r="K309" s="526"/>
      <c r="L309" s="11"/>
    </row>
    <row r="310" spans="1:12" customFormat="1" ht="12.75" customHeight="1" thickBot="1" x14ac:dyDescent="0.3">
      <c r="A310" s="11"/>
      <c r="B310" s="623"/>
      <c r="C310" s="563"/>
      <c r="D310" s="549"/>
      <c r="E310" s="550"/>
      <c r="F310" s="564"/>
      <c r="G310" s="567"/>
      <c r="H310" s="583"/>
      <c r="I310" s="526"/>
      <c r="J310" s="604"/>
      <c r="K310" s="616"/>
      <c r="L310" s="11"/>
    </row>
    <row r="311" spans="1:12" customFormat="1" ht="12.75" customHeight="1" x14ac:dyDescent="0.25">
      <c r="A311" s="11"/>
      <c r="B311" s="613">
        <v>0.5</v>
      </c>
      <c r="C311" s="562"/>
      <c r="D311" s="547" t="s">
        <v>21</v>
      </c>
      <c r="E311" s="548"/>
      <c r="F311" s="543"/>
      <c r="G311" s="552" t="s">
        <v>580</v>
      </c>
      <c r="H311" s="602" t="s">
        <v>262</v>
      </c>
      <c r="I311" s="526"/>
      <c r="J311" s="605" t="s">
        <v>261</v>
      </c>
      <c r="K311" s="606"/>
      <c r="L311" s="11"/>
    </row>
    <row r="312" spans="1:12" customFormat="1" ht="12.75" customHeight="1" x14ac:dyDescent="0.25">
      <c r="A312" s="11"/>
      <c r="B312" s="614"/>
      <c r="C312" s="520"/>
      <c r="D312" s="535"/>
      <c r="E312" s="542"/>
      <c r="F312" s="529"/>
      <c r="G312" s="538"/>
      <c r="H312" s="602"/>
      <c r="I312" s="526"/>
      <c r="J312" s="442"/>
      <c r="K312" s="438"/>
      <c r="L312" s="11"/>
    </row>
    <row r="313" spans="1:12" customFormat="1" ht="12.75" customHeight="1" x14ac:dyDescent="0.25">
      <c r="A313" s="11"/>
      <c r="B313" s="588">
        <v>5.8799999999999998E-4</v>
      </c>
      <c r="C313" s="523">
        <v>5</v>
      </c>
      <c r="D313" s="534" t="s">
        <v>59</v>
      </c>
      <c r="E313" s="541"/>
      <c r="F313" s="528"/>
      <c r="G313" s="537" t="s">
        <v>45</v>
      </c>
      <c r="H313" s="582" t="s">
        <v>187</v>
      </c>
      <c r="I313" s="528"/>
      <c r="J313" s="534" t="s">
        <v>455</v>
      </c>
      <c r="K313" s="536"/>
      <c r="L313" s="11"/>
    </row>
    <row r="314" spans="1:12" customFormat="1" ht="12.75" customHeight="1" x14ac:dyDescent="0.25">
      <c r="A314" s="11"/>
      <c r="B314" s="589"/>
      <c r="C314" s="520"/>
      <c r="D314" s="535"/>
      <c r="E314" s="542"/>
      <c r="F314" s="529"/>
      <c r="G314" s="538"/>
      <c r="H314" s="583"/>
      <c r="I314" s="543"/>
      <c r="J314" s="535"/>
      <c r="K314" s="475"/>
      <c r="L314" s="11"/>
    </row>
    <row r="315" spans="1:12" customFormat="1" ht="12.75" customHeight="1" x14ac:dyDescent="0.25">
      <c r="A315" s="11"/>
      <c r="B315" s="588">
        <f>+(7.71/100+9.91)/1000</f>
        <v>9.9871000000000005E-3</v>
      </c>
      <c r="C315" s="523">
        <v>6</v>
      </c>
      <c r="D315" s="534" t="s">
        <v>473</v>
      </c>
      <c r="E315" s="541"/>
      <c r="F315" s="528"/>
      <c r="G315" s="537" t="s">
        <v>45</v>
      </c>
      <c r="H315" s="583"/>
      <c r="I315" s="543"/>
      <c r="J315" s="534" t="s">
        <v>192</v>
      </c>
      <c r="K315" s="528"/>
      <c r="L315" s="11"/>
    </row>
    <row r="316" spans="1:12" customFormat="1" ht="12.75" customHeight="1" x14ac:dyDescent="0.25">
      <c r="A316" s="11"/>
      <c r="B316" s="589"/>
      <c r="C316" s="520"/>
      <c r="D316" s="535"/>
      <c r="E316" s="542"/>
      <c r="F316" s="529"/>
      <c r="G316" s="553"/>
      <c r="H316" s="583"/>
      <c r="I316" s="543"/>
      <c r="J316" s="539"/>
      <c r="K316" s="543"/>
      <c r="L316" s="11"/>
    </row>
    <row r="317" spans="1:12" customFormat="1" ht="12.75" customHeight="1" x14ac:dyDescent="0.25">
      <c r="A317" s="11"/>
      <c r="B317" s="588">
        <f>+(7.71/100+9.91)/1000*B305*0.7457*453.59245/10^6</f>
        <v>3.4301095932112849E-2</v>
      </c>
      <c r="C317" s="523">
        <v>7</v>
      </c>
      <c r="D317" s="534" t="s">
        <v>159</v>
      </c>
      <c r="E317" s="541"/>
      <c r="F317" s="528"/>
      <c r="G317" s="553"/>
      <c r="H317" s="600" t="s">
        <v>158</v>
      </c>
      <c r="I317" s="543"/>
      <c r="J317" s="539"/>
      <c r="K317" s="543"/>
      <c r="L317" s="11"/>
    </row>
    <row r="318" spans="1:12" customFormat="1" ht="12.75" customHeight="1" x14ac:dyDescent="0.25">
      <c r="A318" s="11"/>
      <c r="B318" s="589"/>
      <c r="C318" s="520"/>
      <c r="D318" s="535"/>
      <c r="E318" s="542"/>
      <c r="F318" s="529"/>
      <c r="G318" s="538"/>
      <c r="H318" s="601"/>
      <c r="I318" s="529"/>
      <c r="J318" s="535"/>
      <c r="K318" s="529"/>
      <c r="L318" s="11"/>
    </row>
    <row r="319" spans="1:12" customFormat="1" ht="12.75" customHeight="1" x14ac:dyDescent="0.25">
      <c r="A319" s="11"/>
      <c r="B319" s="632">
        <v>2.8</v>
      </c>
      <c r="C319" s="523"/>
      <c r="D319" s="534" t="s">
        <v>193</v>
      </c>
      <c r="E319" s="541"/>
      <c r="F319" s="528"/>
      <c r="G319" s="537" t="s">
        <v>580</v>
      </c>
      <c r="H319" s="534" t="s">
        <v>264</v>
      </c>
      <c r="I319" s="617"/>
      <c r="J319" s="534" t="s">
        <v>265</v>
      </c>
      <c r="K319" s="528"/>
      <c r="L319" s="11"/>
    </row>
    <row r="320" spans="1:12" customFormat="1" ht="12.75" customHeight="1" x14ac:dyDescent="0.25">
      <c r="A320" s="11"/>
      <c r="B320" s="614"/>
      <c r="C320" s="520"/>
      <c r="D320" s="535"/>
      <c r="E320" s="542"/>
      <c r="F320" s="529"/>
      <c r="G320" s="538"/>
      <c r="H320" s="539"/>
      <c r="I320" s="618"/>
      <c r="J320" s="539"/>
      <c r="K320" s="543"/>
      <c r="L320" s="11"/>
    </row>
    <row r="321" spans="1:12" customFormat="1" ht="12.75" customHeight="1" x14ac:dyDescent="0.25">
      <c r="A321" s="11"/>
      <c r="B321" s="632">
        <v>9.3000000000000007</v>
      </c>
      <c r="C321" s="523"/>
      <c r="D321" s="534" t="s">
        <v>181</v>
      </c>
      <c r="E321" s="541"/>
      <c r="F321" s="528"/>
      <c r="G321" s="537" t="s">
        <v>45</v>
      </c>
      <c r="H321" s="539"/>
      <c r="I321" s="618"/>
      <c r="J321" s="539"/>
      <c r="K321" s="543"/>
      <c r="L321" s="11"/>
    </row>
    <row r="322" spans="1:12" customFormat="1" ht="12.75" customHeight="1" x14ac:dyDescent="0.25">
      <c r="A322" s="11"/>
      <c r="B322" s="614"/>
      <c r="C322" s="520"/>
      <c r="D322" s="535"/>
      <c r="E322" s="542"/>
      <c r="F322" s="529"/>
      <c r="G322" s="538"/>
      <c r="H322" s="68" t="s">
        <v>262</v>
      </c>
      <c r="I322" s="618"/>
      <c r="J322" s="535"/>
      <c r="K322" s="529"/>
      <c r="L322" s="11"/>
    </row>
    <row r="323" spans="1:12" customFormat="1" ht="12.75" customHeight="1" x14ac:dyDescent="0.25">
      <c r="A323" s="11"/>
      <c r="B323" s="590">
        <v>116.88</v>
      </c>
      <c r="C323" s="523">
        <v>8</v>
      </c>
      <c r="D323" s="534" t="s">
        <v>63</v>
      </c>
      <c r="E323" s="541"/>
      <c r="F323" s="528"/>
      <c r="G323" s="537" t="s">
        <v>579</v>
      </c>
      <c r="H323" s="70" t="s">
        <v>293</v>
      </c>
      <c r="I323" s="536"/>
      <c r="J323" s="534" t="s">
        <v>492</v>
      </c>
      <c r="K323" s="523"/>
      <c r="L323" s="11"/>
    </row>
    <row r="324" spans="1:12" customFormat="1" ht="12.75" customHeight="1" x14ac:dyDescent="0.25">
      <c r="A324" s="11"/>
      <c r="B324" s="592"/>
      <c r="C324" s="520"/>
      <c r="D324" s="535"/>
      <c r="E324" s="542"/>
      <c r="F324" s="529"/>
      <c r="G324" s="538"/>
      <c r="H324" s="331" t="s">
        <v>138</v>
      </c>
      <c r="I324" s="475"/>
      <c r="J324" s="535"/>
      <c r="K324" s="520"/>
      <c r="L324" s="11"/>
    </row>
    <row r="325" spans="1:12" customFormat="1" x14ac:dyDescent="0.25">
      <c r="A325" s="11"/>
      <c r="B325" s="20" t="s">
        <v>27</v>
      </c>
      <c r="C325" s="575"/>
      <c r="D325" s="575"/>
      <c r="E325" s="576"/>
      <c r="F325" s="575"/>
      <c r="G325" s="575"/>
      <c r="H325" s="575"/>
      <c r="I325" s="575"/>
      <c r="J325" s="575"/>
      <c r="K325" s="575"/>
      <c r="L325" s="11"/>
    </row>
    <row r="326" spans="1:12" customFormat="1" x14ac:dyDescent="0.25">
      <c r="A326" s="11"/>
      <c r="B326" s="20"/>
      <c r="C326" s="21">
        <v>1</v>
      </c>
      <c r="D326" s="533" t="s">
        <v>519</v>
      </c>
      <c r="E326" s="533"/>
      <c r="F326" s="533"/>
      <c r="G326" s="533"/>
      <c r="H326" s="533"/>
      <c r="I326" s="533"/>
      <c r="J326" s="533"/>
      <c r="K326" s="533"/>
      <c r="L326" s="11"/>
    </row>
    <row r="327" spans="1:12" customFormat="1" x14ac:dyDescent="0.25">
      <c r="A327" s="11"/>
      <c r="B327" s="20"/>
      <c r="C327" s="21"/>
      <c r="D327" s="533"/>
      <c r="E327" s="533"/>
      <c r="F327" s="533"/>
      <c r="G327" s="533"/>
      <c r="H327" s="533"/>
      <c r="I327" s="533"/>
      <c r="J327" s="533"/>
      <c r="K327" s="533"/>
      <c r="L327" s="11"/>
    </row>
    <row r="328" spans="1:12" customFormat="1" x14ac:dyDescent="0.25">
      <c r="A328" s="11"/>
      <c r="B328" s="20"/>
      <c r="C328" s="21"/>
      <c r="D328" s="533"/>
      <c r="E328" s="533"/>
      <c r="F328" s="533"/>
      <c r="G328" s="533"/>
      <c r="H328" s="533"/>
      <c r="I328" s="533"/>
      <c r="J328" s="533"/>
      <c r="K328" s="533"/>
      <c r="L328" s="11"/>
    </row>
    <row r="329" spans="1:12" customFormat="1" x14ac:dyDescent="0.25">
      <c r="A329" s="11"/>
      <c r="B329" s="20"/>
      <c r="C329" s="21"/>
      <c r="D329" s="533"/>
      <c r="E329" s="533"/>
      <c r="F329" s="533"/>
      <c r="G329" s="533"/>
      <c r="H329" s="533"/>
      <c r="I329" s="533"/>
      <c r="J329" s="533"/>
      <c r="K329" s="533"/>
      <c r="L329" s="11"/>
    </row>
    <row r="330" spans="1:12" customFormat="1" x14ac:dyDescent="0.25">
      <c r="A330" s="11"/>
      <c r="B330" s="11"/>
      <c r="C330" s="11"/>
      <c r="D330" s="579" t="s">
        <v>262</v>
      </c>
      <c r="E330" s="579"/>
      <c r="F330" s="533"/>
      <c r="G330" s="533"/>
      <c r="H330" s="533"/>
      <c r="I330" s="533"/>
      <c r="J330" s="533"/>
      <c r="K330" s="533"/>
      <c r="L330" s="11"/>
    </row>
    <row r="331" spans="1:12" customFormat="1" x14ac:dyDescent="0.25">
      <c r="A331" s="11"/>
      <c r="B331" s="11"/>
      <c r="C331" s="21">
        <f>+C305</f>
        <v>2</v>
      </c>
      <c r="D331" s="599" t="s">
        <v>502</v>
      </c>
      <c r="E331" s="599"/>
      <c r="F331" s="599"/>
      <c r="G331" s="599"/>
      <c r="H331" s="599"/>
      <c r="I331" s="599"/>
      <c r="J331" s="599"/>
      <c r="K331" s="599"/>
      <c r="L331" s="11"/>
    </row>
    <row r="332" spans="1:12" customFormat="1" x14ac:dyDescent="0.25">
      <c r="A332" s="11"/>
      <c r="B332" s="11"/>
      <c r="C332" s="21"/>
      <c r="D332" s="599"/>
      <c r="E332" s="599"/>
      <c r="F332" s="599"/>
      <c r="G332" s="599"/>
      <c r="H332" s="599"/>
      <c r="I332" s="599"/>
      <c r="J332" s="599"/>
      <c r="K332" s="599"/>
      <c r="L332" s="11"/>
    </row>
    <row r="333" spans="1:12" customFormat="1" x14ac:dyDescent="0.25">
      <c r="A333" s="11"/>
      <c r="B333" s="11"/>
      <c r="C333" s="11"/>
      <c r="D333" s="72"/>
      <c r="E333" s="607"/>
      <c r="F333" s="607"/>
      <c r="G333" s="607"/>
      <c r="H333" s="607"/>
      <c r="I333" s="607"/>
      <c r="J333" s="607"/>
      <c r="K333" s="607"/>
      <c r="L333" s="11"/>
    </row>
    <row r="334" spans="1:12" customFormat="1" x14ac:dyDescent="0.25">
      <c r="A334" s="11"/>
      <c r="B334" s="11"/>
      <c r="C334" s="11"/>
      <c r="D334" s="72"/>
      <c r="E334" s="607"/>
      <c r="F334" s="607"/>
      <c r="G334" s="607"/>
      <c r="H334" s="607"/>
      <c r="I334" s="607"/>
      <c r="J334" s="607"/>
      <c r="K334" s="607"/>
      <c r="L334" s="11"/>
    </row>
    <row r="335" spans="1:12" customFormat="1" x14ac:dyDescent="0.25">
      <c r="A335" s="11"/>
      <c r="B335" s="11"/>
      <c r="C335" s="11"/>
      <c r="D335" s="72"/>
      <c r="E335" s="607"/>
      <c r="F335" s="607"/>
      <c r="G335" s="607"/>
      <c r="H335" s="607"/>
      <c r="I335" s="607"/>
      <c r="J335" s="607"/>
      <c r="K335" s="607"/>
      <c r="L335" s="11"/>
    </row>
    <row r="336" spans="1:12" customFormat="1" ht="12.75" customHeight="1" x14ac:dyDescent="0.25">
      <c r="A336" s="11"/>
      <c r="B336" s="11"/>
      <c r="C336" s="25">
        <f>+C307</f>
        <v>3</v>
      </c>
      <c r="D336" s="598" t="s">
        <v>504</v>
      </c>
      <c r="E336" s="598"/>
      <c r="F336" s="598"/>
      <c r="G336" s="598"/>
      <c r="H336" s="598"/>
      <c r="I336" s="598"/>
      <c r="J336" s="598"/>
      <c r="K336" s="598"/>
      <c r="L336" s="11"/>
    </row>
    <row r="337" spans="1:12" customFormat="1" ht="12.75" customHeight="1" x14ac:dyDescent="0.25">
      <c r="A337" s="45"/>
      <c r="B337" s="11"/>
      <c r="C337" s="75"/>
      <c r="D337" s="11"/>
      <c r="E337" s="501"/>
      <c r="F337" s="501"/>
      <c r="G337" s="501"/>
      <c r="H337" s="501"/>
      <c r="I337" s="501"/>
      <c r="J337" s="501"/>
      <c r="K337" s="501"/>
      <c r="L337" s="11"/>
    </row>
    <row r="338" spans="1:12" customFormat="1" ht="12.75" customHeight="1" x14ac:dyDescent="0.25">
      <c r="A338" s="45"/>
      <c r="B338" s="11"/>
      <c r="C338" s="75"/>
      <c r="D338" s="330"/>
      <c r="E338" s="501"/>
      <c r="F338" s="501"/>
      <c r="G338" s="501"/>
      <c r="H338" s="501"/>
      <c r="I338" s="501"/>
      <c r="J338" s="501"/>
      <c r="K338" s="501"/>
      <c r="L338" s="11"/>
    </row>
    <row r="339" spans="1:12" customFormat="1" ht="12.75" customHeight="1" x14ac:dyDescent="0.25">
      <c r="A339" s="45"/>
      <c r="B339" s="11"/>
      <c r="C339" s="75"/>
      <c r="D339" s="330"/>
      <c r="E339" s="501"/>
      <c r="F339" s="501"/>
      <c r="G339" s="501"/>
      <c r="H339" s="501"/>
      <c r="I339" s="501"/>
      <c r="J339" s="501"/>
      <c r="K339" s="501"/>
      <c r="L339" s="11"/>
    </row>
    <row r="340" spans="1:12" customFormat="1" ht="12.75" customHeight="1" x14ac:dyDescent="0.25">
      <c r="A340" s="11"/>
      <c r="B340" s="11"/>
      <c r="C340" s="25">
        <f>+C309</f>
        <v>4</v>
      </c>
      <c r="D340" s="598" t="s">
        <v>199</v>
      </c>
      <c r="E340" s="598"/>
      <c r="F340" s="598"/>
      <c r="G340" s="598"/>
      <c r="H340" s="598"/>
      <c r="I340" s="598"/>
      <c r="J340" s="598"/>
      <c r="K340" s="598"/>
      <c r="L340" s="11"/>
    </row>
    <row r="341" spans="1:12" customFormat="1" ht="12.75" customHeight="1" x14ac:dyDescent="0.25">
      <c r="A341" s="11"/>
      <c r="B341" s="11"/>
      <c r="C341" s="25"/>
      <c r="D341" s="47"/>
      <c r="E341" s="501"/>
      <c r="F341" s="501"/>
      <c r="G341" s="501"/>
      <c r="H341" s="501"/>
      <c r="I341" s="501"/>
      <c r="J341" s="501"/>
      <c r="K341" s="501"/>
      <c r="L341" s="11"/>
    </row>
    <row r="342" spans="1:12" customFormat="1" ht="12.75" customHeight="1" x14ac:dyDescent="0.25">
      <c r="A342" s="11"/>
      <c r="B342" s="11"/>
      <c r="C342" s="25"/>
      <c r="D342" s="47"/>
      <c r="E342" s="501"/>
      <c r="F342" s="501"/>
      <c r="G342" s="501"/>
      <c r="H342" s="501"/>
      <c r="I342" s="501"/>
      <c r="J342" s="501"/>
      <c r="K342" s="501"/>
      <c r="L342" s="11"/>
    </row>
    <row r="343" spans="1:12" customFormat="1" ht="12.75" customHeight="1" x14ac:dyDescent="0.25">
      <c r="A343" s="11"/>
      <c r="B343" s="11"/>
      <c r="C343" s="25"/>
      <c r="D343" s="47"/>
      <c r="E343" s="501"/>
      <c r="F343" s="501"/>
      <c r="G343" s="501"/>
      <c r="H343" s="501"/>
      <c r="I343" s="501"/>
      <c r="J343" s="501"/>
      <c r="K343" s="501"/>
      <c r="L343" s="11"/>
    </row>
    <row r="344" spans="1:12" customFormat="1" ht="12.75" customHeight="1" x14ac:dyDescent="0.25">
      <c r="A344" s="11"/>
      <c r="B344" s="11"/>
      <c r="C344" s="75"/>
      <c r="D344" s="598" t="s">
        <v>516</v>
      </c>
      <c r="E344" s="598"/>
      <c r="F344" s="598"/>
      <c r="G344" s="598"/>
      <c r="H344" s="598"/>
      <c r="I344" s="598"/>
      <c r="J344" s="598"/>
      <c r="K344" s="598"/>
      <c r="L344" s="11"/>
    </row>
    <row r="345" spans="1:12" customFormat="1" ht="12.75" customHeight="1" x14ac:dyDescent="0.25">
      <c r="A345" s="11"/>
      <c r="B345" s="11"/>
      <c r="C345" s="75"/>
      <c r="D345" s="47"/>
      <c r="E345" s="501"/>
      <c r="F345" s="501"/>
      <c r="G345" s="501"/>
      <c r="H345" s="501"/>
      <c r="I345" s="501"/>
      <c r="J345" s="501"/>
      <c r="K345" s="501"/>
      <c r="L345" s="11"/>
    </row>
    <row r="346" spans="1:12" customFormat="1" ht="12.75" customHeight="1" x14ac:dyDescent="0.25">
      <c r="A346" s="11"/>
      <c r="B346" s="11"/>
      <c r="C346" s="75"/>
      <c r="D346" s="47"/>
      <c r="E346" s="501"/>
      <c r="F346" s="501"/>
      <c r="G346" s="501"/>
      <c r="H346" s="501"/>
      <c r="I346" s="501"/>
      <c r="J346" s="501"/>
      <c r="K346" s="501"/>
      <c r="L346" s="11"/>
    </row>
    <row r="347" spans="1:12" customFormat="1" ht="12.75" customHeight="1" x14ac:dyDescent="0.25">
      <c r="A347" s="11"/>
      <c r="B347" s="11"/>
      <c r="C347" s="75"/>
      <c r="D347" s="47"/>
      <c r="E347" s="501"/>
      <c r="F347" s="501"/>
      <c r="G347" s="501"/>
      <c r="H347" s="501"/>
      <c r="I347" s="501"/>
      <c r="J347" s="501"/>
      <c r="K347" s="501"/>
      <c r="L347" s="11"/>
    </row>
    <row r="348" spans="1:12" customFormat="1" ht="12.75" customHeight="1" x14ac:dyDescent="0.25">
      <c r="A348" s="11"/>
      <c r="B348" s="11"/>
      <c r="C348" s="25">
        <f>+C313</f>
        <v>5</v>
      </c>
      <c r="D348" s="533" t="s">
        <v>505</v>
      </c>
      <c r="E348" s="533"/>
      <c r="F348" s="533"/>
      <c r="G348" s="533"/>
      <c r="H348" s="533"/>
      <c r="I348" s="533"/>
      <c r="J348" s="533"/>
      <c r="K348" s="533"/>
      <c r="L348" s="11"/>
    </row>
    <row r="349" spans="1:12" customFormat="1" ht="12.75" customHeight="1" x14ac:dyDescent="0.25">
      <c r="A349" s="11"/>
      <c r="B349" s="11"/>
      <c r="C349" s="326"/>
      <c r="D349" s="533"/>
      <c r="E349" s="533"/>
      <c r="F349" s="533"/>
      <c r="G349" s="533"/>
      <c r="H349" s="533"/>
      <c r="I349" s="533"/>
      <c r="J349" s="533"/>
      <c r="K349" s="533"/>
      <c r="L349" s="11"/>
    </row>
    <row r="350" spans="1:12" customFormat="1" x14ac:dyDescent="0.25">
      <c r="A350" s="11"/>
      <c r="B350" s="11"/>
      <c r="C350" s="11"/>
      <c r="D350" s="533"/>
      <c r="E350" s="533"/>
      <c r="F350" s="533"/>
      <c r="G350" s="533"/>
      <c r="H350" s="533"/>
      <c r="I350" s="533"/>
      <c r="J350" s="533"/>
      <c r="K350" s="533"/>
      <c r="L350" s="11"/>
    </row>
    <row r="351" spans="1:12" customFormat="1" x14ac:dyDescent="0.25">
      <c r="A351" s="11"/>
      <c r="B351" s="11"/>
      <c r="C351" s="11"/>
      <c r="D351" s="500" t="s">
        <v>60</v>
      </c>
      <c r="E351" s="500"/>
      <c r="F351" s="500"/>
      <c r="G351" s="504"/>
      <c r="H351" s="504"/>
      <c r="I351" s="504"/>
      <c r="J351" s="504"/>
      <c r="K351" s="504"/>
      <c r="L351" s="11"/>
    </row>
    <row r="352" spans="1:12" customFormat="1" ht="12.75" customHeight="1" x14ac:dyDescent="0.25">
      <c r="A352" s="11"/>
      <c r="B352" s="11"/>
      <c r="C352" s="25">
        <f>+C315</f>
        <v>6</v>
      </c>
      <c r="D352" s="533" t="s">
        <v>453</v>
      </c>
      <c r="E352" s="533"/>
      <c r="F352" s="533"/>
      <c r="G352" s="533"/>
      <c r="H352" s="533"/>
      <c r="I352" s="533"/>
      <c r="J352" s="533"/>
      <c r="K352" s="533"/>
      <c r="L352" s="11"/>
    </row>
    <row r="353" spans="1:12" customFormat="1" x14ac:dyDescent="0.25">
      <c r="A353" s="11"/>
      <c r="B353" s="11"/>
      <c r="C353" s="11"/>
      <c r="D353" s="65"/>
      <c r="E353" s="596"/>
      <c r="F353" s="596"/>
      <c r="G353" s="596"/>
      <c r="H353" s="596"/>
      <c r="I353" s="596"/>
      <c r="J353" s="596"/>
      <c r="K353" s="596"/>
      <c r="L353" s="11"/>
    </row>
    <row r="354" spans="1:12" customFormat="1" x14ac:dyDescent="0.25">
      <c r="A354" s="11"/>
      <c r="B354" s="11"/>
      <c r="C354" s="11"/>
      <c r="D354" s="65"/>
      <c r="E354" s="596"/>
      <c r="F354" s="596"/>
      <c r="G354" s="596"/>
      <c r="H354" s="596"/>
      <c r="I354" s="596"/>
      <c r="J354" s="596"/>
      <c r="K354" s="596"/>
      <c r="L354" s="11"/>
    </row>
    <row r="355" spans="1:12" customFormat="1" ht="12.75" customHeight="1" x14ac:dyDescent="0.25">
      <c r="A355" s="11"/>
      <c r="B355" s="11"/>
      <c r="C355" s="25">
        <f>+C317</f>
        <v>7</v>
      </c>
      <c r="D355" s="610" t="s">
        <v>454</v>
      </c>
      <c r="E355" s="610"/>
      <c r="F355" s="610"/>
      <c r="G355" s="610"/>
      <c r="H355" s="610"/>
      <c r="I355" s="610"/>
      <c r="J355" s="610"/>
      <c r="K355" s="610"/>
      <c r="L355" s="11"/>
    </row>
    <row r="356" spans="1:12" customFormat="1" ht="12.75" customHeight="1" x14ac:dyDescent="0.25">
      <c r="A356" s="11"/>
      <c r="B356" s="335"/>
      <c r="C356" s="75"/>
      <c r="D356" s="330"/>
      <c r="E356" s="501"/>
      <c r="F356" s="501"/>
      <c r="G356" s="501"/>
      <c r="H356" s="501"/>
      <c r="I356" s="501"/>
      <c r="J356" s="501"/>
      <c r="K356" s="501"/>
      <c r="L356" s="11"/>
    </row>
    <row r="357" spans="1:12" customFormat="1" ht="12.75" customHeight="1" x14ac:dyDescent="0.25">
      <c r="A357" s="11"/>
      <c r="B357" s="335"/>
      <c r="C357" s="75"/>
      <c r="D357" s="330"/>
      <c r="E357" s="501"/>
      <c r="F357" s="501"/>
      <c r="G357" s="501"/>
      <c r="H357" s="501"/>
      <c r="I357" s="501"/>
      <c r="J357" s="501"/>
      <c r="K357" s="501"/>
      <c r="L357" s="11"/>
    </row>
    <row r="358" spans="1:12" customFormat="1" ht="12.75" customHeight="1" x14ac:dyDescent="0.25">
      <c r="A358" s="11"/>
      <c r="B358" s="335"/>
      <c r="C358" s="75"/>
      <c r="D358" s="330"/>
      <c r="E358" s="501"/>
      <c r="F358" s="501"/>
      <c r="G358" s="501"/>
      <c r="H358" s="501"/>
      <c r="I358" s="501"/>
      <c r="J358" s="501"/>
      <c r="K358" s="501"/>
      <c r="L358" s="11"/>
    </row>
    <row r="359" spans="1:12" customFormat="1" ht="12.75" customHeight="1" x14ac:dyDescent="0.25">
      <c r="A359" s="11"/>
      <c r="B359" s="11"/>
      <c r="C359" s="25">
        <f>+C323</f>
        <v>8</v>
      </c>
      <c r="D359" s="533" t="s">
        <v>507</v>
      </c>
      <c r="E359" s="533"/>
      <c r="F359" s="533"/>
      <c r="G359" s="533"/>
      <c r="H359" s="533"/>
      <c r="I359" s="533"/>
      <c r="J359" s="533"/>
      <c r="K359" s="533"/>
      <c r="L359" s="11"/>
    </row>
    <row r="360" spans="1:12" customFormat="1" x14ac:dyDescent="0.25">
      <c r="A360" s="11"/>
      <c r="B360" s="11"/>
      <c r="C360" s="11"/>
      <c r="D360" s="533"/>
      <c r="E360" s="533"/>
      <c r="F360" s="533"/>
      <c r="G360" s="533"/>
      <c r="H360" s="533"/>
      <c r="I360" s="533"/>
      <c r="J360" s="533"/>
      <c r="K360" s="533"/>
      <c r="L360" s="11"/>
    </row>
    <row r="361" spans="1:12" customFormat="1" x14ac:dyDescent="0.25">
      <c r="A361" s="11"/>
      <c r="B361" s="501"/>
      <c r="C361" s="501"/>
      <c r="D361" s="501"/>
      <c r="E361" s="501"/>
      <c r="F361" s="501"/>
      <c r="G361" s="501"/>
      <c r="H361" s="501"/>
      <c r="I361" s="501"/>
      <c r="J361" s="501"/>
      <c r="K361" s="501"/>
      <c r="L361" s="11"/>
    </row>
    <row r="362" spans="1:12" customFormat="1" x14ac:dyDescent="0.25">
      <c r="A362" s="11"/>
      <c r="B362" s="501"/>
      <c r="C362" s="501"/>
      <c r="D362" s="501"/>
      <c r="E362" s="501"/>
      <c r="F362" s="501"/>
      <c r="G362" s="501"/>
      <c r="H362" s="501"/>
      <c r="I362" s="501"/>
      <c r="J362" s="501"/>
      <c r="K362" s="501"/>
      <c r="L362" s="11"/>
    </row>
    <row r="363" spans="1:12" customFormat="1" x14ac:dyDescent="0.25">
      <c r="A363" s="11"/>
      <c r="B363" s="501"/>
      <c r="C363" s="501"/>
      <c r="D363" s="501"/>
      <c r="E363" s="501"/>
      <c r="F363" s="501"/>
      <c r="G363" s="501"/>
      <c r="H363" s="501"/>
      <c r="I363" s="501"/>
      <c r="J363" s="501"/>
      <c r="K363" s="501"/>
      <c r="L363" s="11"/>
    </row>
    <row r="364" spans="1:12" customFormat="1" x14ac:dyDescent="0.25">
      <c r="A364" s="11"/>
      <c r="B364" s="501"/>
      <c r="C364" s="501"/>
      <c r="D364" s="501"/>
      <c r="E364" s="501"/>
      <c r="F364" s="501"/>
      <c r="G364" s="501"/>
      <c r="H364" s="501"/>
      <c r="I364" s="501"/>
      <c r="J364" s="501"/>
      <c r="K364" s="501"/>
      <c r="L364" s="11"/>
    </row>
    <row r="365" spans="1:12" customFormat="1" x14ac:dyDescent="0.25">
      <c r="A365" s="11"/>
      <c r="B365" s="501"/>
      <c r="C365" s="501"/>
      <c r="D365" s="501"/>
      <c r="E365" s="501"/>
      <c r="F365" s="501"/>
      <c r="G365" s="501"/>
      <c r="H365" s="501"/>
      <c r="I365" s="501"/>
      <c r="J365" s="501"/>
      <c r="K365" s="501"/>
      <c r="L365" s="11"/>
    </row>
    <row r="366" spans="1:12" customFormat="1" x14ac:dyDescent="0.25">
      <c r="A366" s="11"/>
      <c r="B366" s="501"/>
      <c r="C366" s="501"/>
      <c r="D366" s="501"/>
      <c r="E366" s="501"/>
      <c r="F366" s="501"/>
      <c r="G366" s="501"/>
      <c r="H366" s="501"/>
      <c r="I366" s="501"/>
      <c r="J366" s="501"/>
      <c r="K366" s="501"/>
      <c r="L366" s="11"/>
    </row>
    <row r="367" spans="1:12" customFormat="1" x14ac:dyDescent="0.25">
      <c r="A367" s="11"/>
      <c r="B367" s="501"/>
      <c r="C367" s="501"/>
      <c r="D367" s="501"/>
      <c r="E367" s="501"/>
      <c r="F367" s="501"/>
      <c r="G367" s="501"/>
      <c r="H367" s="501"/>
      <c r="I367" s="501"/>
      <c r="J367" s="501"/>
      <c r="K367" s="501"/>
      <c r="L367" s="11"/>
    </row>
    <row r="368" spans="1:12" customFormat="1" x14ac:dyDescent="0.25">
      <c r="A368" s="11"/>
      <c r="B368" s="501"/>
      <c r="C368" s="501"/>
      <c r="D368" s="501"/>
      <c r="E368" s="501"/>
      <c r="F368" s="501"/>
      <c r="G368" s="501"/>
      <c r="H368" s="501"/>
      <c r="I368" s="501"/>
      <c r="J368" s="501"/>
      <c r="K368" s="501"/>
      <c r="L368" s="11"/>
    </row>
    <row r="369" spans="1:12" customFormat="1" x14ac:dyDescent="0.25">
      <c r="A369" s="11"/>
      <c r="B369" s="501"/>
      <c r="C369" s="501"/>
      <c r="D369" s="501"/>
      <c r="E369" s="501"/>
      <c r="F369" s="501"/>
      <c r="G369" s="501"/>
      <c r="H369" s="501"/>
      <c r="I369" s="501"/>
      <c r="J369" s="501"/>
      <c r="K369" s="501"/>
      <c r="L369" s="11"/>
    </row>
    <row r="370" spans="1:12" customFormat="1" x14ac:dyDescent="0.25">
      <c r="A370" s="11"/>
      <c r="B370" s="501"/>
      <c r="C370" s="501"/>
      <c r="D370" s="501"/>
      <c r="E370" s="501"/>
      <c r="F370" s="501"/>
      <c r="G370" s="501"/>
      <c r="H370" s="501"/>
      <c r="I370" s="501"/>
      <c r="J370" s="501"/>
      <c r="K370" s="501"/>
      <c r="L370" s="11"/>
    </row>
    <row r="371" spans="1:12" customFormat="1" x14ac:dyDescent="0.25">
      <c r="A371" s="11"/>
      <c r="B371" s="501"/>
      <c r="C371" s="501"/>
      <c r="D371" s="501"/>
      <c r="E371" s="501"/>
      <c r="F371" s="501"/>
      <c r="G371" s="501"/>
      <c r="H371" s="501"/>
      <c r="I371" s="501"/>
      <c r="J371" s="501"/>
      <c r="K371" s="501"/>
      <c r="L371" s="11"/>
    </row>
    <row r="372" spans="1:12" customFormat="1" x14ac:dyDescent="0.25">
      <c r="A372" s="11"/>
      <c r="B372" s="501"/>
      <c r="C372" s="501"/>
      <c r="D372" s="501"/>
      <c r="E372" s="501"/>
      <c r="F372" s="501"/>
      <c r="G372" s="501"/>
      <c r="H372" s="501"/>
      <c r="I372" s="501"/>
      <c r="J372" s="501"/>
      <c r="K372" s="501"/>
      <c r="L372" s="11"/>
    </row>
    <row r="373" spans="1:12" customFormat="1" x14ac:dyDescent="0.25">
      <c r="A373" s="11"/>
      <c r="B373" s="501"/>
      <c r="C373" s="501"/>
      <c r="D373" s="501"/>
      <c r="E373" s="501"/>
      <c r="F373" s="501"/>
      <c r="G373" s="501"/>
      <c r="H373" s="501"/>
      <c r="I373" s="501"/>
      <c r="J373" s="501"/>
      <c r="K373" s="501"/>
      <c r="L373" s="11"/>
    </row>
    <row r="374" spans="1:12" customFormat="1" x14ac:dyDescent="0.25">
      <c r="A374" s="11"/>
      <c r="B374" s="501"/>
      <c r="C374" s="501"/>
      <c r="D374" s="501"/>
      <c r="E374" s="501"/>
      <c r="F374" s="501"/>
      <c r="G374" s="501"/>
      <c r="H374" s="501"/>
      <c r="I374" s="501"/>
      <c r="J374" s="501"/>
      <c r="K374" s="501"/>
      <c r="L374" s="11"/>
    </row>
    <row r="375" spans="1:12" customFormat="1" x14ac:dyDescent="0.25">
      <c r="A375" s="11"/>
      <c r="B375" s="501"/>
      <c r="C375" s="501"/>
      <c r="D375" s="501"/>
      <c r="E375" s="501"/>
      <c r="F375" s="501"/>
      <c r="G375" s="501"/>
      <c r="H375" s="501"/>
      <c r="I375" s="501"/>
      <c r="J375" s="501"/>
      <c r="K375" s="501"/>
      <c r="L375" s="11"/>
    </row>
    <row r="376" spans="1:12" customFormat="1" x14ac:dyDescent="0.25">
      <c r="A376" s="11"/>
      <c r="B376" s="501"/>
      <c r="C376" s="501"/>
      <c r="D376" s="501"/>
      <c r="E376" s="501"/>
      <c r="F376" s="501"/>
      <c r="G376" s="501"/>
      <c r="H376" s="501"/>
      <c r="I376" s="501"/>
      <c r="J376" s="501"/>
      <c r="K376" s="501"/>
      <c r="L376" s="11"/>
    </row>
    <row r="377" spans="1:12" customFormat="1" x14ac:dyDescent="0.25">
      <c r="A377" s="11"/>
      <c r="B377" s="501"/>
      <c r="C377" s="501"/>
      <c r="D377" s="501"/>
      <c r="E377" s="501"/>
      <c r="F377" s="501"/>
      <c r="G377" s="501"/>
      <c r="H377" s="501"/>
      <c r="I377" s="501"/>
      <c r="J377" s="501"/>
      <c r="K377" s="501"/>
      <c r="L377" s="11"/>
    </row>
    <row r="378" spans="1:12" customFormat="1" x14ac:dyDescent="0.25">
      <c r="A378" s="11"/>
      <c r="B378" s="501"/>
      <c r="C378" s="501"/>
      <c r="D378" s="501"/>
      <c r="E378" s="501"/>
      <c r="F378" s="501"/>
      <c r="G378" s="501"/>
      <c r="H378" s="501"/>
      <c r="I378" s="501"/>
      <c r="J378" s="501"/>
      <c r="K378" s="501"/>
      <c r="L378" s="11"/>
    </row>
    <row r="379" spans="1:12" customFormat="1" x14ac:dyDescent="0.25">
      <c r="A379" s="11"/>
      <c r="B379" s="501"/>
      <c r="C379" s="501"/>
      <c r="D379" s="501"/>
      <c r="E379" s="501"/>
      <c r="F379" s="501"/>
      <c r="G379" s="501"/>
      <c r="H379" s="501"/>
      <c r="I379" s="501"/>
      <c r="J379" s="501"/>
      <c r="K379" s="501"/>
      <c r="L379" s="11"/>
    </row>
    <row r="380" spans="1:12" customFormat="1" x14ac:dyDescent="0.25">
      <c r="A380" s="11"/>
      <c r="B380" s="501"/>
      <c r="C380" s="501"/>
      <c r="D380" s="501"/>
      <c r="E380" s="501"/>
      <c r="F380" s="501"/>
      <c r="G380" s="501"/>
      <c r="H380" s="501"/>
      <c r="I380" s="501"/>
      <c r="J380" s="501"/>
      <c r="K380" s="501"/>
      <c r="L380" s="11"/>
    </row>
    <row r="381" spans="1:12" customFormat="1" x14ac:dyDescent="0.25">
      <c r="A381" s="11"/>
      <c r="B381" s="501"/>
      <c r="C381" s="501"/>
      <c r="D381" s="501"/>
      <c r="E381" s="501"/>
      <c r="F381" s="501"/>
      <c r="G381" s="501"/>
      <c r="H381" s="501"/>
      <c r="I381" s="501"/>
      <c r="J381" s="501"/>
      <c r="K381" s="501"/>
      <c r="L381" s="11"/>
    </row>
    <row r="382" spans="1:12" customFormat="1" x14ac:dyDescent="0.25">
      <c r="A382" s="11"/>
      <c r="B382" s="501"/>
      <c r="C382" s="501"/>
      <c r="D382" s="501"/>
      <c r="E382" s="501"/>
      <c r="F382" s="501"/>
      <c r="G382" s="501"/>
      <c r="H382" s="501"/>
      <c r="I382" s="501"/>
      <c r="J382" s="501"/>
      <c r="K382" s="501"/>
      <c r="L382" s="11"/>
    </row>
    <row r="383" spans="1:12" customFormat="1" x14ac:dyDescent="0.25">
      <c r="A383" s="11"/>
      <c r="B383" s="501"/>
      <c r="C383" s="501"/>
      <c r="D383" s="501"/>
      <c r="E383" s="501"/>
      <c r="F383" s="501"/>
      <c r="G383" s="501"/>
      <c r="H383" s="501"/>
      <c r="I383" s="501"/>
      <c r="J383" s="501"/>
      <c r="K383" s="501"/>
      <c r="L383" s="11"/>
    </row>
    <row r="384" spans="1:12" customFormat="1" x14ac:dyDescent="0.25">
      <c r="A384" s="11"/>
      <c r="B384" s="501"/>
      <c r="C384" s="501"/>
      <c r="D384" s="501"/>
      <c r="E384" s="501"/>
      <c r="F384" s="501"/>
      <c r="G384" s="501"/>
      <c r="H384" s="501"/>
      <c r="I384" s="501"/>
      <c r="J384" s="501"/>
      <c r="K384" s="501"/>
      <c r="L384" s="11"/>
    </row>
    <row r="385" spans="1:12" customFormat="1" x14ac:dyDescent="0.25">
      <c r="A385" s="11"/>
      <c r="B385" s="501"/>
      <c r="C385" s="501"/>
      <c r="D385" s="501"/>
      <c r="E385" s="501"/>
      <c r="F385" s="501"/>
      <c r="G385" s="501"/>
      <c r="H385" s="501"/>
      <c r="I385" s="501"/>
      <c r="J385" s="501"/>
      <c r="K385" s="501"/>
      <c r="L385" s="11"/>
    </row>
    <row r="386" spans="1:12" customFormat="1" x14ac:dyDescent="0.25">
      <c r="A386" s="11"/>
      <c r="B386" s="501"/>
      <c r="C386" s="501"/>
      <c r="D386" s="501"/>
      <c r="E386" s="501"/>
      <c r="F386" s="501"/>
      <c r="G386" s="501"/>
      <c r="H386" s="501"/>
      <c r="I386" s="501"/>
      <c r="J386" s="501"/>
      <c r="K386" s="501"/>
      <c r="L386" s="11"/>
    </row>
    <row r="387" spans="1:12" customFormat="1" x14ac:dyDescent="0.25">
      <c r="A387" s="11"/>
      <c r="B387" s="501"/>
      <c r="C387" s="501"/>
      <c r="D387" s="501"/>
      <c r="E387" s="501"/>
      <c r="F387" s="501"/>
      <c r="G387" s="501"/>
      <c r="H387" s="501"/>
      <c r="I387" s="501"/>
      <c r="J387" s="501"/>
      <c r="K387" s="501"/>
      <c r="L387" s="11"/>
    </row>
    <row r="388" spans="1:12" customFormat="1" x14ac:dyDescent="0.25">
      <c r="A388" s="11"/>
      <c r="B388" s="501"/>
      <c r="C388" s="501"/>
      <c r="D388" s="501"/>
      <c r="E388" s="501"/>
      <c r="F388" s="501"/>
      <c r="G388" s="501"/>
      <c r="H388" s="501"/>
      <c r="I388" s="501"/>
      <c r="J388" s="501"/>
      <c r="K388" s="501"/>
      <c r="L388" s="11"/>
    </row>
    <row r="389" spans="1:12" customFormat="1" x14ac:dyDescent="0.25">
      <c r="A389" s="11"/>
      <c r="B389" s="501"/>
      <c r="C389" s="501"/>
      <c r="D389" s="501"/>
      <c r="E389" s="501"/>
      <c r="F389" s="501"/>
      <c r="G389" s="501"/>
      <c r="H389" s="501"/>
      <c r="I389" s="501"/>
      <c r="J389" s="501"/>
      <c r="K389" s="501"/>
      <c r="L389" s="11"/>
    </row>
    <row r="390" spans="1:12" customFormat="1" x14ac:dyDescent="0.25">
      <c r="A390" s="11"/>
      <c r="B390" s="501"/>
      <c r="C390" s="501"/>
      <c r="D390" s="501"/>
      <c r="E390" s="501"/>
      <c r="F390" s="501"/>
      <c r="G390" s="501"/>
      <c r="H390" s="501"/>
      <c r="I390" s="501"/>
      <c r="J390" s="501"/>
      <c r="K390" s="501"/>
      <c r="L390" s="11"/>
    </row>
    <row r="391" spans="1:12" customFormat="1" x14ac:dyDescent="0.25">
      <c r="A391" s="11"/>
      <c r="B391" s="501"/>
      <c r="C391" s="501"/>
      <c r="D391" s="501"/>
      <c r="E391" s="501"/>
      <c r="F391" s="501"/>
      <c r="G391" s="501"/>
      <c r="H391" s="501"/>
      <c r="I391" s="501"/>
      <c r="J391" s="501"/>
      <c r="K391" s="501"/>
      <c r="L391" s="11"/>
    </row>
    <row r="392" spans="1:12" customFormat="1" x14ac:dyDescent="0.25">
      <c r="A392" s="11"/>
      <c r="B392" s="501"/>
      <c r="C392" s="501"/>
      <c r="D392" s="501"/>
      <c r="E392" s="501"/>
      <c r="F392" s="501"/>
      <c r="G392" s="501"/>
      <c r="H392" s="501"/>
      <c r="I392" s="501"/>
      <c r="J392" s="501"/>
      <c r="K392" s="501"/>
      <c r="L392" s="11"/>
    </row>
    <row r="393" spans="1:12" customFormat="1" x14ac:dyDescent="0.25">
      <c r="A393" s="11"/>
      <c r="B393" s="501"/>
      <c r="C393" s="501"/>
      <c r="D393" s="501"/>
      <c r="E393" s="501"/>
      <c r="F393" s="501"/>
      <c r="G393" s="501"/>
      <c r="H393" s="501"/>
      <c r="I393" s="501"/>
      <c r="J393" s="501"/>
      <c r="K393" s="501"/>
      <c r="L393" s="11"/>
    </row>
    <row r="394" spans="1:12" customFormat="1" x14ac:dyDescent="0.25">
      <c r="A394" s="11"/>
      <c r="B394" s="501"/>
      <c r="C394" s="501"/>
      <c r="D394" s="501"/>
      <c r="E394" s="501"/>
      <c r="F394" s="501"/>
      <c r="G394" s="501"/>
      <c r="H394" s="501"/>
      <c r="I394" s="501"/>
      <c r="J394" s="501"/>
      <c r="K394" s="501"/>
      <c r="L394" s="11"/>
    </row>
    <row r="395" spans="1:12" customFormat="1" x14ac:dyDescent="0.25">
      <c r="A395" s="11"/>
      <c r="B395" s="501"/>
      <c r="C395" s="501"/>
      <c r="D395" s="501"/>
      <c r="E395" s="501"/>
      <c r="F395" s="501"/>
      <c r="G395" s="501"/>
      <c r="H395" s="501"/>
      <c r="I395" s="501"/>
      <c r="J395" s="501"/>
      <c r="K395" s="501"/>
      <c r="L395" s="11"/>
    </row>
    <row r="396" spans="1:12" customFormat="1" ht="12.75" customHeight="1" x14ac:dyDescent="0.25">
      <c r="A396" s="11"/>
      <c r="B396" s="62" t="s">
        <v>230</v>
      </c>
      <c r="C396" s="11"/>
      <c r="D396" s="11"/>
      <c r="E396" s="11"/>
      <c r="F396" s="11"/>
      <c r="G396" s="11"/>
      <c r="H396" s="76" t="s">
        <v>178</v>
      </c>
      <c r="I396" s="11"/>
      <c r="J396" s="511" t="s">
        <v>206</v>
      </c>
      <c r="K396" s="511"/>
      <c r="L396" s="11"/>
    </row>
    <row r="397" spans="1:12" customFormat="1" ht="12.75" customHeight="1" x14ac:dyDescent="0.25">
      <c r="A397" s="11"/>
      <c r="B397" s="555">
        <v>119.1</v>
      </c>
      <c r="C397" s="523"/>
      <c r="D397" s="534" t="s">
        <v>183</v>
      </c>
      <c r="E397" s="541"/>
      <c r="F397" s="580"/>
      <c r="G397" s="537" t="s">
        <v>45</v>
      </c>
      <c r="H397" s="582" t="s">
        <v>544</v>
      </c>
      <c r="I397" s="544"/>
      <c r="J397" s="584" t="s">
        <v>533</v>
      </c>
      <c r="K397" s="544"/>
      <c r="L397" s="11"/>
    </row>
    <row r="398" spans="1:12" customFormat="1" ht="12.75" customHeight="1" x14ac:dyDescent="0.25">
      <c r="A398" s="11"/>
      <c r="B398" s="570"/>
      <c r="C398" s="562"/>
      <c r="D398" s="535"/>
      <c r="E398" s="542"/>
      <c r="F398" s="609"/>
      <c r="G398" s="553"/>
      <c r="H398" s="583"/>
      <c r="I398" s="526"/>
      <c r="J398" s="585"/>
      <c r="K398" s="527"/>
      <c r="L398" s="11"/>
    </row>
    <row r="399" spans="1:12" customFormat="1" ht="12.75" customHeight="1" x14ac:dyDescent="0.25">
      <c r="A399" s="11"/>
      <c r="B399" s="586">
        <f>B397*7.001*18390/0.935/1640</f>
        <v>9999.956468631799</v>
      </c>
      <c r="C399" s="587">
        <v>2</v>
      </c>
      <c r="D399" s="534" t="s">
        <v>184</v>
      </c>
      <c r="E399" s="541"/>
      <c r="F399" s="528"/>
      <c r="G399" s="537" t="s">
        <v>45</v>
      </c>
      <c r="H399" s="583"/>
      <c r="I399" s="526"/>
      <c r="J399" s="534" t="s">
        <v>518</v>
      </c>
      <c r="K399" s="629"/>
      <c r="L399" s="11"/>
    </row>
    <row r="400" spans="1:12" customFormat="1" ht="12.75" customHeight="1" x14ac:dyDescent="0.25">
      <c r="A400" s="11"/>
      <c r="B400" s="586"/>
      <c r="C400" s="587"/>
      <c r="D400" s="535"/>
      <c r="E400" s="542"/>
      <c r="F400" s="529"/>
      <c r="G400" s="538"/>
      <c r="H400" s="583"/>
      <c r="I400" s="526"/>
      <c r="J400" s="539"/>
      <c r="K400" s="630"/>
      <c r="L400" s="11"/>
    </row>
    <row r="401" spans="1:12" customFormat="1" ht="12.75" customHeight="1" x14ac:dyDescent="0.25">
      <c r="A401" s="11"/>
      <c r="B401" s="559">
        <f>B399*0.7457</f>
        <v>7456.9675386587332</v>
      </c>
      <c r="C401" s="523">
        <v>3</v>
      </c>
      <c r="D401" s="534" t="s">
        <v>185</v>
      </c>
      <c r="E401" s="541"/>
      <c r="F401" s="528"/>
      <c r="G401" s="537" t="s">
        <v>45</v>
      </c>
      <c r="H401" s="583"/>
      <c r="I401" s="526"/>
      <c r="J401" s="539"/>
      <c r="K401" s="630"/>
      <c r="L401" s="11"/>
    </row>
    <row r="402" spans="1:12" customFormat="1" ht="12.75" customHeight="1" x14ac:dyDescent="0.25">
      <c r="A402" s="11"/>
      <c r="B402" s="560"/>
      <c r="C402" s="520"/>
      <c r="D402" s="535"/>
      <c r="E402" s="542"/>
      <c r="F402" s="543"/>
      <c r="G402" s="553"/>
      <c r="H402" s="583"/>
      <c r="I402" s="526"/>
      <c r="J402" s="539"/>
      <c r="K402" s="630"/>
      <c r="L402" s="11"/>
    </row>
    <row r="403" spans="1:12" customFormat="1" ht="12.75" customHeight="1" x14ac:dyDescent="0.25">
      <c r="A403" s="11"/>
      <c r="B403" s="622">
        <f>3412/B399*100%</f>
        <v>0.34120148529674871</v>
      </c>
      <c r="C403" s="523">
        <v>4</v>
      </c>
      <c r="D403" s="534" t="s">
        <v>176</v>
      </c>
      <c r="E403" s="541"/>
      <c r="F403" s="528"/>
      <c r="G403" s="537" t="s">
        <v>45</v>
      </c>
      <c r="H403" s="530" t="s">
        <v>182</v>
      </c>
      <c r="I403" s="526"/>
      <c r="J403" s="539"/>
      <c r="K403" s="630"/>
      <c r="L403" s="11"/>
    </row>
    <row r="404" spans="1:12" customFormat="1" ht="12.75" customHeight="1" thickBot="1" x14ac:dyDescent="0.3">
      <c r="A404" s="11"/>
      <c r="B404" s="623"/>
      <c r="C404" s="563"/>
      <c r="D404" s="549"/>
      <c r="E404" s="550"/>
      <c r="F404" s="564"/>
      <c r="G404" s="567"/>
      <c r="H404" s="530"/>
      <c r="I404" s="526"/>
      <c r="J404" s="549"/>
      <c r="K404" s="631"/>
      <c r="L404" s="11"/>
    </row>
    <row r="405" spans="1:12" customFormat="1" ht="12.75" customHeight="1" x14ac:dyDescent="0.25">
      <c r="A405" s="11"/>
      <c r="B405" s="624">
        <v>4.57</v>
      </c>
      <c r="C405" s="562"/>
      <c r="D405" s="547" t="s">
        <v>177</v>
      </c>
      <c r="E405" s="548"/>
      <c r="F405" s="543"/>
      <c r="G405" s="552" t="s">
        <v>580</v>
      </c>
      <c r="H405" s="530"/>
      <c r="I405" s="526"/>
      <c r="J405" s="605" t="s">
        <v>561</v>
      </c>
      <c r="K405" s="606"/>
      <c r="L405" s="11"/>
    </row>
    <row r="406" spans="1:12" customFormat="1" ht="12.75" customHeight="1" x14ac:dyDescent="0.25">
      <c r="A406" s="11"/>
      <c r="B406" s="592"/>
      <c r="C406" s="520"/>
      <c r="D406" s="535"/>
      <c r="E406" s="542"/>
      <c r="F406" s="529"/>
      <c r="G406" s="538"/>
      <c r="H406" s="530"/>
      <c r="I406" s="526"/>
      <c r="J406" s="442"/>
      <c r="K406" s="438"/>
      <c r="L406" s="11"/>
    </row>
    <row r="407" spans="1:12" customFormat="1" ht="12.75" customHeight="1" x14ac:dyDescent="0.25">
      <c r="A407" s="11"/>
      <c r="B407" s="636">
        <v>15</v>
      </c>
      <c r="C407" s="523"/>
      <c r="D407" s="534" t="s">
        <v>543</v>
      </c>
      <c r="E407" s="541"/>
      <c r="F407" s="528"/>
      <c r="G407" s="537" t="s">
        <v>45</v>
      </c>
      <c r="H407" s="534" t="s">
        <v>592</v>
      </c>
      <c r="I407" s="528"/>
      <c r="J407" s="539" t="s">
        <v>593</v>
      </c>
      <c r="K407" s="536"/>
      <c r="L407" s="11"/>
    </row>
    <row r="408" spans="1:12" customFormat="1" ht="12.75" customHeight="1" x14ac:dyDescent="0.25">
      <c r="A408" s="11"/>
      <c r="B408" s="628"/>
      <c r="C408" s="520"/>
      <c r="D408" s="535"/>
      <c r="E408" s="542"/>
      <c r="F408" s="529"/>
      <c r="G408" s="553"/>
      <c r="H408" s="535"/>
      <c r="I408" s="529"/>
      <c r="J408" s="535"/>
      <c r="K408" s="475"/>
      <c r="L408" s="11"/>
    </row>
    <row r="409" spans="1:12" customFormat="1" ht="12.75" customHeight="1" x14ac:dyDescent="0.25">
      <c r="A409" s="11"/>
      <c r="B409" s="521">
        <f>15/(10^6)*(64/32)/18390*0.935*10^6</f>
        <v>1.5252854812398044E-3</v>
      </c>
      <c r="C409" s="523">
        <v>7</v>
      </c>
      <c r="D409" s="534" t="s">
        <v>59</v>
      </c>
      <c r="E409" s="541"/>
      <c r="F409" s="528"/>
      <c r="G409" s="553"/>
      <c r="H409" s="337"/>
      <c r="I409" s="528"/>
      <c r="J409" s="534" t="s">
        <v>568</v>
      </c>
      <c r="K409" s="71"/>
      <c r="L409" s="11"/>
    </row>
    <row r="410" spans="1:12" customFormat="1" ht="12.75" customHeight="1" x14ac:dyDescent="0.25">
      <c r="A410" s="11"/>
      <c r="B410" s="522"/>
      <c r="C410" s="520"/>
      <c r="D410" s="535"/>
      <c r="E410" s="542"/>
      <c r="F410" s="529"/>
      <c r="G410" s="538"/>
      <c r="H410" s="331"/>
      <c r="I410" s="529"/>
      <c r="J410" s="535"/>
      <c r="K410" s="71"/>
      <c r="L410" s="11"/>
    </row>
    <row r="411" spans="1:12" customFormat="1" ht="12.75" customHeight="1" x14ac:dyDescent="0.25">
      <c r="A411" s="11"/>
      <c r="B411" s="590">
        <v>0.13</v>
      </c>
      <c r="C411" s="523"/>
      <c r="D411" s="534" t="s">
        <v>542</v>
      </c>
      <c r="E411" s="541"/>
      <c r="F411" s="528"/>
      <c r="G411" s="537" t="s">
        <v>580</v>
      </c>
      <c r="H411" s="582" t="s">
        <v>545</v>
      </c>
      <c r="I411" s="528"/>
      <c r="J411" s="534" t="s">
        <v>548</v>
      </c>
      <c r="K411" s="528"/>
      <c r="L411" s="11"/>
    </row>
    <row r="412" spans="1:12" customFormat="1" ht="12.75" customHeight="1" x14ac:dyDescent="0.25">
      <c r="A412" s="11"/>
      <c r="B412" s="592"/>
      <c r="C412" s="520"/>
      <c r="D412" s="535"/>
      <c r="E412" s="542"/>
      <c r="F412" s="529"/>
      <c r="G412" s="538"/>
      <c r="H412" s="583"/>
      <c r="I412" s="543"/>
      <c r="J412" s="539"/>
      <c r="K412" s="543"/>
      <c r="L412" s="11"/>
    </row>
    <row r="413" spans="1:12" customFormat="1" ht="12.75" customHeight="1" x14ac:dyDescent="0.25">
      <c r="A413" s="11"/>
      <c r="B413" s="590">
        <v>0.51</v>
      </c>
      <c r="C413" s="523"/>
      <c r="D413" s="534" t="s">
        <v>546</v>
      </c>
      <c r="E413" s="541"/>
      <c r="F413" s="528"/>
      <c r="G413" s="537" t="s">
        <v>580</v>
      </c>
      <c r="H413" s="583"/>
      <c r="I413" s="543"/>
      <c r="J413" s="539"/>
      <c r="K413" s="543"/>
      <c r="L413" s="11"/>
    </row>
    <row r="414" spans="1:12" customFormat="1" ht="12.75" customHeight="1" x14ac:dyDescent="0.25">
      <c r="A414" s="11"/>
      <c r="B414" s="592"/>
      <c r="C414" s="520"/>
      <c r="D414" s="535"/>
      <c r="E414" s="542"/>
      <c r="F414" s="529"/>
      <c r="G414" s="538"/>
      <c r="H414" s="583"/>
      <c r="I414" s="543"/>
      <c r="J414" s="539"/>
      <c r="K414" s="543"/>
      <c r="L414" s="11"/>
    </row>
    <row r="415" spans="1:12" customFormat="1" ht="12.75" customHeight="1" x14ac:dyDescent="0.25">
      <c r="A415" s="11"/>
      <c r="B415" s="590">
        <v>0.26</v>
      </c>
      <c r="C415" s="523"/>
      <c r="D415" s="534" t="s">
        <v>547</v>
      </c>
      <c r="E415" s="541"/>
      <c r="F415" s="528"/>
      <c r="G415" s="537" t="s">
        <v>45</v>
      </c>
      <c r="H415" s="530" t="s">
        <v>182</v>
      </c>
      <c r="I415" s="543"/>
      <c r="J415" s="539"/>
      <c r="K415" s="543"/>
      <c r="L415" s="11"/>
    </row>
    <row r="416" spans="1:12" customFormat="1" ht="12.75" customHeight="1" x14ac:dyDescent="0.25">
      <c r="A416" s="11"/>
      <c r="B416" s="592"/>
      <c r="C416" s="520"/>
      <c r="D416" s="535"/>
      <c r="E416" s="542"/>
      <c r="F416" s="529"/>
      <c r="G416" s="538"/>
      <c r="H416" s="531"/>
      <c r="I416" s="529"/>
      <c r="J416" s="535"/>
      <c r="K416" s="529"/>
      <c r="L416" s="11"/>
    </row>
    <row r="417" spans="1:12" customFormat="1" ht="12.75" customHeight="1" x14ac:dyDescent="0.25">
      <c r="A417" s="11"/>
      <c r="B417" s="590">
        <v>161.41999999999999</v>
      </c>
      <c r="C417" s="523"/>
      <c r="D417" s="534" t="s">
        <v>63</v>
      </c>
      <c r="E417" s="541"/>
      <c r="F417" s="528"/>
      <c r="G417" s="537" t="s">
        <v>579</v>
      </c>
      <c r="H417" s="534" t="s">
        <v>572</v>
      </c>
      <c r="I417" s="536"/>
      <c r="J417" s="597" t="s">
        <v>212</v>
      </c>
      <c r="K417" s="523"/>
      <c r="L417" s="11"/>
    </row>
    <row r="418" spans="1:12" customFormat="1" ht="12.75" customHeight="1" x14ac:dyDescent="0.25">
      <c r="A418" s="11"/>
      <c r="B418" s="591"/>
      <c r="C418" s="562"/>
      <c r="D418" s="539"/>
      <c r="E418" s="593"/>
      <c r="F418" s="543"/>
      <c r="G418" s="553"/>
      <c r="H418" s="539"/>
      <c r="I418" s="497"/>
      <c r="J418" s="539"/>
      <c r="K418" s="562"/>
      <c r="L418" s="11"/>
    </row>
    <row r="419" spans="1:12" customFormat="1" ht="12.75" customHeight="1" x14ac:dyDescent="0.25">
      <c r="A419" s="11"/>
      <c r="B419" s="592"/>
      <c r="C419" s="520"/>
      <c r="D419" s="535"/>
      <c r="E419" s="542"/>
      <c r="F419" s="529"/>
      <c r="G419" s="538"/>
      <c r="H419" s="535"/>
      <c r="I419" s="475"/>
      <c r="J419" s="535"/>
      <c r="K419" s="520"/>
      <c r="L419" s="11"/>
    </row>
    <row r="420" spans="1:12" customFormat="1" x14ac:dyDescent="0.25">
      <c r="A420" s="11"/>
      <c r="B420" s="20" t="s">
        <v>27</v>
      </c>
      <c r="C420" s="575"/>
      <c r="D420" s="575"/>
      <c r="E420" s="576"/>
      <c r="F420" s="575"/>
      <c r="G420" s="575"/>
      <c r="H420" s="575"/>
      <c r="I420" s="575"/>
      <c r="J420" s="575"/>
      <c r="K420" s="575"/>
      <c r="L420" s="11"/>
    </row>
    <row r="421" spans="1:12" customFormat="1" x14ac:dyDescent="0.25">
      <c r="A421" s="11"/>
      <c r="B421" s="20"/>
      <c r="C421" s="21">
        <v>1</v>
      </c>
      <c r="D421" s="533" t="s">
        <v>559</v>
      </c>
      <c r="E421" s="533"/>
      <c r="F421" s="533"/>
      <c r="G421" s="533"/>
      <c r="H421" s="533"/>
      <c r="I421" s="533"/>
      <c r="J421" s="533"/>
      <c r="K421" s="533"/>
      <c r="L421" s="11"/>
    </row>
    <row r="422" spans="1:12" customFormat="1" x14ac:dyDescent="0.25">
      <c r="A422" s="11"/>
      <c r="B422" s="20"/>
      <c r="C422" s="21"/>
      <c r="D422" s="533"/>
      <c r="E422" s="533"/>
      <c r="F422" s="533"/>
      <c r="G422" s="533"/>
      <c r="H422" s="533"/>
      <c r="I422" s="533"/>
      <c r="J422" s="533"/>
      <c r="K422" s="533"/>
      <c r="L422" s="11"/>
    </row>
    <row r="423" spans="1:12" customFormat="1" x14ac:dyDescent="0.25">
      <c r="A423" s="11"/>
      <c r="B423" s="20"/>
      <c r="C423" s="11"/>
      <c r="D423" s="533"/>
      <c r="E423" s="533"/>
      <c r="F423" s="533"/>
      <c r="G423" s="533"/>
      <c r="H423" s="533"/>
      <c r="I423" s="533"/>
      <c r="J423" s="533"/>
      <c r="K423" s="533"/>
      <c r="L423" s="11"/>
    </row>
    <row r="424" spans="1:12" customFormat="1" x14ac:dyDescent="0.25">
      <c r="A424" s="11"/>
      <c r="B424" s="11"/>
      <c r="C424" s="21">
        <f>+C399</f>
        <v>2</v>
      </c>
      <c r="D424" s="599" t="s">
        <v>558</v>
      </c>
      <c r="E424" s="599"/>
      <c r="F424" s="599"/>
      <c r="G424" s="599"/>
      <c r="H424" s="599"/>
      <c r="I424" s="599"/>
      <c r="J424" s="599"/>
      <c r="K424" s="599"/>
      <c r="L424" s="11"/>
    </row>
    <row r="425" spans="1:12" customFormat="1" x14ac:dyDescent="0.25">
      <c r="A425" s="11"/>
      <c r="B425" s="11"/>
      <c r="C425" s="21"/>
      <c r="D425" s="599"/>
      <c r="E425" s="599"/>
      <c r="F425" s="599"/>
      <c r="G425" s="599"/>
      <c r="H425" s="599"/>
      <c r="I425" s="599"/>
      <c r="J425" s="599"/>
      <c r="K425" s="599"/>
      <c r="L425" s="11"/>
    </row>
    <row r="426" spans="1:12" customFormat="1" x14ac:dyDescent="0.25">
      <c r="A426" s="11"/>
      <c r="B426" s="11"/>
      <c r="C426" s="21"/>
      <c r="D426" s="73"/>
      <c r="E426" s="594"/>
      <c r="F426" s="594"/>
      <c r="G426" s="594"/>
      <c r="H426" s="594"/>
      <c r="I426" s="594"/>
      <c r="J426" s="594"/>
      <c r="K426" s="594"/>
      <c r="L426" s="11"/>
    </row>
    <row r="427" spans="1:12" customFormat="1" x14ac:dyDescent="0.25">
      <c r="A427" s="11"/>
      <c r="B427" s="11"/>
      <c r="C427" s="21"/>
      <c r="D427" s="73"/>
      <c r="E427" s="594"/>
      <c r="F427" s="594"/>
      <c r="G427" s="594"/>
      <c r="H427" s="594"/>
      <c r="I427" s="594"/>
      <c r="J427" s="594"/>
      <c r="K427" s="594"/>
      <c r="L427" s="11"/>
    </row>
    <row r="428" spans="1:12" customFormat="1" x14ac:dyDescent="0.25">
      <c r="A428" s="11"/>
      <c r="B428" s="11"/>
      <c r="C428" s="21"/>
      <c r="D428" s="73"/>
      <c r="E428" s="594"/>
      <c r="F428" s="594"/>
      <c r="G428" s="594"/>
      <c r="H428" s="594"/>
      <c r="I428" s="594"/>
      <c r="J428" s="594"/>
      <c r="K428" s="594"/>
      <c r="L428" s="11"/>
    </row>
    <row r="429" spans="1:12" customFormat="1" ht="12.75" customHeight="1" x14ac:dyDescent="0.25">
      <c r="A429" s="11"/>
      <c r="B429" s="11"/>
      <c r="C429" s="25">
        <f>+C401</f>
        <v>3</v>
      </c>
      <c r="D429" s="598" t="s">
        <v>504</v>
      </c>
      <c r="E429" s="598"/>
      <c r="F429" s="598"/>
      <c r="G429" s="598"/>
      <c r="H429" s="598"/>
      <c r="I429" s="598"/>
      <c r="J429" s="598"/>
      <c r="K429" s="598"/>
      <c r="L429" s="11"/>
    </row>
    <row r="430" spans="1:12" customFormat="1" x14ac:dyDescent="0.25">
      <c r="A430" s="11"/>
      <c r="B430" s="11"/>
      <c r="C430" s="75"/>
      <c r="D430" s="65"/>
      <c r="E430" s="596"/>
      <c r="F430" s="596"/>
      <c r="G430" s="596"/>
      <c r="H430" s="596"/>
      <c r="I430" s="596"/>
      <c r="J430" s="596"/>
      <c r="K430" s="596"/>
      <c r="L430" s="11"/>
    </row>
    <row r="431" spans="1:12" customFormat="1" x14ac:dyDescent="0.25">
      <c r="A431" s="11"/>
      <c r="B431" s="11"/>
      <c r="C431" s="75"/>
      <c r="D431" s="65"/>
      <c r="E431" s="596"/>
      <c r="F431" s="596"/>
      <c r="G431" s="596"/>
      <c r="H431" s="596"/>
      <c r="I431" s="596"/>
      <c r="J431" s="596"/>
      <c r="K431" s="596"/>
      <c r="L431" s="11"/>
    </row>
    <row r="432" spans="1:12" customFormat="1" x14ac:dyDescent="0.25">
      <c r="A432" s="11"/>
      <c r="B432" s="11"/>
      <c r="C432" s="75"/>
      <c r="D432" s="65"/>
      <c r="E432" s="596"/>
      <c r="F432" s="596"/>
      <c r="G432" s="596"/>
      <c r="H432" s="596"/>
      <c r="I432" s="596"/>
      <c r="J432" s="596"/>
      <c r="K432" s="596"/>
      <c r="L432" s="11"/>
    </row>
    <row r="433" spans="1:12" customFormat="1" ht="12.75" customHeight="1" x14ac:dyDescent="0.25">
      <c r="A433" s="11"/>
      <c r="B433" s="11"/>
      <c r="C433" s="25">
        <f>+C403</f>
        <v>4</v>
      </c>
      <c r="D433" s="598" t="s">
        <v>199</v>
      </c>
      <c r="E433" s="598"/>
      <c r="F433" s="598"/>
      <c r="G433" s="598"/>
      <c r="H433" s="598"/>
      <c r="I433" s="598"/>
      <c r="J433" s="598"/>
      <c r="K433" s="598"/>
      <c r="L433" s="11"/>
    </row>
    <row r="434" spans="1:12" customFormat="1" ht="12.75" customHeight="1" x14ac:dyDescent="0.25">
      <c r="A434" s="11"/>
      <c r="B434" s="11"/>
      <c r="C434" s="25"/>
      <c r="D434" s="47"/>
      <c r="E434" s="501"/>
      <c r="F434" s="501"/>
      <c r="G434" s="501"/>
      <c r="H434" s="501"/>
      <c r="I434" s="501"/>
      <c r="J434" s="501"/>
      <c r="K434" s="501"/>
      <c r="L434" s="11"/>
    </row>
    <row r="435" spans="1:12" customFormat="1" ht="12.75" customHeight="1" x14ac:dyDescent="0.25">
      <c r="A435" s="11"/>
      <c r="B435" s="11"/>
      <c r="C435" s="25"/>
      <c r="D435" s="47"/>
      <c r="E435" s="501"/>
      <c r="F435" s="501"/>
      <c r="G435" s="501"/>
      <c r="H435" s="501"/>
      <c r="I435" s="501"/>
      <c r="J435" s="501"/>
      <c r="K435" s="501"/>
      <c r="L435" s="11"/>
    </row>
    <row r="436" spans="1:12" customFormat="1" ht="12.75" customHeight="1" x14ac:dyDescent="0.25">
      <c r="A436" s="11"/>
      <c r="B436" s="11"/>
      <c r="C436" s="25"/>
      <c r="D436" s="47"/>
      <c r="E436" s="501"/>
      <c r="F436" s="501"/>
      <c r="G436" s="501"/>
      <c r="H436" s="501"/>
      <c r="I436" s="501"/>
      <c r="J436" s="501"/>
      <c r="K436" s="501"/>
      <c r="L436" s="11"/>
    </row>
    <row r="437" spans="1:12" customFormat="1" ht="12.75" customHeight="1" x14ac:dyDescent="0.25">
      <c r="A437" s="11"/>
      <c r="B437" s="11"/>
      <c r="C437" s="25">
        <v>5</v>
      </c>
      <c r="D437" s="577" t="s">
        <v>560</v>
      </c>
      <c r="E437" s="577"/>
      <c r="F437" s="577"/>
      <c r="G437" s="577"/>
      <c r="H437" s="577"/>
      <c r="I437" s="577"/>
      <c r="J437" s="577"/>
      <c r="K437" s="577"/>
      <c r="L437" s="11"/>
    </row>
    <row r="438" spans="1:12" customFormat="1" ht="12.75" customHeight="1" x14ac:dyDescent="0.25">
      <c r="A438" s="11"/>
      <c r="B438" s="11"/>
      <c r="C438" s="25"/>
      <c r="D438" s="47" t="s">
        <v>535</v>
      </c>
      <c r="E438" s="47"/>
      <c r="F438" s="47"/>
      <c r="G438" s="499" t="s">
        <v>534</v>
      </c>
      <c r="H438" s="577"/>
      <c r="I438" s="577"/>
      <c r="J438" s="577"/>
      <c r="K438" s="577"/>
      <c r="L438" s="11"/>
    </row>
    <row r="439" spans="1:12" customFormat="1" ht="12.75" customHeight="1" x14ac:dyDescent="0.25">
      <c r="A439" s="11"/>
      <c r="B439" s="11"/>
      <c r="C439" s="25">
        <v>6</v>
      </c>
      <c r="D439" s="11" t="s">
        <v>594</v>
      </c>
      <c r="E439" s="74"/>
      <c r="F439" s="74"/>
      <c r="G439" s="595" t="s">
        <v>541</v>
      </c>
      <c r="H439" s="595"/>
      <c r="I439" s="595"/>
      <c r="J439" s="595"/>
      <c r="K439" s="595"/>
      <c r="L439" s="11"/>
    </row>
    <row r="440" spans="1:12" customFormat="1" ht="13.8" x14ac:dyDescent="0.3">
      <c r="A440" s="11"/>
      <c r="B440" s="11"/>
      <c r="C440" s="25">
        <f>+C409</f>
        <v>7</v>
      </c>
      <c r="D440" s="577" t="s">
        <v>569</v>
      </c>
      <c r="E440" s="577"/>
      <c r="F440" s="577"/>
      <c r="G440" s="577"/>
      <c r="H440" s="577"/>
      <c r="I440" s="577"/>
      <c r="J440" s="577"/>
      <c r="K440" s="577"/>
      <c r="L440" s="11"/>
    </row>
    <row r="441" spans="1:12" customFormat="1" x14ac:dyDescent="0.25">
      <c r="A441" s="11"/>
      <c r="B441" s="11"/>
      <c r="C441" s="11"/>
      <c r="D441" s="11"/>
      <c r="E441" s="501"/>
      <c r="F441" s="501"/>
      <c r="G441" s="501"/>
      <c r="H441" s="501"/>
      <c r="I441" s="501"/>
      <c r="J441" s="501"/>
      <c r="K441" s="501"/>
      <c r="L441" s="11"/>
    </row>
    <row r="442" spans="1:12" customFormat="1" x14ac:dyDescent="0.25">
      <c r="A442" s="11"/>
      <c r="B442" s="11"/>
      <c r="C442" s="11"/>
      <c r="D442" s="11"/>
      <c r="E442" s="501"/>
      <c r="F442" s="501"/>
      <c r="G442" s="501"/>
      <c r="H442" s="501"/>
      <c r="I442" s="501"/>
      <c r="J442" s="501"/>
      <c r="K442" s="501"/>
      <c r="L442" s="11"/>
    </row>
    <row r="443" spans="1:12" customFormat="1" x14ac:dyDescent="0.25">
      <c r="A443" s="11"/>
      <c r="B443" s="11"/>
      <c r="C443" s="11"/>
      <c r="D443" s="11"/>
      <c r="E443" s="501"/>
      <c r="F443" s="501"/>
      <c r="G443" s="501"/>
      <c r="H443" s="501"/>
      <c r="I443" s="501"/>
      <c r="J443" s="501"/>
      <c r="K443" s="501"/>
      <c r="L443" s="11"/>
    </row>
    <row r="444" spans="1:12" customFormat="1" x14ac:dyDescent="0.25">
      <c r="A444" s="11"/>
      <c r="B444" s="11"/>
      <c r="C444" s="11"/>
      <c r="D444" s="11"/>
      <c r="E444" s="11"/>
      <c r="F444" s="11"/>
      <c r="G444" s="11"/>
      <c r="H444" s="11"/>
      <c r="I444" s="11"/>
      <c r="J444" s="11"/>
      <c r="K444" s="11"/>
      <c r="L444" s="11"/>
    </row>
    <row r="445" spans="1:12" customFormat="1" ht="12.75" customHeight="1" x14ac:dyDescent="0.25">
      <c r="A445" s="11"/>
      <c r="B445" s="62" t="s">
        <v>549</v>
      </c>
      <c r="C445" s="11"/>
      <c r="D445" s="11"/>
      <c r="E445" s="11"/>
      <c r="F445" s="11"/>
      <c r="G445" s="11"/>
      <c r="H445" s="76" t="s">
        <v>550</v>
      </c>
      <c r="I445" s="11"/>
      <c r="J445" s="511" t="s">
        <v>556</v>
      </c>
      <c r="K445" s="511"/>
      <c r="L445" s="11"/>
    </row>
    <row r="446" spans="1:12" customFormat="1" ht="12.75" customHeight="1" x14ac:dyDescent="0.25">
      <c r="A446" s="11"/>
      <c r="B446" s="555">
        <v>142.19999999999999</v>
      </c>
      <c r="C446" s="523"/>
      <c r="D446" s="534" t="s">
        <v>183</v>
      </c>
      <c r="E446" s="541"/>
      <c r="F446" s="580"/>
      <c r="G446" s="537" t="s">
        <v>45</v>
      </c>
      <c r="H446" s="582" t="s">
        <v>551</v>
      </c>
      <c r="I446" s="544"/>
      <c r="J446" s="584" t="s">
        <v>552</v>
      </c>
      <c r="K446" s="544"/>
      <c r="L446" s="11"/>
    </row>
    <row r="447" spans="1:12" customFormat="1" ht="12.75" customHeight="1" x14ac:dyDescent="0.25">
      <c r="A447" s="11"/>
      <c r="B447" s="570"/>
      <c r="C447" s="562"/>
      <c r="D447" s="535"/>
      <c r="E447" s="542"/>
      <c r="F447" s="581"/>
      <c r="G447" s="553"/>
      <c r="H447" s="583"/>
      <c r="I447" s="526"/>
      <c r="J447" s="585"/>
      <c r="K447" s="527"/>
      <c r="L447" s="11"/>
    </row>
    <row r="448" spans="1:12" customFormat="1" ht="12.75" customHeight="1" x14ac:dyDescent="0.25">
      <c r="A448" s="11"/>
      <c r="B448" s="586">
        <f>B446*7.001*18390/0.935/2050</f>
        <v>9551.595700013042</v>
      </c>
      <c r="C448" s="587">
        <v>2</v>
      </c>
      <c r="D448" s="534" t="s">
        <v>184</v>
      </c>
      <c r="E448" s="541"/>
      <c r="F448" s="528"/>
      <c r="G448" s="537" t="s">
        <v>45</v>
      </c>
      <c r="H448" s="583"/>
      <c r="I448" s="526"/>
      <c r="J448" s="534" t="s">
        <v>553</v>
      </c>
      <c r="K448" s="629"/>
      <c r="L448" s="11"/>
    </row>
    <row r="449" spans="1:12" customFormat="1" ht="12.75" customHeight="1" x14ac:dyDescent="0.25">
      <c r="A449" s="11"/>
      <c r="B449" s="586"/>
      <c r="C449" s="587"/>
      <c r="D449" s="535"/>
      <c r="E449" s="542"/>
      <c r="F449" s="529"/>
      <c r="G449" s="538"/>
      <c r="H449" s="583"/>
      <c r="I449" s="526"/>
      <c r="J449" s="539"/>
      <c r="K449" s="630"/>
      <c r="L449" s="11"/>
    </row>
    <row r="450" spans="1:12" customFormat="1" ht="12.75" customHeight="1" x14ac:dyDescent="0.25">
      <c r="A450" s="11"/>
      <c r="B450" s="559">
        <f>B448*0.7457</f>
        <v>7122.6249134997261</v>
      </c>
      <c r="C450" s="523">
        <v>3</v>
      </c>
      <c r="D450" s="534" t="s">
        <v>185</v>
      </c>
      <c r="E450" s="541"/>
      <c r="F450" s="528"/>
      <c r="G450" s="537" t="s">
        <v>45</v>
      </c>
      <c r="H450" s="583"/>
      <c r="I450" s="526"/>
      <c r="J450" s="539"/>
      <c r="K450" s="630"/>
      <c r="L450" s="11"/>
    </row>
    <row r="451" spans="1:12" customFormat="1" ht="12.75" customHeight="1" x14ac:dyDescent="0.25">
      <c r="A451" s="11"/>
      <c r="B451" s="560"/>
      <c r="C451" s="520"/>
      <c r="D451" s="535"/>
      <c r="E451" s="542"/>
      <c r="F451" s="543"/>
      <c r="G451" s="553"/>
      <c r="H451" s="583"/>
      <c r="I451" s="526"/>
      <c r="J451" s="539"/>
      <c r="K451" s="630"/>
      <c r="L451" s="11"/>
    </row>
    <row r="452" spans="1:12" customFormat="1" ht="12.75" customHeight="1" x14ac:dyDescent="0.25">
      <c r="A452" s="11"/>
      <c r="B452" s="622">
        <f>3412/B448*100%</f>
        <v>0.35721779974369533</v>
      </c>
      <c r="C452" s="523">
        <v>4</v>
      </c>
      <c r="D452" s="534" t="s">
        <v>176</v>
      </c>
      <c r="E452" s="541"/>
      <c r="F452" s="528"/>
      <c r="G452" s="537" t="s">
        <v>45</v>
      </c>
      <c r="H452" s="530" t="s">
        <v>537</v>
      </c>
      <c r="I452" s="526"/>
      <c r="J452" s="539"/>
      <c r="K452" s="630"/>
      <c r="L452" s="11"/>
    </row>
    <row r="453" spans="1:12" customFormat="1" ht="12.75" customHeight="1" thickBot="1" x14ac:dyDescent="0.3">
      <c r="A453" s="11"/>
      <c r="B453" s="623"/>
      <c r="C453" s="563"/>
      <c r="D453" s="549"/>
      <c r="E453" s="550"/>
      <c r="F453" s="564"/>
      <c r="G453" s="567"/>
      <c r="H453" s="530"/>
      <c r="I453" s="526"/>
      <c r="J453" s="549"/>
      <c r="K453" s="631"/>
      <c r="L453" s="11"/>
    </row>
    <row r="454" spans="1:12" customFormat="1" ht="12.75" customHeight="1" x14ac:dyDescent="0.25">
      <c r="A454" s="11"/>
      <c r="B454" s="613">
        <v>0.4</v>
      </c>
      <c r="C454" s="562"/>
      <c r="D454" s="547" t="s">
        <v>177</v>
      </c>
      <c r="E454" s="548"/>
      <c r="F454" s="543"/>
      <c r="G454" s="552" t="s">
        <v>580</v>
      </c>
      <c r="H454" s="530"/>
      <c r="I454" s="526"/>
      <c r="J454" s="605" t="s">
        <v>566</v>
      </c>
      <c r="K454" s="606"/>
      <c r="L454" s="11"/>
    </row>
    <row r="455" spans="1:12" customFormat="1" ht="12.75" customHeight="1" x14ac:dyDescent="0.25">
      <c r="A455" s="11"/>
      <c r="B455" s="614"/>
      <c r="C455" s="520"/>
      <c r="D455" s="535"/>
      <c r="E455" s="542"/>
      <c r="F455" s="529"/>
      <c r="G455" s="538"/>
      <c r="H455" s="530"/>
      <c r="I455" s="526"/>
      <c r="J455" s="442"/>
      <c r="K455" s="438"/>
      <c r="L455" s="11"/>
    </row>
    <row r="456" spans="1:12" customFormat="1" ht="12.75" customHeight="1" x14ac:dyDescent="0.25">
      <c r="A456" s="11"/>
      <c r="B456" s="636">
        <v>15</v>
      </c>
      <c r="C456" s="523"/>
      <c r="D456" s="534" t="s">
        <v>543</v>
      </c>
      <c r="E456" s="541"/>
      <c r="F456" s="528"/>
      <c r="G456" s="537" t="s">
        <v>45</v>
      </c>
      <c r="H456" s="534" t="s">
        <v>592</v>
      </c>
      <c r="I456" s="528"/>
      <c r="J456" s="539" t="s">
        <v>593</v>
      </c>
      <c r="K456" s="536"/>
      <c r="L456" s="11"/>
    </row>
    <row r="457" spans="1:12" customFormat="1" ht="12.75" customHeight="1" x14ac:dyDescent="0.25">
      <c r="A457" s="11"/>
      <c r="B457" s="628"/>
      <c r="C457" s="520"/>
      <c r="D457" s="535"/>
      <c r="E457" s="542"/>
      <c r="F457" s="529"/>
      <c r="G457" s="553"/>
      <c r="H457" s="535"/>
      <c r="I457" s="529"/>
      <c r="J457" s="535"/>
      <c r="K457" s="475"/>
      <c r="L457" s="11"/>
    </row>
    <row r="458" spans="1:12" customFormat="1" ht="12.75" customHeight="1" x14ac:dyDescent="0.25">
      <c r="A458" s="11"/>
      <c r="B458" s="588">
        <f>+(B456/10^6)*(64/32)*(0.935/18390)*10^6</f>
        <v>1.5252854812398042E-3</v>
      </c>
      <c r="C458" s="523"/>
      <c r="D458" s="534" t="s">
        <v>567</v>
      </c>
      <c r="E458" s="541"/>
      <c r="F458" s="528"/>
      <c r="G458" s="553"/>
      <c r="H458" s="578"/>
      <c r="I458" s="528"/>
      <c r="J458" s="534" t="s">
        <v>570</v>
      </c>
      <c r="K458" s="528"/>
      <c r="L458" s="11"/>
    </row>
    <row r="459" spans="1:12" customFormat="1" ht="12.75" customHeight="1" x14ac:dyDescent="0.25">
      <c r="A459" s="11"/>
      <c r="B459" s="589"/>
      <c r="C459" s="520"/>
      <c r="D459" s="535"/>
      <c r="E459" s="542"/>
      <c r="F459" s="529"/>
      <c r="G459" s="538"/>
      <c r="H459" s="449"/>
      <c r="I459" s="529"/>
      <c r="J459" s="535"/>
      <c r="K459" s="529"/>
      <c r="L459" s="11"/>
    </row>
    <row r="460" spans="1:12" customFormat="1" ht="12.75" customHeight="1" x14ac:dyDescent="0.25">
      <c r="A460" s="11"/>
      <c r="B460" s="590">
        <v>0.01</v>
      </c>
      <c r="C460" s="523"/>
      <c r="D460" s="534" t="s">
        <v>542</v>
      </c>
      <c r="E460" s="541"/>
      <c r="F460" s="528"/>
      <c r="G460" s="537" t="s">
        <v>579</v>
      </c>
      <c r="H460" s="582" t="s">
        <v>554</v>
      </c>
      <c r="I460" s="528"/>
      <c r="J460" s="534" t="s">
        <v>555</v>
      </c>
      <c r="K460" s="528"/>
      <c r="L460" s="11"/>
    </row>
    <row r="461" spans="1:12" customFormat="1" ht="12.75" customHeight="1" x14ac:dyDescent="0.25">
      <c r="A461" s="11"/>
      <c r="B461" s="592"/>
      <c r="C461" s="520"/>
      <c r="D461" s="535"/>
      <c r="E461" s="542"/>
      <c r="F461" s="529"/>
      <c r="G461" s="538"/>
      <c r="H461" s="583"/>
      <c r="I461" s="543"/>
      <c r="J461" s="539"/>
      <c r="K461" s="543"/>
      <c r="L461" s="11"/>
    </row>
    <row r="462" spans="1:12" customFormat="1" ht="12.75" customHeight="1" x14ac:dyDescent="0.25">
      <c r="A462" s="11"/>
      <c r="B462" s="590">
        <v>0.03</v>
      </c>
      <c r="C462" s="523"/>
      <c r="D462" s="534" t="s">
        <v>546</v>
      </c>
      <c r="E462" s="541"/>
      <c r="F462" s="528"/>
      <c r="G462" s="537" t="s">
        <v>579</v>
      </c>
      <c r="H462" s="583"/>
      <c r="I462" s="543"/>
      <c r="J462" s="539"/>
      <c r="K462" s="543"/>
      <c r="L462" s="11"/>
    </row>
    <row r="463" spans="1:12" customFormat="1" ht="12.75" customHeight="1" x14ac:dyDescent="0.25">
      <c r="A463" s="11"/>
      <c r="B463" s="592"/>
      <c r="C463" s="520"/>
      <c r="D463" s="535"/>
      <c r="E463" s="542"/>
      <c r="F463" s="529"/>
      <c r="G463" s="538"/>
      <c r="H463" s="583"/>
      <c r="I463" s="543"/>
      <c r="J463" s="539"/>
      <c r="K463" s="543"/>
      <c r="L463" s="11"/>
    </row>
    <row r="464" spans="1:12" customFormat="1" ht="12.75" customHeight="1" x14ac:dyDescent="0.25">
      <c r="A464" s="11"/>
      <c r="B464" s="590">
        <v>0.01</v>
      </c>
      <c r="C464" s="523"/>
      <c r="D464" s="534" t="s">
        <v>547</v>
      </c>
      <c r="E464" s="541"/>
      <c r="F464" s="528"/>
      <c r="G464" s="537" t="s">
        <v>45</v>
      </c>
      <c r="H464" s="530" t="s">
        <v>537</v>
      </c>
      <c r="I464" s="543"/>
      <c r="J464" s="539"/>
      <c r="K464" s="543"/>
      <c r="L464" s="11"/>
    </row>
    <row r="465" spans="1:12" customFormat="1" ht="12.75" customHeight="1" x14ac:dyDescent="0.25">
      <c r="A465" s="11"/>
      <c r="B465" s="592"/>
      <c r="C465" s="520"/>
      <c r="D465" s="535"/>
      <c r="E465" s="542"/>
      <c r="F465" s="529"/>
      <c r="G465" s="538"/>
      <c r="H465" s="531"/>
      <c r="I465" s="529"/>
      <c r="J465" s="535"/>
      <c r="K465" s="529"/>
      <c r="L465" s="11"/>
    </row>
    <row r="466" spans="1:12" customFormat="1" ht="12.75" customHeight="1" x14ac:dyDescent="0.25">
      <c r="A466" s="11"/>
      <c r="B466" s="590">
        <v>161.41999999999999</v>
      </c>
      <c r="C466" s="523"/>
      <c r="D466" s="534" t="s">
        <v>63</v>
      </c>
      <c r="E466" s="541"/>
      <c r="F466" s="528"/>
      <c r="G466" s="537" t="s">
        <v>579</v>
      </c>
      <c r="H466" s="534" t="s">
        <v>572</v>
      </c>
      <c r="I466" s="536"/>
      <c r="J466" s="597" t="s">
        <v>212</v>
      </c>
      <c r="K466" s="523"/>
      <c r="L466" s="11"/>
    </row>
    <row r="467" spans="1:12" customFormat="1" ht="12.75" customHeight="1" x14ac:dyDescent="0.25">
      <c r="A467" s="11"/>
      <c r="B467" s="591"/>
      <c r="C467" s="562"/>
      <c r="D467" s="539"/>
      <c r="E467" s="593"/>
      <c r="F467" s="543"/>
      <c r="G467" s="553"/>
      <c r="H467" s="539"/>
      <c r="I467" s="497"/>
      <c r="J467" s="539"/>
      <c r="K467" s="562"/>
      <c r="L467" s="11"/>
    </row>
    <row r="468" spans="1:12" customFormat="1" ht="12.75" customHeight="1" x14ac:dyDescent="0.25">
      <c r="A468" s="11"/>
      <c r="B468" s="592"/>
      <c r="C468" s="520"/>
      <c r="D468" s="535"/>
      <c r="E468" s="542"/>
      <c r="F468" s="529"/>
      <c r="G468" s="538"/>
      <c r="H468" s="535"/>
      <c r="I468" s="475"/>
      <c r="J468" s="535"/>
      <c r="K468" s="520"/>
      <c r="L468" s="11"/>
    </row>
    <row r="469" spans="1:12" customFormat="1" ht="12.75" customHeight="1" x14ac:dyDescent="0.25">
      <c r="A469" s="11"/>
      <c r="B469" s="20" t="s">
        <v>27</v>
      </c>
      <c r="C469" s="575"/>
      <c r="D469" s="575"/>
      <c r="E469" s="576"/>
      <c r="F469" s="575"/>
      <c r="G469" s="575"/>
      <c r="H469" s="575"/>
      <c r="I469" s="575"/>
      <c r="J469" s="575"/>
      <c r="K469" s="575"/>
      <c r="L469" s="11"/>
    </row>
    <row r="470" spans="1:12" s="2" customFormat="1" ht="12.75" customHeight="1" x14ac:dyDescent="0.25">
      <c r="A470" s="11"/>
      <c r="B470" s="20"/>
      <c r="C470" s="21">
        <v>1</v>
      </c>
      <c r="D470" s="533" t="s">
        <v>562</v>
      </c>
      <c r="E470" s="533"/>
      <c r="F470" s="533"/>
      <c r="G470" s="533"/>
      <c r="H470" s="533"/>
      <c r="I470" s="533"/>
      <c r="J470" s="533"/>
      <c r="K470" s="533"/>
      <c r="L470" s="11"/>
    </row>
    <row r="471" spans="1:12" s="2" customFormat="1" ht="12.75" customHeight="1" x14ac:dyDescent="0.25">
      <c r="A471" s="11"/>
      <c r="B471" s="20"/>
      <c r="C471" s="11"/>
      <c r="D471" s="533"/>
      <c r="E471" s="533"/>
      <c r="F471" s="533"/>
      <c r="G471" s="533"/>
      <c r="H471" s="533"/>
      <c r="I471" s="533"/>
      <c r="J471" s="533"/>
      <c r="K471" s="533"/>
      <c r="L471" s="11"/>
    </row>
    <row r="472" spans="1:12" s="2" customFormat="1" ht="12.75" customHeight="1" x14ac:dyDescent="0.25">
      <c r="A472" s="11"/>
      <c r="B472" s="20"/>
      <c r="C472" s="11"/>
      <c r="D472" s="579" t="s">
        <v>563</v>
      </c>
      <c r="E472" s="579"/>
      <c r="F472" s="579"/>
      <c r="G472" s="579"/>
      <c r="H472" s="579"/>
      <c r="I472" s="579"/>
      <c r="J472" s="579"/>
      <c r="K472" s="579"/>
      <c r="L472" s="11"/>
    </row>
    <row r="473" spans="1:12" s="2" customFormat="1" x14ac:dyDescent="0.25">
      <c r="A473" s="11"/>
      <c r="B473" s="11"/>
      <c r="C473" s="25"/>
      <c r="D473" s="637" t="s">
        <v>564</v>
      </c>
      <c r="E473" s="637"/>
      <c r="F473" s="637"/>
      <c r="G473" s="637"/>
      <c r="H473" s="637"/>
      <c r="I473" s="637"/>
      <c r="J473" s="637"/>
      <c r="K473" s="637"/>
      <c r="L473" s="11"/>
    </row>
    <row r="474" spans="1:12" s="2" customFormat="1" x14ac:dyDescent="0.25">
      <c r="A474" s="11"/>
      <c r="B474" s="11"/>
      <c r="C474" s="25"/>
      <c r="D474" s="637"/>
      <c r="E474" s="637"/>
      <c r="F474" s="637"/>
      <c r="G474" s="637"/>
      <c r="H474" s="637"/>
      <c r="I474" s="637"/>
      <c r="J474" s="637"/>
      <c r="K474" s="637"/>
      <c r="L474" s="11"/>
    </row>
    <row r="475" spans="1:12" s="2" customFormat="1" ht="12.75" customHeight="1" x14ac:dyDescent="0.25">
      <c r="A475" s="11"/>
      <c r="B475" s="20"/>
      <c r="C475" s="11"/>
      <c r="D475" s="579" t="s">
        <v>537</v>
      </c>
      <c r="E475" s="579"/>
      <c r="F475" s="579"/>
      <c r="G475" s="579"/>
      <c r="H475" s="579"/>
      <c r="I475" s="579"/>
      <c r="J475" s="579"/>
      <c r="K475" s="579"/>
      <c r="L475" s="11"/>
    </row>
    <row r="476" spans="1:12" customFormat="1" ht="12.75" customHeight="1" x14ac:dyDescent="0.25">
      <c r="A476" s="11"/>
      <c r="B476" s="11"/>
      <c r="C476" s="21">
        <f>+C448</f>
        <v>2</v>
      </c>
      <c r="D476" s="599" t="s">
        <v>557</v>
      </c>
      <c r="E476" s="599"/>
      <c r="F476" s="599"/>
      <c r="G476" s="599"/>
      <c r="H476" s="599"/>
      <c r="I476" s="599"/>
      <c r="J476" s="599"/>
      <c r="K476" s="599"/>
      <c r="L476" s="11"/>
    </row>
    <row r="477" spans="1:12" customFormat="1" ht="12.75" customHeight="1" x14ac:dyDescent="0.25">
      <c r="A477" s="11"/>
      <c r="B477" s="11"/>
      <c r="C477" s="21"/>
      <c r="D477" s="599"/>
      <c r="E477" s="599"/>
      <c r="F477" s="599"/>
      <c r="G477" s="599"/>
      <c r="H477" s="599"/>
      <c r="I477" s="599"/>
      <c r="J477" s="599"/>
      <c r="K477" s="599"/>
      <c r="L477" s="11"/>
    </row>
    <row r="478" spans="1:12" customFormat="1" ht="12.75" customHeight="1" x14ac:dyDescent="0.25">
      <c r="A478" s="11"/>
      <c r="B478" s="11"/>
      <c r="C478" s="21"/>
      <c r="D478" s="73"/>
      <c r="E478" s="594"/>
      <c r="F478" s="594"/>
      <c r="G478" s="594"/>
      <c r="H478" s="594"/>
      <c r="I478" s="594"/>
      <c r="J478" s="594"/>
      <c r="K478" s="594"/>
      <c r="L478" s="11"/>
    </row>
    <row r="479" spans="1:12" customFormat="1" ht="12.75" customHeight="1" x14ac:dyDescent="0.25">
      <c r="A479" s="11"/>
      <c r="B479" s="11"/>
      <c r="C479" s="21"/>
      <c r="D479" s="73"/>
      <c r="E479" s="594"/>
      <c r="F479" s="594"/>
      <c r="G479" s="594"/>
      <c r="H479" s="594"/>
      <c r="I479" s="594"/>
      <c r="J479" s="594"/>
      <c r="K479" s="594"/>
      <c r="L479" s="11"/>
    </row>
    <row r="480" spans="1:12" customFormat="1" ht="12.75" customHeight="1" x14ac:dyDescent="0.25">
      <c r="A480" s="11"/>
      <c r="B480" s="11"/>
      <c r="C480" s="25">
        <f>+C450</f>
        <v>3</v>
      </c>
      <c r="D480" s="598" t="s">
        <v>504</v>
      </c>
      <c r="E480" s="598"/>
      <c r="F480" s="598"/>
      <c r="G480" s="598"/>
      <c r="H480" s="598"/>
      <c r="I480" s="598"/>
      <c r="J480" s="598"/>
      <c r="K480" s="598"/>
      <c r="L480" s="11"/>
    </row>
    <row r="481" spans="1:12" customFormat="1" ht="12.75" customHeight="1" x14ac:dyDescent="0.25">
      <c r="A481" s="11"/>
      <c r="B481" s="11"/>
      <c r="C481" s="75"/>
      <c r="D481" s="65"/>
      <c r="E481" s="596"/>
      <c r="F481" s="596"/>
      <c r="G481" s="596"/>
      <c r="H481" s="596"/>
      <c r="I481" s="596"/>
      <c r="J481" s="596"/>
      <c r="K481" s="596"/>
      <c r="L481" s="11"/>
    </row>
    <row r="482" spans="1:12" customFormat="1" ht="12.75" customHeight="1" x14ac:dyDescent="0.25">
      <c r="A482" s="11"/>
      <c r="B482" s="11"/>
      <c r="C482" s="75"/>
      <c r="D482" s="11"/>
      <c r="E482" s="596"/>
      <c r="F482" s="596"/>
      <c r="G482" s="596"/>
      <c r="H482" s="596"/>
      <c r="I482" s="596"/>
      <c r="J482" s="596"/>
      <c r="K482" s="596"/>
      <c r="L482" s="11"/>
    </row>
    <row r="483" spans="1:12" customFormat="1" ht="12.75" customHeight="1" x14ac:dyDescent="0.25">
      <c r="A483" s="11"/>
      <c r="B483" s="11"/>
      <c r="C483" s="25">
        <f>+C452</f>
        <v>4</v>
      </c>
      <c r="D483" s="598" t="s">
        <v>199</v>
      </c>
      <c r="E483" s="598"/>
      <c r="F483" s="598"/>
      <c r="G483" s="598"/>
      <c r="H483" s="598"/>
      <c r="I483" s="598"/>
      <c r="J483" s="598"/>
      <c r="K483" s="598"/>
      <c r="L483" s="11"/>
    </row>
    <row r="484" spans="1:12" customFormat="1" x14ac:dyDescent="0.25">
      <c r="A484" s="11"/>
      <c r="B484" s="11"/>
      <c r="C484" s="25"/>
      <c r="D484" s="47"/>
      <c r="E484" s="501"/>
      <c r="F484" s="501"/>
      <c r="G484" s="501"/>
      <c r="H484" s="501"/>
      <c r="I484" s="501"/>
      <c r="J484" s="501"/>
      <c r="K484" s="501"/>
      <c r="L484" s="11"/>
    </row>
    <row r="485" spans="1:12" customFormat="1" x14ac:dyDescent="0.25">
      <c r="A485" s="11"/>
      <c r="B485" s="11"/>
      <c r="C485" s="25"/>
      <c r="D485" s="11"/>
      <c r="E485" s="501"/>
      <c r="F485" s="501"/>
      <c r="G485" s="501"/>
      <c r="H485" s="501"/>
      <c r="I485" s="501"/>
      <c r="J485" s="501"/>
      <c r="K485" s="501"/>
      <c r="L485" s="11"/>
    </row>
    <row r="486" spans="1:12" s="2" customFormat="1" x14ac:dyDescent="0.25">
      <c r="A486" s="11"/>
      <c r="B486" s="11"/>
      <c r="C486" s="25">
        <v>5</v>
      </c>
      <c r="D486" s="504" t="s">
        <v>565</v>
      </c>
      <c r="E486" s="504"/>
      <c r="F486" s="504"/>
      <c r="G486" s="504"/>
      <c r="H486" s="504"/>
      <c r="I486" s="504"/>
      <c r="J486" s="504"/>
      <c r="K486" s="504"/>
      <c r="L486" s="11"/>
    </row>
    <row r="487" spans="1:12" s="2" customFormat="1" ht="12.75" customHeight="1" x14ac:dyDescent="0.25">
      <c r="A487" s="11"/>
      <c r="B487" s="11"/>
      <c r="C487" s="25"/>
      <c r="D487" s="339" t="s">
        <v>539</v>
      </c>
      <c r="E487" s="339"/>
      <c r="F487" s="339"/>
      <c r="G487" s="500" t="s">
        <v>536</v>
      </c>
      <c r="H487" s="500"/>
      <c r="I487" s="500"/>
      <c r="J487" s="500"/>
      <c r="K487" s="500"/>
      <c r="L487" s="11"/>
    </row>
    <row r="488" spans="1:12" s="2" customFormat="1" x14ac:dyDescent="0.25">
      <c r="A488" s="11"/>
      <c r="B488" s="11"/>
      <c r="C488" s="25"/>
      <c r="D488" s="11" t="s">
        <v>540</v>
      </c>
      <c r="E488" s="47"/>
      <c r="F488" s="47"/>
      <c r="G488" s="499" t="s">
        <v>538</v>
      </c>
      <c r="H488" s="499"/>
      <c r="I488" s="499"/>
      <c r="J488" s="499"/>
      <c r="K488" s="499"/>
      <c r="L488" s="11"/>
    </row>
    <row r="489" spans="1:12" customFormat="1" x14ac:dyDescent="0.25">
      <c r="A489" s="11"/>
      <c r="B489" s="11"/>
      <c r="C489" s="25">
        <v>6</v>
      </c>
      <c r="D489" s="11" t="s">
        <v>594</v>
      </c>
      <c r="E489" s="74"/>
      <c r="F489" s="74"/>
      <c r="G489" s="595" t="s">
        <v>541</v>
      </c>
      <c r="H489" s="595"/>
      <c r="I489" s="595"/>
      <c r="J489" s="595"/>
      <c r="K489" s="595"/>
      <c r="L489" s="11"/>
    </row>
    <row r="490" spans="1:12" customFormat="1" x14ac:dyDescent="0.25">
      <c r="A490" s="11"/>
      <c r="B490" s="11"/>
      <c r="C490" s="25"/>
      <c r="D490" s="11"/>
      <c r="E490" s="340"/>
      <c r="F490" s="340"/>
      <c r="G490" s="338"/>
      <c r="H490" s="338"/>
      <c r="I490" s="338"/>
      <c r="J490" s="338"/>
      <c r="K490" s="338"/>
      <c r="L490" s="11"/>
    </row>
    <row r="491" spans="1:12" s="2" customFormat="1" x14ac:dyDescent="0.25">
      <c r="A491" s="11"/>
      <c r="B491" s="11"/>
      <c r="C491" s="25"/>
      <c r="D491" s="11"/>
      <c r="E491" s="339"/>
      <c r="F491" s="339"/>
      <c r="G491" s="336"/>
      <c r="H491" s="336"/>
      <c r="I491" s="336"/>
      <c r="J491" s="336"/>
      <c r="K491" s="336"/>
      <c r="L491" s="11"/>
    </row>
    <row r="492" spans="1:12" x14ac:dyDescent="0.25"/>
    <row r="493" spans="1:12" customFormat="1" hidden="1" x14ac:dyDescent="0.25">
      <c r="A493" s="11"/>
      <c r="B493" s="501"/>
      <c r="C493" s="501"/>
      <c r="D493" s="501"/>
      <c r="E493" s="501"/>
      <c r="F493" s="501"/>
      <c r="G493" s="501"/>
      <c r="H493" s="501"/>
      <c r="I493" s="501"/>
      <c r="J493" s="501"/>
      <c r="K493" s="501"/>
      <c r="L493" s="501"/>
    </row>
  </sheetData>
  <sheetProtection password="EDBF" sheet="1" objects="1" scenarios="1"/>
  <mergeCells count="842">
    <mergeCell ref="B384:K384"/>
    <mergeCell ref="B385:K385"/>
    <mergeCell ref="B386:K386"/>
    <mergeCell ref="H31:H32"/>
    <mergeCell ref="D29:E30"/>
    <mergeCell ref="G27:G28"/>
    <mergeCell ref="B387:K387"/>
    <mergeCell ref="B388:K388"/>
    <mergeCell ref="K116:K118"/>
    <mergeCell ref="K137:K138"/>
    <mergeCell ref="B378:K378"/>
    <mergeCell ref="B379:K379"/>
    <mergeCell ref="B380:K380"/>
    <mergeCell ref="B381:K381"/>
    <mergeCell ref="B382:K382"/>
    <mergeCell ref="B383:K383"/>
    <mergeCell ref="B374:K374"/>
    <mergeCell ref="B375:K375"/>
    <mergeCell ref="B376:K376"/>
    <mergeCell ref="B377:K377"/>
    <mergeCell ref="K29:K32"/>
    <mergeCell ref="K35:K36"/>
    <mergeCell ref="K37:K38"/>
    <mergeCell ref="G143:G144"/>
    <mergeCell ref="G417:G419"/>
    <mergeCell ref="G415:G416"/>
    <mergeCell ref="G413:G414"/>
    <mergeCell ref="G411:G412"/>
    <mergeCell ref="B389:K389"/>
    <mergeCell ref="B390:K390"/>
    <mergeCell ref="B391:K391"/>
    <mergeCell ref="B392:K392"/>
    <mergeCell ref="B393:K393"/>
    <mergeCell ref="B394:K394"/>
    <mergeCell ref="B395:K395"/>
    <mergeCell ref="K417:K419"/>
    <mergeCell ref="D403:E404"/>
    <mergeCell ref="B407:B408"/>
    <mergeCell ref="G399:G400"/>
    <mergeCell ref="G405:G406"/>
    <mergeCell ref="D411:E412"/>
    <mergeCell ref="D407:E408"/>
    <mergeCell ref="K405:K406"/>
    <mergeCell ref="B403:B404"/>
    <mergeCell ref="C397:C398"/>
    <mergeCell ref="B399:B400"/>
    <mergeCell ref="C405:C406"/>
    <mergeCell ref="B397:B398"/>
    <mergeCell ref="G141:G142"/>
    <mergeCell ref="G135:G136"/>
    <mergeCell ref="G125:G126"/>
    <mergeCell ref="K133:K134"/>
    <mergeCell ref="K119:K120"/>
    <mergeCell ref="K135:K136"/>
    <mergeCell ref="J112:K112"/>
    <mergeCell ref="K131:K132"/>
    <mergeCell ref="I131:I142"/>
    <mergeCell ref="J131:J132"/>
    <mergeCell ref="H131:H136"/>
    <mergeCell ref="K121:K122"/>
    <mergeCell ref="J116:J118"/>
    <mergeCell ref="K123:K124"/>
    <mergeCell ref="H119:H122"/>
    <mergeCell ref="E71:K71"/>
    <mergeCell ref="E72:K72"/>
    <mergeCell ref="E73:K73"/>
    <mergeCell ref="G29:G32"/>
    <mergeCell ref="G33:G36"/>
    <mergeCell ref="G39:G42"/>
    <mergeCell ref="F317:F318"/>
    <mergeCell ref="C311:C312"/>
    <mergeCell ref="F311:F312"/>
    <mergeCell ref="D311:E312"/>
    <mergeCell ref="H305:H310"/>
    <mergeCell ref="K308:K310"/>
    <mergeCell ref="B280:K280"/>
    <mergeCell ref="B281:K281"/>
    <mergeCell ref="E173:K173"/>
    <mergeCell ref="E174:K174"/>
    <mergeCell ref="E175:K175"/>
    <mergeCell ref="D172:K172"/>
    <mergeCell ref="D180:K180"/>
    <mergeCell ref="D188:K189"/>
    <mergeCell ref="J208:K208"/>
    <mergeCell ref="E200:K200"/>
    <mergeCell ref="E201:K201"/>
    <mergeCell ref="E202:K202"/>
    <mergeCell ref="B369:K369"/>
    <mergeCell ref="B370:K370"/>
    <mergeCell ref="B371:K371"/>
    <mergeCell ref="B372:K372"/>
    <mergeCell ref="B373:K373"/>
    <mergeCell ref="B315:B316"/>
    <mergeCell ref="C315:C316"/>
    <mergeCell ref="B323:B324"/>
    <mergeCell ref="C323:C324"/>
    <mergeCell ref="B366:K366"/>
    <mergeCell ref="B367:K367"/>
    <mergeCell ref="B368:K368"/>
    <mergeCell ref="I319:I322"/>
    <mergeCell ref="B321:B322"/>
    <mergeCell ref="C321:C322"/>
    <mergeCell ref="B317:B318"/>
    <mergeCell ref="C317:C318"/>
    <mergeCell ref="H319:H321"/>
    <mergeCell ref="B319:B320"/>
    <mergeCell ref="C319:C320"/>
    <mergeCell ref="F319:F320"/>
    <mergeCell ref="I323:I324"/>
    <mergeCell ref="J323:J324"/>
    <mergeCell ref="K323:K324"/>
    <mergeCell ref="C325:K325"/>
    <mergeCell ref="D326:K329"/>
    <mergeCell ref="G487:K487"/>
    <mergeCell ref="D473:K474"/>
    <mergeCell ref="G489:K489"/>
    <mergeCell ref="B5:K5"/>
    <mergeCell ref="B6:C6"/>
    <mergeCell ref="D6:F6"/>
    <mergeCell ref="G6:K6"/>
    <mergeCell ref="B7:K7"/>
    <mergeCell ref="B9:K9"/>
    <mergeCell ref="B10:K10"/>
    <mergeCell ref="B11:K11"/>
    <mergeCell ref="B12:K12"/>
    <mergeCell ref="B13:K13"/>
    <mergeCell ref="B108:K108"/>
    <mergeCell ref="B109:K109"/>
    <mergeCell ref="B110:K110"/>
    <mergeCell ref="B111:K111"/>
    <mergeCell ref="B204:K204"/>
    <mergeCell ref="B205:K205"/>
    <mergeCell ref="B206:K206"/>
    <mergeCell ref="B276:K276"/>
    <mergeCell ref="B279:K279"/>
    <mergeCell ref="D476:K477"/>
    <mergeCell ref="E478:K478"/>
    <mergeCell ref="E479:K479"/>
    <mergeCell ref="D480:K480"/>
    <mergeCell ref="E481:K481"/>
    <mergeCell ref="E482:K482"/>
    <mergeCell ref="D483:K483"/>
    <mergeCell ref="E484:K484"/>
    <mergeCell ref="E485:K485"/>
    <mergeCell ref="B466:B468"/>
    <mergeCell ref="C466:C468"/>
    <mergeCell ref="D466:E468"/>
    <mergeCell ref="F466:F468"/>
    <mergeCell ref="I466:I468"/>
    <mergeCell ref="J466:J468"/>
    <mergeCell ref="K466:K468"/>
    <mergeCell ref="C469:K469"/>
    <mergeCell ref="D470:K471"/>
    <mergeCell ref="G466:G468"/>
    <mergeCell ref="H466:H468"/>
    <mergeCell ref="B460:B461"/>
    <mergeCell ref="C460:C461"/>
    <mergeCell ref="D460:E461"/>
    <mergeCell ref="F460:F461"/>
    <mergeCell ref="H460:H463"/>
    <mergeCell ref="I460:I465"/>
    <mergeCell ref="J460:J465"/>
    <mergeCell ref="K460:K465"/>
    <mergeCell ref="B462:B463"/>
    <mergeCell ref="C462:C463"/>
    <mergeCell ref="D462:E463"/>
    <mergeCell ref="F462:F463"/>
    <mergeCell ref="B464:B465"/>
    <mergeCell ref="C464:C465"/>
    <mergeCell ref="D464:E465"/>
    <mergeCell ref="F464:F465"/>
    <mergeCell ref="H464:H465"/>
    <mergeCell ref="G464:G465"/>
    <mergeCell ref="G462:G463"/>
    <mergeCell ref="G460:G461"/>
    <mergeCell ref="B456:B457"/>
    <mergeCell ref="C456:C457"/>
    <mergeCell ref="D456:E457"/>
    <mergeCell ref="F456:F457"/>
    <mergeCell ref="H456:H457"/>
    <mergeCell ref="I456:I457"/>
    <mergeCell ref="J456:J457"/>
    <mergeCell ref="K456:K457"/>
    <mergeCell ref="G456:G459"/>
    <mergeCell ref="F448:F449"/>
    <mergeCell ref="G448:G449"/>
    <mergeCell ref="J448:J453"/>
    <mergeCell ref="K448:K453"/>
    <mergeCell ref="B450:B451"/>
    <mergeCell ref="C450:C451"/>
    <mergeCell ref="D450:E451"/>
    <mergeCell ref="F450:F451"/>
    <mergeCell ref="G450:G451"/>
    <mergeCell ref="B452:B453"/>
    <mergeCell ref="C452:C453"/>
    <mergeCell ref="D452:E453"/>
    <mergeCell ref="F452:F453"/>
    <mergeCell ref="G452:G453"/>
    <mergeCell ref="H452:H455"/>
    <mergeCell ref="B454:B455"/>
    <mergeCell ref="C454:C455"/>
    <mergeCell ref="D454:E455"/>
    <mergeCell ref="F454:F455"/>
    <mergeCell ref="G454:G455"/>
    <mergeCell ref="J454:J455"/>
    <mergeCell ref="K454:K455"/>
    <mergeCell ref="E197:K197"/>
    <mergeCell ref="B207:K207"/>
    <mergeCell ref="D193:K194"/>
    <mergeCell ref="D198:K199"/>
    <mergeCell ref="E190:K190"/>
    <mergeCell ref="E191:K191"/>
    <mergeCell ref="E192:K192"/>
    <mergeCell ref="E195:K195"/>
    <mergeCell ref="E196:K196"/>
    <mergeCell ref="E182:K182"/>
    <mergeCell ref="E183:K183"/>
    <mergeCell ref="D181:K181"/>
    <mergeCell ref="D184:K184"/>
    <mergeCell ref="E185:K185"/>
    <mergeCell ref="E186:K186"/>
    <mergeCell ref="E187:K187"/>
    <mergeCell ref="D176:K176"/>
    <mergeCell ref="D177:K179"/>
    <mergeCell ref="E164:K164"/>
    <mergeCell ref="E165:K165"/>
    <mergeCell ref="D149:K150"/>
    <mergeCell ref="F143:F144"/>
    <mergeCell ref="E160:K160"/>
    <mergeCell ref="D156:K156"/>
    <mergeCell ref="D159:K159"/>
    <mergeCell ref="D157:K157"/>
    <mergeCell ref="D158:K158"/>
    <mergeCell ref="D146:K147"/>
    <mergeCell ref="E169:K169"/>
    <mergeCell ref="E171:K171"/>
    <mergeCell ref="E170:K170"/>
    <mergeCell ref="D148:K148"/>
    <mergeCell ref="B141:B142"/>
    <mergeCell ref="J137:J138"/>
    <mergeCell ref="B137:B138"/>
    <mergeCell ref="C137:C138"/>
    <mergeCell ref="C141:C142"/>
    <mergeCell ref="C145:K145"/>
    <mergeCell ref="J143:J144"/>
    <mergeCell ref="K143:K144"/>
    <mergeCell ref="I143:I144"/>
    <mergeCell ref="B143:B144"/>
    <mergeCell ref="C143:C144"/>
    <mergeCell ref="B139:B140"/>
    <mergeCell ref="C139:C140"/>
    <mergeCell ref="H137:H142"/>
    <mergeCell ref="D166:K166"/>
    <mergeCell ref="F137:F138"/>
    <mergeCell ref="D137:E138"/>
    <mergeCell ref="E161:K161"/>
    <mergeCell ref="E162:K162"/>
    <mergeCell ref="E163:K163"/>
    <mergeCell ref="B135:B136"/>
    <mergeCell ref="B131:B132"/>
    <mergeCell ref="C135:C136"/>
    <mergeCell ref="B133:B134"/>
    <mergeCell ref="C133:C134"/>
    <mergeCell ref="D143:E144"/>
    <mergeCell ref="D141:E142"/>
    <mergeCell ref="D139:E140"/>
    <mergeCell ref="B127:B128"/>
    <mergeCell ref="C127:C128"/>
    <mergeCell ref="D127:E128"/>
    <mergeCell ref="B129:B130"/>
    <mergeCell ref="C131:C132"/>
    <mergeCell ref="F127:F128"/>
    <mergeCell ref="J127:J130"/>
    <mergeCell ref="H125:H128"/>
    <mergeCell ref="H129:H130"/>
    <mergeCell ref="K127:K130"/>
    <mergeCell ref="F135:F136"/>
    <mergeCell ref="D129:E130"/>
    <mergeCell ref="D125:E126"/>
    <mergeCell ref="F129:F130"/>
    <mergeCell ref="D133:E134"/>
    <mergeCell ref="F133:F134"/>
    <mergeCell ref="J133:J134"/>
    <mergeCell ref="D135:E136"/>
    <mergeCell ref="I125:I130"/>
    <mergeCell ref="B125:B126"/>
    <mergeCell ref="C125:C126"/>
    <mergeCell ref="F125:F126"/>
    <mergeCell ref="C129:C130"/>
    <mergeCell ref="D25:E26"/>
    <mergeCell ref="D23:E24"/>
    <mergeCell ref="D21:E22"/>
    <mergeCell ref="D19:E20"/>
    <mergeCell ref="D17:E18"/>
    <mergeCell ref="D33:E34"/>
    <mergeCell ref="E67:K67"/>
    <mergeCell ref="D58:K58"/>
    <mergeCell ref="E53:K53"/>
    <mergeCell ref="E54:K54"/>
    <mergeCell ref="E55:K55"/>
    <mergeCell ref="F27:F28"/>
    <mergeCell ref="F43:F44"/>
    <mergeCell ref="J27:J28"/>
    <mergeCell ref="K45:K46"/>
    <mergeCell ref="F33:F34"/>
    <mergeCell ref="J45:J46"/>
    <mergeCell ref="H33:H39"/>
    <mergeCell ref="H40:H44"/>
    <mergeCell ref="J33:J34"/>
    <mergeCell ref="D39:E40"/>
    <mergeCell ref="F39:F40"/>
    <mergeCell ref="J39:J40"/>
    <mergeCell ref="H27:H30"/>
    <mergeCell ref="I27:I32"/>
    <mergeCell ref="D59:K59"/>
    <mergeCell ref="D60:K60"/>
    <mergeCell ref="D68:K68"/>
    <mergeCell ref="D61:K61"/>
    <mergeCell ref="J43:J44"/>
    <mergeCell ref="K43:K44"/>
    <mergeCell ref="K33:K34"/>
    <mergeCell ref="J37:J38"/>
    <mergeCell ref="J41:J42"/>
    <mergeCell ref="G37:G38"/>
    <mergeCell ref="G43:G44"/>
    <mergeCell ref="K41:K42"/>
    <mergeCell ref="K39:K40"/>
    <mergeCell ref="D69:K70"/>
    <mergeCell ref="E65:K65"/>
    <mergeCell ref="E66:K66"/>
    <mergeCell ref="F31:F32"/>
    <mergeCell ref="K27:K28"/>
    <mergeCell ref="E62:K62"/>
    <mergeCell ref="E63:K63"/>
    <mergeCell ref="E64:K64"/>
    <mergeCell ref="D51:K52"/>
    <mergeCell ref="D45:E46"/>
    <mergeCell ref="D43:E44"/>
    <mergeCell ref="D41:E42"/>
    <mergeCell ref="D37:E38"/>
    <mergeCell ref="D35:E36"/>
    <mergeCell ref="D31:E32"/>
    <mergeCell ref="D27:E28"/>
    <mergeCell ref="F29:F30"/>
    <mergeCell ref="J29:J32"/>
    <mergeCell ref="F37:F38"/>
    <mergeCell ref="I33:I44"/>
    <mergeCell ref="J35:J36"/>
    <mergeCell ref="F41:F42"/>
    <mergeCell ref="F35:F36"/>
    <mergeCell ref="F45:F46"/>
    <mergeCell ref="D421:K423"/>
    <mergeCell ref="K397:K398"/>
    <mergeCell ref="F305:F306"/>
    <mergeCell ref="F413:F414"/>
    <mergeCell ref="G403:G404"/>
    <mergeCell ref="J304:K304"/>
    <mergeCell ref="G305:G306"/>
    <mergeCell ref="I305:I310"/>
    <mergeCell ref="J305:J307"/>
    <mergeCell ref="K305:K307"/>
    <mergeCell ref="F403:F404"/>
    <mergeCell ref="K315:K318"/>
    <mergeCell ref="G307:G308"/>
    <mergeCell ref="G311:G312"/>
    <mergeCell ref="I313:I318"/>
    <mergeCell ref="F313:F314"/>
    <mergeCell ref="B363:K363"/>
    <mergeCell ref="B364:K364"/>
    <mergeCell ref="B365:K365"/>
    <mergeCell ref="B361:K361"/>
    <mergeCell ref="B362:K362"/>
    <mergeCell ref="E357:K357"/>
    <mergeCell ref="E358:K358"/>
    <mergeCell ref="D405:E406"/>
    <mergeCell ref="B225:B226"/>
    <mergeCell ref="C225:C226"/>
    <mergeCell ref="B227:B228"/>
    <mergeCell ref="C227:C228"/>
    <mergeCell ref="J396:K396"/>
    <mergeCell ref="F397:F398"/>
    <mergeCell ref="C215:C216"/>
    <mergeCell ref="F215:F216"/>
    <mergeCell ref="D257:K257"/>
    <mergeCell ref="C223:C224"/>
    <mergeCell ref="F229:F230"/>
    <mergeCell ref="K221:K224"/>
    <mergeCell ref="K225:K228"/>
    <mergeCell ref="B295:K295"/>
    <mergeCell ref="B296:K296"/>
    <mergeCell ref="B297:K297"/>
    <mergeCell ref="B298:K298"/>
    <mergeCell ref="B299:K299"/>
    <mergeCell ref="B300:K300"/>
    <mergeCell ref="B301:K301"/>
    <mergeCell ref="B302:K302"/>
    <mergeCell ref="B303:K303"/>
    <mergeCell ref="C313:C314"/>
    <mergeCell ref="D336:K336"/>
    <mergeCell ref="B219:B220"/>
    <mergeCell ref="C219:C220"/>
    <mergeCell ref="C211:C212"/>
    <mergeCell ref="B213:B214"/>
    <mergeCell ref="B215:B216"/>
    <mergeCell ref="C213:C214"/>
    <mergeCell ref="F213:F214"/>
    <mergeCell ref="B217:B218"/>
    <mergeCell ref="C217:C218"/>
    <mergeCell ref="F217:F218"/>
    <mergeCell ref="F219:F220"/>
    <mergeCell ref="D219:E220"/>
    <mergeCell ref="B209:B210"/>
    <mergeCell ref="C209:C210"/>
    <mergeCell ref="G401:G402"/>
    <mergeCell ref="F209:F210"/>
    <mergeCell ref="B211:B212"/>
    <mergeCell ref="F223:F224"/>
    <mergeCell ref="B282:K282"/>
    <mergeCell ref="B283:K283"/>
    <mergeCell ref="B284:K284"/>
    <mergeCell ref="B285:K285"/>
    <mergeCell ref="B286:K286"/>
    <mergeCell ref="B287:K287"/>
    <mergeCell ref="B288:K288"/>
    <mergeCell ref="B289:K289"/>
    <mergeCell ref="B290:K290"/>
    <mergeCell ref="B291:K291"/>
    <mergeCell ref="B292:K292"/>
    <mergeCell ref="B293:K293"/>
    <mergeCell ref="B294:K294"/>
    <mergeCell ref="K399:K404"/>
    <mergeCell ref="C401:C402"/>
    <mergeCell ref="J397:J398"/>
    <mergeCell ref="J399:J404"/>
    <mergeCell ref="F399:F400"/>
    <mergeCell ref="H403:H406"/>
    <mergeCell ref="F405:F406"/>
    <mergeCell ref="J405:J406"/>
    <mergeCell ref="B401:B402"/>
    <mergeCell ref="F401:F402"/>
    <mergeCell ref="B405:B406"/>
    <mergeCell ref="C403:C404"/>
    <mergeCell ref="I397:I406"/>
    <mergeCell ref="C399:C400"/>
    <mergeCell ref="G397:G398"/>
    <mergeCell ref="H397:H402"/>
    <mergeCell ref="D401:E402"/>
    <mergeCell ref="D399:E400"/>
    <mergeCell ref="D397:E398"/>
    <mergeCell ref="C17:C18"/>
    <mergeCell ref="G17:G18"/>
    <mergeCell ref="F17:F18"/>
    <mergeCell ref="B8:C8"/>
    <mergeCell ref="F15:F16"/>
    <mergeCell ref="B17:B18"/>
    <mergeCell ref="D8:F8"/>
    <mergeCell ref="B23:B24"/>
    <mergeCell ref="B15:B16"/>
    <mergeCell ref="B19:B20"/>
    <mergeCell ref="C15:C16"/>
    <mergeCell ref="C23:C24"/>
    <mergeCell ref="B21:B22"/>
    <mergeCell ref="C21:C22"/>
    <mergeCell ref="C19:C20"/>
    <mergeCell ref="F23:F24"/>
    <mergeCell ref="F19:F20"/>
    <mergeCell ref="F21:F22"/>
    <mergeCell ref="B14:G14"/>
    <mergeCell ref="G21:G26"/>
    <mergeCell ref="F25:F26"/>
    <mergeCell ref="B25:B26"/>
    <mergeCell ref="C25:C26"/>
    <mergeCell ref="D15:E16"/>
    <mergeCell ref="H8:I8"/>
    <mergeCell ref="J8:K8"/>
    <mergeCell ref="J14:K14"/>
    <mergeCell ref="I21:I26"/>
    <mergeCell ref="J23:K24"/>
    <mergeCell ref="J21:J22"/>
    <mergeCell ref="J18:J20"/>
    <mergeCell ref="K15:K17"/>
    <mergeCell ref="G15:G16"/>
    <mergeCell ref="J15:J17"/>
    <mergeCell ref="I15:I20"/>
    <mergeCell ref="G19:G20"/>
    <mergeCell ref="H19:H20"/>
    <mergeCell ref="H15:H18"/>
    <mergeCell ref="K18:K20"/>
    <mergeCell ref="K21:K22"/>
    <mergeCell ref="H14:I14"/>
    <mergeCell ref="H25:H26"/>
    <mergeCell ref="H21:H24"/>
    <mergeCell ref="J25:J26"/>
    <mergeCell ref="K25:K26"/>
    <mergeCell ref="B27:B28"/>
    <mergeCell ref="B43:B44"/>
    <mergeCell ref="C43:C44"/>
    <mergeCell ref="C41:C42"/>
    <mergeCell ref="C37:C38"/>
    <mergeCell ref="B41:B42"/>
    <mergeCell ref="C27:C28"/>
    <mergeCell ref="C31:C32"/>
    <mergeCell ref="B31:B32"/>
    <mergeCell ref="B39:B40"/>
    <mergeCell ref="C39:C40"/>
    <mergeCell ref="B29:B30"/>
    <mergeCell ref="C29:C30"/>
    <mergeCell ref="B33:B34"/>
    <mergeCell ref="C33:C34"/>
    <mergeCell ref="B35:B36"/>
    <mergeCell ref="C35:C36"/>
    <mergeCell ref="B37:B38"/>
    <mergeCell ref="B45:B46"/>
    <mergeCell ref="C45:C46"/>
    <mergeCell ref="D84:K84"/>
    <mergeCell ref="D79:K79"/>
    <mergeCell ref="D101:K102"/>
    <mergeCell ref="D106:K107"/>
    <mergeCell ref="D50:K50"/>
    <mergeCell ref="D80:K82"/>
    <mergeCell ref="D74:K75"/>
    <mergeCell ref="E76:K76"/>
    <mergeCell ref="E77:K77"/>
    <mergeCell ref="E78:K78"/>
    <mergeCell ref="D56:K57"/>
    <mergeCell ref="G45:G46"/>
    <mergeCell ref="D91:K92"/>
    <mergeCell ref="I45:I46"/>
    <mergeCell ref="C47:K47"/>
    <mergeCell ref="D48:K49"/>
    <mergeCell ref="D83:K83"/>
    <mergeCell ref="E85:K85"/>
    <mergeCell ref="E93:K93"/>
    <mergeCell ref="E94:K94"/>
    <mergeCell ref="E95:K95"/>
    <mergeCell ref="D96:K97"/>
    <mergeCell ref="G115:G116"/>
    <mergeCell ref="B119:B120"/>
    <mergeCell ref="B115:B116"/>
    <mergeCell ref="F121:F122"/>
    <mergeCell ref="C117:C118"/>
    <mergeCell ref="F119:F120"/>
    <mergeCell ref="F123:F124"/>
    <mergeCell ref="B121:B122"/>
    <mergeCell ref="C121:C122"/>
    <mergeCell ref="E86:K86"/>
    <mergeCell ref="D87:K87"/>
    <mergeCell ref="E88:K88"/>
    <mergeCell ref="E89:K89"/>
    <mergeCell ref="E90:K90"/>
    <mergeCell ref="D131:E132"/>
    <mergeCell ref="D115:E116"/>
    <mergeCell ref="E100:K100"/>
    <mergeCell ref="E103:K103"/>
    <mergeCell ref="E104:K104"/>
    <mergeCell ref="K113:K115"/>
    <mergeCell ref="J125:J126"/>
    <mergeCell ref="K125:K126"/>
    <mergeCell ref="J113:J115"/>
    <mergeCell ref="H123:H124"/>
    <mergeCell ref="J123:J124"/>
    <mergeCell ref="E98:K98"/>
    <mergeCell ref="E99:K99"/>
    <mergeCell ref="F115:F116"/>
    <mergeCell ref="G117:G118"/>
    <mergeCell ref="E105:K105"/>
    <mergeCell ref="D113:E114"/>
    <mergeCell ref="B112:G112"/>
    <mergeCell ref="H112:I112"/>
    <mergeCell ref="D247:K249"/>
    <mergeCell ref="C231:K231"/>
    <mergeCell ref="I113:I118"/>
    <mergeCell ref="H117:H118"/>
    <mergeCell ref="H113:H116"/>
    <mergeCell ref="D123:E124"/>
    <mergeCell ref="D121:E122"/>
    <mergeCell ref="D119:E120"/>
    <mergeCell ref="D117:E118"/>
    <mergeCell ref="F131:F132"/>
    <mergeCell ref="I225:I228"/>
    <mergeCell ref="H225:H227"/>
    <mergeCell ref="D167:K168"/>
    <mergeCell ref="E151:K151"/>
    <mergeCell ref="E152:K152"/>
    <mergeCell ref="E153:K153"/>
    <mergeCell ref="D154:K155"/>
    <mergeCell ref="K141:K142"/>
    <mergeCell ref="J135:J136"/>
    <mergeCell ref="J141:J142"/>
    <mergeCell ref="J139:J140"/>
    <mergeCell ref="F141:F142"/>
    <mergeCell ref="F139:F140"/>
    <mergeCell ref="K139:K140"/>
    <mergeCell ref="J219:J220"/>
    <mergeCell ref="I119:I124"/>
    <mergeCell ref="J121:J122"/>
    <mergeCell ref="J119:J120"/>
    <mergeCell ref="D274:K275"/>
    <mergeCell ref="B311:B312"/>
    <mergeCell ref="J217:J218"/>
    <mergeCell ref="D253:K253"/>
    <mergeCell ref="J209:J211"/>
    <mergeCell ref="K212:K214"/>
    <mergeCell ref="D238:K239"/>
    <mergeCell ref="E240:K240"/>
    <mergeCell ref="E256:K256"/>
    <mergeCell ref="E258:K258"/>
    <mergeCell ref="K217:K218"/>
    <mergeCell ref="F211:F212"/>
    <mergeCell ref="G211:G212"/>
    <mergeCell ref="H214:H216"/>
    <mergeCell ref="J225:J228"/>
    <mergeCell ref="E254:K254"/>
    <mergeCell ref="E255:K255"/>
    <mergeCell ref="G213:G214"/>
    <mergeCell ref="F225:F226"/>
    <mergeCell ref="H209:H211"/>
    <mergeCell ref="K215:K216"/>
    <mergeCell ref="I209:I218"/>
    <mergeCell ref="K219:K220"/>
    <mergeCell ref="D209:E210"/>
    <mergeCell ref="G209:G210"/>
    <mergeCell ref="D217:E218"/>
    <mergeCell ref="D215:E216"/>
    <mergeCell ref="E260:K260"/>
    <mergeCell ref="E242:K242"/>
    <mergeCell ref="E241:K241"/>
    <mergeCell ref="E244:K244"/>
    <mergeCell ref="E245:K245"/>
    <mergeCell ref="E246:K246"/>
    <mergeCell ref="J229:J230"/>
    <mergeCell ref="I219:I224"/>
    <mergeCell ref="K229:K230"/>
    <mergeCell ref="D243:K243"/>
    <mergeCell ref="J215:J216"/>
    <mergeCell ref="H219:H222"/>
    <mergeCell ref="H223:H224"/>
    <mergeCell ref="J221:J224"/>
    <mergeCell ref="E250:K250"/>
    <mergeCell ref="E251:K251"/>
    <mergeCell ref="K209:K211"/>
    <mergeCell ref="E272:K272"/>
    <mergeCell ref="E273:K273"/>
    <mergeCell ref="B304:F304"/>
    <mergeCell ref="G304:I304"/>
    <mergeCell ref="D261:K262"/>
    <mergeCell ref="D263:K265"/>
    <mergeCell ref="D266:K266"/>
    <mergeCell ref="E252:K252"/>
    <mergeCell ref="B313:B314"/>
    <mergeCell ref="D305:E306"/>
    <mergeCell ref="D270:K270"/>
    <mergeCell ref="E268:K268"/>
    <mergeCell ref="E269:K269"/>
    <mergeCell ref="E271:K271"/>
    <mergeCell ref="B305:B306"/>
    <mergeCell ref="C305:C306"/>
    <mergeCell ref="B307:B308"/>
    <mergeCell ref="C307:C308"/>
    <mergeCell ref="B309:B310"/>
    <mergeCell ref="F307:F308"/>
    <mergeCell ref="C309:C310"/>
    <mergeCell ref="F309:F310"/>
    <mergeCell ref="D309:E310"/>
    <mergeCell ref="D307:E308"/>
    <mergeCell ref="D359:K360"/>
    <mergeCell ref="J319:J322"/>
    <mergeCell ref="K319:K322"/>
    <mergeCell ref="D340:K340"/>
    <mergeCell ref="D344:K344"/>
    <mergeCell ref="D323:E324"/>
    <mergeCell ref="D321:E322"/>
    <mergeCell ref="D319:E320"/>
    <mergeCell ref="E342:K342"/>
    <mergeCell ref="E343:K343"/>
    <mergeCell ref="E345:K345"/>
    <mergeCell ref="E346:K346"/>
    <mergeCell ref="E347:K347"/>
    <mergeCell ref="D351:K351"/>
    <mergeCell ref="D348:K350"/>
    <mergeCell ref="D352:K352"/>
    <mergeCell ref="E353:K353"/>
    <mergeCell ref="E354:K354"/>
    <mergeCell ref="D355:K355"/>
    <mergeCell ref="F321:F322"/>
    <mergeCell ref="E356:K356"/>
    <mergeCell ref="E337:K337"/>
    <mergeCell ref="E338:K338"/>
    <mergeCell ref="E339:K339"/>
    <mergeCell ref="B113:B114"/>
    <mergeCell ref="C113:C114"/>
    <mergeCell ref="G113:G114"/>
    <mergeCell ref="F113:F114"/>
    <mergeCell ref="B229:B230"/>
    <mergeCell ref="F227:F228"/>
    <mergeCell ref="D229:E230"/>
    <mergeCell ref="D227:E228"/>
    <mergeCell ref="D225:E226"/>
    <mergeCell ref="C229:C230"/>
    <mergeCell ref="D213:E214"/>
    <mergeCell ref="D211:E212"/>
    <mergeCell ref="B223:B224"/>
    <mergeCell ref="D223:E224"/>
    <mergeCell ref="G119:G124"/>
    <mergeCell ref="G127:G130"/>
    <mergeCell ref="G131:G134"/>
    <mergeCell ref="G137:G140"/>
    <mergeCell ref="B123:B124"/>
    <mergeCell ref="B117:B118"/>
    <mergeCell ref="C123:C124"/>
    <mergeCell ref="C119:C120"/>
    <mergeCell ref="C115:C116"/>
    <mergeCell ref="F117:F118"/>
    <mergeCell ref="J212:J214"/>
    <mergeCell ref="G208:I208"/>
    <mergeCell ref="B208:F208"/>
    <mergeCell ref="B221:B222"/>
    <mergeCell ref="C221:C222"/>
    <mergeCell ref="D221:E222"/>
    <mergeCell ref="F221:F222"/>
    <mergeCell ref="E334:K334"/>
    <mergeCell ref="E335:K335"/>
    <mergeCell ref="G215:G218"/>
    <mergeCell ref="G219:G220"/>
    <mergeCell ref="G221:G224"/>
    <mergeCell ref="G225:G226"/>
    <mergeCell ref="G227:G228"/>
    <mergeCell ref="G229:G230"/>
    <mergeCell ref="I229:I230"/>
    <mergeCell ref="F323:F324"/>
    <mergeCell ref="B277:K277"/>
    <mergeCell ref="B278:K278"/>
    <mergeCell ref="D232:K234"/>
    <mergeCell ref="H235:K235"/>
    <mergeCell ref="H236:K236"/>
    <mergeCell ref="E259:K259"/>
    <mergeCell ref="D267:K267"/>
    <mergeCell ref="E341:K341"/>
    <mergeCell ref="D315:E316"/>
    <mergeCell ref="F315:F316"/>
    <mergeCell ref="H313:H316"/>
    <mergeCell ref="H317:H318"/>
    <mergeCell ref="J315:J318"/>
    <mergeCell ref="H311:H312"/>
    <mergeCell ref="J308:J310"/>
    <mergeCell ref="J311:J312"/>
    <mergeCell ref="K311:K312"/>
    <mergeCell ref="I311:I312"/>
    <mergeCell ref="J313:J314"/>
    <mergeCell ref="K313:K314"/>
    <mergeCell ref="D330:K330"/>
    <mergeCell ref="D317:E318"/>
    <mergeCell ref="G309:G310"/>
    <mergeCell ref="G313:G314"/>
    <mergeCell ref="G319:G320"/>
    <mergeCell ref="G321:G322"/>
    <mergeCell ref="G323:G324"/>
    <mergeCell ref="G315:G318"/>
    <mergeCell ref="D313:E314"/>
    <mergeCell ref="D331:K332"/>
    <mergeCell ref="E333:K333"/>
    <mergeCell ref="E431:K431"/>
    <mergeCell ref="E432:K432"/>
    <mergeCell ref="E434:K434"/>
    <mergeCell ref="E435:K435"/>
    <mergeCell ref="E436:K436"/>
    <mergeCell ref="G438:K438"/>
    <mergeCell ref="D429:K429"/>
    <mergeCell ref="D433:K433"/>
    <mergeCell ref="D424:K425"/>
    <mergeCell ref="I407:I408"/>
    <mergeCell ref="K411:K416"/>
    <mergeCell ref="E427:K427"/>
    <mergeCell ref="E428:K428"/>
    <mergeCell ref="E430:K430"/>
    <mergeCell ref="D413:E414"/>
    <mergeCell ref="C420:K420"/>
    <mergeCell ref="C417:C419"/>
    <mergeCell ref="J417:J419"/>
    <mergeCell ref="H417:H419"/>
    <mergeCell ref="J407:J408"/>
    <mergeCell ref="K407:K408"/>
    <mergeCell ref="F415:F416"/>
    <mergeCell ref="D415:E416"/>
    <mergeCell ref="F411:F412"/>
    <mergeCell ref="G407:G410"/>
    <mergeCell ref="C413:C414"/>
    <mergeCell ref="H407:H408"/>
    <mergeCell ref="F407:F408"/>
    <mergeCell ref="C407:C408"/>
    <mergeCell ref="H411:H414"/>
    <mergeCell ref="H415:H416"/>
    <mergeCell ref="C415:C416"/>
    <mergeCell ref="C411:C412"/>
    <mergeCell ref="B409:B410"/>
    <mergeCell ref="C409:C410"/>
    <mergeCell ref="D409:E410"/>
    <mergeCell ref="J409:J410"/>
    <mergeCell ref="F409:F410"/>
    <mergeCell ref="I409:I410"/>
    <mergeCell ref="B458:B459"/>
    <mergeCell ref="C458:C459"/>
    <mergeCell ref="D458:E459"/>
    <mergeCell ref="F458:F459"/>
    <mergeCell ref="B417:B419"/>
    <mergeCell ref="I417:I419"/>
    <mergeCell ref="F417:F419"/>
    <mergeCell ref="D417:E419"/>
    <mergeCell ref="E426:K426"/>
    <mergeCell ref="B411:B412"/>
    <mergeCell ref="B413:B414"/>
    <mergeCell ref="B415:B416"/>
    <mergeCell ref="J445:K445"/>
    <mergeCell ref="B446:B447"/>
    <mergeCell ref="C446:C447"/>
    <mergeCell ref="G439:K439"/>
    <mergeCell ref="J411:J416"/>
    <mergeCell ref="I411:I416"/>
    <mergeCell ref="D486:K486"/>
    <mergeCell ref="G488:K488"/>
    <mergeCell ref="B493:L493"/>
    <mergeCell ref="E441:K441"/>
    <mergeCell ref="D437:K437"/>
    <mergeCell ref="D440:K440"/>
    <mergeCell ref="E442:K442"/>
    <mergeCell ref="E443:K443"/>
    <mergeCell ref="H458:H459"/>
    <mergeCell ref="I458:I459"/>
    <mergeCell ref="J458:J459"/>
    <mergeCell ref="K458:K459"/>
    <mergeCell ref="D472:K472"/>
    <mergeCell ref="D475:K475"/>
    <mergeCell ref="D446:E447"/>
    <mergeCell ref="F446:F447"/>
    <mergeCell ref="G446:G447"/>
    <mergeCell ref="H446:H451"/>
    <mergeCell ref="I446:I455"/>
    <mergeCell ref="J446:J447"/>
    <mergeCell ref="K446:K447"/>
    <mergeCell ref="B448:B449"/>
    <mergeCell ref="C448:C449"/>
    <mergeCell ref="D448:E449"/>
  </mergeCells>
  <phoneticPr fontId="12" type="noConversion"/>
  <hyperlinks>
    <hyperlink ref="D50" r:id="rId1"/>
    <hyperlink ref="H31" r:id="rId2"/>
    <hyperlink ref="D83" r:id="rId3"/>
    <hyperlink ref="H40" r:id="rId4"/>
    <hyperlink ref="H46" r:id="rId5"/>
    <hyperlink ref="D60" r:id="rId6"/>
    <hyperlink ref="H129" r:id="rId7"/>
    <hyperlink ref="H137" r:id="rId8"/>
    <hyperlink ref="H144" r:id="rId9"/>
    <hyperlink ref="D58" r:id="rId10"/>
    <hyperlink ref="D158" r:id="rId11"/>
    <hyperlink ref="D156" r:id="rId12"/>
    <hyperlink ref="H123" r:id="rId13"/>
    <hyperlink ref="H230" r:id="rId14"/>
    <hyperlink ref="H223" r:id="rId15"/>
    <hyperlink ref="H212" r:id="rId16"/>
    <hyperlink ref="H228" r:id="rId17"/>
    <hyperlink ref="H403" r:id="rId18"/>
    <hyperlink ref="H217" r:id="rId19"/>
    <hyperlink ref="D330" r:id="rId20"/>
    <hyperlink ref="H324" r:id="rId21"/>
    <hyperlink ref="H322" r:id="rId22"/>
    <hyperlink ref="H311" r:id="rId23"/>
    <hyperlink ref="D148" r:id="rId24"/>
    <hyperlink ref="D180" r:id="rId25"/>
    <hyperlink ref="H235" r:id="rId26"/>
    <hyperlink ref="H236" r:id="rId27"/>
    <hyperlink ref="D266" r:id="rId28"/>
    <hyperlink ref="D351" r:id="rId29"/>
    <hyperlink ref="H317" r:id="rId30"/>
    <hyperlink ref="G438" r:id="rId31"/>
    <hyperlink ref="G439" r:id="rId32"/>
    <hyperlink ref="H415" r:id="rId33"/>
    <hyperlink ref="H452" r:id="rId34"/>
    <hyperlink ref="G488" r:id="rId35"/>
    <hyperlink ref="G489" r:id="rId36"/>
    <hyperlink ref="H464" r:id="rId37"/>
    <hyperlink ref="D472" r:id="rId38"/>
    <hyperlink ref="D475" r:id="rId39"/>
    <hyperlink ref="J417" r:id="rId40"/>
    <hyperlink ref="J466" r:id="rId41"/>
    <hyperlink ref="G487" r:id="rId42"/>
  </hyperlinks>
  <printOptions horizontalCentered="1"/>
  <pageMargins left="0.7" right="0.45" top="0.5" bottom="0.25" header="0" footer="0"/>
  <pageSetup paperSize="5" scale="75" orientation="landscape" r:id="rId43"/>
  <headerFooter>
    <oddFooter>&amp;CGas IC and Diesel Engines - Page &amp;P of &amp;N</oddFooter>
  </headerFooter>
  <drawing r:id="rId4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EA00"/>
  </sheetPr>
  <dimension ref="A1:L930"/>
  <sheetViews>
    <sheetView zoomScale="80" zoomScaleNormal="80" workbookViewId="0"/>
  </sheetViews>
  <sheetFormatPr defaultColWidth="0" defaultRowHeight="13.2" zeroHeight="1" x14ac:dyDescent="0.25"/>
  <cols>
    <col min="1" max="1" width="9.109375" style="15" customWidth="1"/>
    <col min="2" max="2" width="10.6640625" style="11" customWidth="1"/>
    <col min="3" max="3" width="4.6640625" style="11" customWidth="1"/>
    <col min="4" max="4" width="8.6640625" style="11" customWidth="1"/>
    <col min="5" max="5" width="17.6640625" style="11" customWidth="1"/>
    <col min="6" max="6" width="2.6640625" style="11" customWidth="1"/>
    <col min="7" max="7" width="10.6640625" style="11" customWidth="1"/>
    <col min="8" max="8" width="81.6640625" style="11" customWidth="1"/>
    <col min="9" max="9" width="2.6640625" style="11" customWidth="1"/>
    <col min="10" max="10" width="80.6640625" style="11" customWidth="1"/>
    <col min="11" max="11" width="2.6640625" style="11" customWidth="1"/>
    <col min="12" max="12" width="4.6640625" style="11" customWidth="1"/>
    <col min="13" max="16384" width="9.109375" style="11" hidden="1"/>
  </cols>
  <sheetData>
    <row r="1" spans="2:11" x14ac:dyDescent="0.25"/>
    <row r="2" spans="2:11" x14ac:dyDescent="0.25"/>
    <row r="3" spans="2:11" x14ac:dyDescent="0.25"/>
    <row r="4" spans="2:11" x14ac:dyDescent="0.25"/>
    <row r="5" spans="2:11" x14ac:dyDescent="0.25">
      <c r="B5" s="506" t="s">
        <v>598</v>
      </c>
      <c r="C5" s="506"/>
      <c r="D5" s="506"/>
      <c r="E5" s="506"/>
      <c r="F5" s="506"/>
      <c r="G5" s="506"/>
      <c r="H5" s="506"/>
      <c r="I5" s="506"/>
      <c r="J5" s="506"/>
      <c r="K5" s="506"/>
    </row>
    <row r="6" spans="2:11" x14ac:dyDescent="0.25">
      <c r="B6" s="388" t="s">
        <v>597</v>
      </c>
      <c r="C6" s="39"/>
      <c r="D6" s="507">
        <v>41397</v>
      </c>
      <c r="E6" s="507"/>
      <c r="F6" s="40"/>
    </row>
    <row r="7" spans="2:11" ht="13.8" thickBot="1" x14ac:dyDescent="0.3"/>
    <row r="8" spans="2:11" ht="51.9" customHeight="1" thickBot="1" x14ac:dyDescent="0.3">
      <c r="B8" s="509" t="s">
        <v>46</v>
      </c>
      <c r="C8" s="510"/>
      <c r="D8" s="571" t="s">
        <v>47</v>
      </c>
      <c r="E8" s="572"/>
      <c r="F8" s="509"/>
      <c r="G8" s="32" t="s">
        <v>17</v>
      </c>
      <c r="H8" s="510" t="s">
        <v>48</v>
      </c>
      <c r="I8" s="510"/>
      <c r="J8" s="510" t="s">
        <v>49</v>
      </c>
      <c r="K8" s="571"/>
    </row>
    <row r="9" spans="2:11" x14ac:dyDescent="0.25">
      <c r="B9" s="573"/>
      <c r="C9" s="573"/>
      <c r="D9" s="573"/>
      <c r="E9" s="573"/>
      <c r="F9" s="573"/>
      <c r="G9" s="573"/>
      <c r="H9" s="573"/>
      <c r="I9" s="573"/>
      <c r="J9" s="573"/>
      <c r="K9" s="573"/>
    </row>
    <row r="10" spans="2:11" x14ac:dyDescent="0.25">
      <c r="B10" s="501"/>
      <c r="C10" s="501"/>
      <c r="D10" s="501"/>
      <c r="E10" s="501"/>
      <c r="F10" s="501"/>
      <c r="G10" s="501"/>
      <c r="H10" s="640" t="s">
        <v>66</v>
      </c>
      <c r="I10" s="640"/>
      <c r="J10" s="501"/>
      <c r="K10" s="501"/>
    </row>
    <row r="11" spans="2:11" x14ac:dyDescent="0.25">
      <c r="B11" s="501"/>
      <c r="C11" s="501"/>
      <c r="D11" s="501"/>
      <c r="E11" s="501"/>
      <c r="F11" s="501"/>
      <c r="G11" s="501"/>
      <c r="H11" s="501"/>
      <c r="I11" s="501"/>
      <c r="J11" s="501"/>
      <c r="K11" s="501"/>
    </row>
    <row r="12" spans="2:11" x14ac:dyDescent="0.25">
      <c r="B12" s="501"/>
      <c r="C12" s="501"/>
      <c r="D12" s="501"/>
      <c r="E12" s="501"/>
      <c r="F12" s="501"/>
      <c r="G12" s="501"/>
      <c r="H12" s="501"/>
      <c r="I12" s="501"/>
      <c r="J12" s="501"/>
      <c r="K12" s="501"/>
    </row>
    <row r="13" spans="2:11" x14ac:dyDescent="0.25">
      <c r="B13" s="501"/>
      <c r="C13" s="501"/>
      <c r="D13" s="501"/>
      <c r="E13" s="501"/>
      <c r="F13" s="501"/>
      <c r="G13" s="501"/>
      <c r="H13" s="501"/>
      <c r="I13" s="501"/>
      <c r="J13" s="501"/>
      <c r="K13" s="501"/>
    </row>
    <row r="14" spans="2:11" x14ac:dyDescent="0.25">
      <c r="B14" s="501"/>
      <c r="C14" s="501"/>
      <c r="D14" s="501"/>
      <c r="E14" s="501"/>
      <c r="F14" s="501"/>
      <c r="G14" s="501"/>
      <c r="H14" s="501"/>
      <c r="I14" s="501"/>
      <c r="J14" s="501"/>
      <c r="K14" s="501"/>
    </row>
    <row r="15" spans="2:11" ht="15.6" x14ac:dyDescent="0.25">
      <c r="B15" s="554" t="s">
        <v>67</v>
      </c>
      <c r="C15" s="554"/>
      <c r="D15" s="554"/>
      <c r="E15" s="554"/>
      <c r="F15" s="554"/>
      <c r="G15" s="554"/>
      <c r="H15" s="513" t="s">
        <v>336</v>
      </c>
      <c r="I15" s="513"/>
      <c r="J15" s="511" t="s">
        <v>69</v>
      </c>
      <c r="K15" s="511"/>
    </row>
    <row r="16" spans="2:11" ht="12.75" customHeight="1" x14ac:dyDescent="0.25">
      <c r="B16" s="559">
        <f>13100/0.903</f>
        <v>14507.19822812846</v>
      </c>
      <c r="C16" s="523" t="s">
        <v>337</v>
      </c>
      <c r="D16" s="534" t="s">
        <v>495</v>
      </c>
      <c r="E16" s="541"/>
      <c r="F16" s="580"/>
      <c r="G16" s="537" t="s">
        <v>45</v>
      </c>
      <c r="H16" s="582" t="s">
        <v>70</v>
      </c>
      <c r="I16" s="544"/>
      <c r="J16" s="35" t="s">
        <v>2</v>
      </c>
      <c r="K16" s="528"/>
    </row>
    <row r="17" spans="2:11" ht="12.75" customHeight="1" x14ac:dyDescent="0.25">
      <c r="B17" s="560"/>
      <c r="C17" s="520"/>
      <c r="D17" s="535"/>
      <c r="E17" s="542"/>
      <c r="F17" s="609"/>
      <c r="G17" s="538"/>
      <c r="H17" s="583"/>
      <c r="I17" s="526"/>
      <c r="J17" s="34" t="s">
        <v>3</v>
      </c>
      <c r="K17" s="529"/>
    </row>
    <row r="18" spans="2:11" ht="12.75" customHeight="1" x14ac:dyDescent="0.25">
      <c r="B18" s="622">
        <f>26%*0.903</f>
        <v>0.23478000000000002</v>
      </c>
      <c r="C18" s="523" t="s">
        <v>96</v>
      </c>
      <c r="D18" s="534" t="s">
        <v>343</v>
      </c>
      <c r="E18" s="541"/>
      <c r="F18" s="580"/>
      <c r="G18" s="537" t="s">
        <v>45</v>
      </c>
      <c r="H18" s="583"/>
      <c r="I18" s="526"/>
      <c r="J18" s="539" t="s">
        <v>72</v>
      </c>
      <c r="K18" s="543"/>
    </row>
    <row r="19" spans="2:11" ht="12.75" customHeight="1" thickBot="1" x14ac:dyDescent="0.3">
      <c r="B19" s="623"/>
      <c r="C19" s="563"/>
      <c r="D19" s="549"/>
      <c r="E19" s="550"/>
      <c r="F19" s="643"/>
      <c r="G19" s="567"/>
      <c r="H19" s="583"/>
      <c r="I19" s="526"/>
      <c r="J19" s="549"/>
      <c r="K19" s="564"/>
    </row>
    <row r="20" spans="2:11" ht="12.75" customHeight="1" x14ac:dyDescent="0.25">
      <c r="B20" s="41">
        <v>0.64</v>
      </c>
      <c r="C20" s="519">
        <v>5</v>
      </c>
      <c r="D20" s="547" t="s">
        <v>494</v>
      </c>
      <c r="E20" s="548"/>
      <c r="F20" s="551"/>
      <c r="G20" s="552" t="s">
        <v>580</v>
      </c>
      <c r="H20" s="530" t="s">
        <v>71</v>
      </c>
      <c r="I20" s="526"/>
      <c r="J20" s="547" t="s">
        <v>330</v>
      </c>
      <c r="K20" s="551"/>
    </row>
    <row r="21" spans="2:11" ht="12.75" customHeight="1" x14ac:dyDescent="0.25">
      <c r="B21" s="38" t="s">
        <v>73</v>
      </c>
      <c r="C21" s="520"/>
      <c r="D21" s="535" t="s">
        <v>58</v>
      </c>
      <c r="E21" s="542"/>
      <c r="F21" s="529"/>
      <c r="G21" s="553"/>
      <c r="H21" s="531"/>
      <c r="I21" s="526"/>
      <c r="J21" s="539"/>
      <c r="K21" s="543"/>
    </row>
    <row r="22" spans="2:11" ht="12.75" customHeight="1" x14ac:dyDescent="0.25">
      <c r="B22" s="521">
        <f>3.4/1000</f>
        <v>3.3999999999999998E-3</v>
      </c>
      <c r="C22" s="523">
        <v>6</v>
      </c>
      <c r="D22" s="534" t="s">
        <v>496</v>
      </c>
      <c r="E22" s="541"/>
      <c r="F22" s="580"/>
      <c r="G22" s="537" t="s">
        <v>45</v>
      </c>
      <c r="H22" s="534" t="s">
        <v>74</v>
      </c>
      <c r="I22" s="528"/>
      <c r="J22" s="534" t="s">
        <v>332</v>
      </c>
      <c r="K22" s="536"/>
    </row>
    <row r="23" spans="2:11" ht="12.75" customHeight="1" x14ac:dyDescent="0.25">
      <c r="B23" s="522"/>
      <c r="C23" s="520"/>
      <c r="D23" s="535"/>
      <c r="E23" s="542"/>
      <c r="F23" s="609"/>
      <c r="G23" s="538"/>
      <c r="H23" s="539"/>
      <c r="I23" s="543"/>
      <c r="J23" s="535"/>
      <c r="K23" s="475"/>
    </row>
    <row r="24" spans="2:11" ht="12.75" customHeight="1" x14ac:dyDescent="0.25">
      <c r="B24" s="521">
        <v>6.6E-3</v>
      </c>
      <c r="C24" s="523">
        <v>7</v>
      </c>
      <c r="D24" s="534" t="s">
        <v>473</v>
      </c>
      <c r="E24" s="541"/>
      <c r="F24" s="580"/>
      <c r="G24" s="537" t="s">
        <v>45</v>
      </c>
      <c r="H24" s="650" t="s">
        <v>75</v>
      </c>
      <c r="I24" s="543"/>
      <c r="J24" s="534" t="s">
        <v>307</v>
      </c>
      <c r="K24" s="536"/>
    </row>
    <row r="25" spans="2:11" ht="12.75" customHeight="1" x14ac:dyDescent="0.25">
      <c r="B25" s="522"/>
      <c r="C25" s="520"/>
      <c r="D25" s="535"/>
      <c r="E25" s="542"/>
      <c r="F25" s="609"/>
      <c r="G25" s="538"/>
      <c r="H25" s="535"/>
      <c r="I25" s="529"/>
      <c r="J25" s="535"/>
      <c r="K25" s="475"/>
    </row>
    <row r="26" spans="2:11" ht="12.75" customHeight="1" x14ac:dyDescent="0.25">
      <c r="B26" s="559">
        <v>40</v>
      </c>
      <c r="C26" s="523"/>
      <c r="D26" s="534" t="s">
        <v>497</v>
      </c>
      <c r="E26" s="541"/>
      <c r="F26" s="580"/>
      <c r="G26" s="537" t="s">
        <v>580</v>
      </c>
      <c r="H26" s="582" t="s">
        <v>76</v>
      </c>
      <c r="I26" s="528"/>
      <c r="J26" s="534" t="s">
        <v>338</v>
      </c>
      <c r="K26" s="528"/>
    </row>
    <row r="27" spans="2:11" ht="12.75" customHeight="1" x14ac:dyDescent="0.25">
      <c r="B27" s="560"/>
      <c r="C27" s="520"/>
      <c r="D27" s="535"/>
      <c r="E27" s="542"/>
      <c r="F27" s="609"/>
      <c r="G27" s="538"/>
      <c r="H27" s="583"/>
      <c r="I27" s="543"/>
      <c r="J27" s="539"/>
      <c r="K27" s="543"/>
    </row>
    <row r="28" spans="2:11" ht="12.75" customHeight="1" x14ac:dyDescent="0.25">
      <c r="B28" s="559">
        <v>9</v>
      </c>
      <c r="C28" s="523">
        <v>8</v>
      </c>
      <c r="D28" s="534" t="s">
        <v>498</v>
      </c>
      <c r="E28" s="541"/>
      <c r="F28" s="580"/>
      <c r="G28" s="537" t="s">
        <v>45</v>
      </c>
      <c r="H28" s="530" t="s">
        <v>77</v>
      </c>
      <c r="I28" s="543"/>
      <c r="J28" s="539"/>
      <c r="K28" s="543"/>
    </row>
    <row r="29" spans="2:11" ht="12.75" customHeight="1" x14ac:dyDescent="0.25">
      <c r="B29" s="560"/>
      <c r="C29" s="520"/>
      <c r="D29" s="535"/>
      <c r="E29" s="542"/>
      <c r="F29" s="609"/>
      <c r="G29" s="538"/>
      <c r="H29" s="531"/>
      <c r="I29" s="529"/>
      <c r="J29" s="535"/>
      <c r="K29" s="529"/>
    </row>
    <row r="30" spans="2:11" ht="12.75" customHeight="1" x14ac:dyDescent="0.25">
      <c r="B30" s="557">
        <v>116.88</v>
      </c>
      <c r="C30" s="523">
        <v>9</v>
      </c>
      <c r="D30" s="534" t="s">
        <v>499</v>
      </c>
      <c r="E30" s="541"/>
      <c r="F30" s="580"/>
      <c r="G30" s="537" t="s">
        <v>580</v>
      </c>
      <c r="H30" s="35" t="s">
        <v>331</v>
      </c>
      <c r="I30" s="543"/>
      <c r="J30" s="582" t="s">
        <v>370</v>
      </c>
      <c r="K30" s="42"/>
    </row>
    <row r="31" spans="2:11" ht="12.75" customHeight="1" x14ac:dyDescent="0.25">
      <c r="B31" s="558"/>
      <c r="C31" s="520"/>
      <c r="D31" s="535"/>
      <c r="E31" s="542"/>
      <c r="F31" s="609"/>
      <c r="G31" s="538"/>
      <c r="H31" s="19" t="s">
        <v>138</v>
      </c>
      <c r="I31" s="529"/>
      <c r="J31" s="634"/>
      <c r="K31" s="43"/>
    </row>
    <row r="32" spans="2:11" x14ac:dyDescent="0.25">
      <c r="B32" s="44" t="s">
        <v>27</v>
      </c>
      <c r="C32" s="575"/>
      <c r="D32" s="575"/>
      <c r="E32" s="576"/>
      <c r="F32" s="575"/>
      <c r="G32" s="575"/>
      <c r="H32" s="575"/>
      <c r="I32" s="575"/>
      <c r="J32" s="575"/>
      <c r="K32" s="575"/>
    </row>
    <row r="33" spans="1:11" x14ac:dyDescent="0.25">
      <c r="B33" s="45"/>
      <c r="C33" s="46">
        <v>1</v>
      </c>
      <c r="D33" s="504" t="s">
        <v>339</v>
      </c>
      <c r="E33" s="504"/>
      <c r="F33" s="504"/>
      <c r="G33" s="504"/>
      <c r="H33" s="504"/>
      <c r="I33" s="504"/>
      <c r="J33" s="504"/>
      <c r="K33" s="504"/>
    </row>
    <row r="34" spans="1:11" ht="12.75" customHeight="1" x14ac:dyDescent="0.25">
      <c r="C34" s="47"/>
      <c r="D34" s="500" t="s">
        <v>77</v>
      </c>
      <c r="E34" s="500"/>
      <c r="F34" s="500"/>
      <c r="G34" s="500"/>
      <c r="H34" s="500"/>
      <c r="I34" s="500"/>
      <c r="J34" s="500"/>
      <c r="K34" s="500"/>
    </row>
    <row r="35" spans="1:11" x14ac:dyDescent="0.25">
      <c r="C35" s="48">
        <v>2</v>
      </c>
      <c r="D35" s="504" t="s">
        <v>373</v>
      </c>
      <c r="E35" s="504"/>
      <c r="F35" s="504"/>
      <c r="G35" s="504"/>
      <c r="H35" s="504"/>
      <c r="I35" s="504"/>
      <c r="J35" s="504"/>
      <c r="K35" s="504"/>
    </row>
    <row r="36" spans="1:11" x14ac:dyDescent="0.25">
      <c r="A36"/>
      <c r="C36" s="47"/>
      <c r="D36" s="27"/>
      <c r="E36" s="503"/>
      <c r="F36" s="503"/>
      <c r="G36" s="503"/>
      <c r="H36" s="503"/>
      <c r="I36" s="503"/>
      <c r="J36" s="503"/>
      <c r="K36" s="503"/>
    </row>
    <row r="37" spans="1:11" x14ac:dyDescent="0.25">
      <c r="C37" s="47"/>
      <c r="D37" s="49"/>
      <c r="E37" s="503"/>
      <c r="F37" s="503"/>
      <c r="G37" s="503"/>
      <c r="H37" s="503"/>
      <c r="I37" s="503"/>
      <c r="J37" s="503"/>
      <c r="K37" s="503"/>
    </row>
    <row r="38" spans="1:11" x14ac:dyDescent="0.25">
      <c r="C38" s="47"/>
      <c r="D38" s="49"/>
      <c r="E38" s="503"/>
      <c r="F38" s="503"/>
      <c r="G38" s="503"/>
      <c r="H38" s="503"/>
      <c r="I38" s="503"/>
      <c r="J38" s="503"/>
      <c r="K38" s="503"/>
    </row>
    <row r="39" spans="1:11" x14ac:dyDescent="0.25">
      <c r="C39" s="46">
        <v>3</v>
      </c>
      <c r="D39" s="504" t="s">
        <v>298</v>
      </c>
      <c r="E39" s="504"/>
      <c r="F39" s="504"/>
      <c r="G39" s="504"/>
      <c r="H39" s="504"/>
      <c r="I39" s="504"/>
      <c r="J39" s="504"/>
      <c r="K39" s="504"/>
    </row>
    <row r="40" spans="1:11" x14ac:dyDescent="0.25">
      <c r="B40" s="45"/>
      <c r="C40" s="46">
        <v>4</v>
      </c>
      <c r="D40" s="504" t="s">
        <v>340</v>
      </c>
      <c r="E40" s="504"/>
      <c r="F40" s="504"/>
      <c r="G40" s="504"/>
      <c r="H40" s="504"/>
      <c r="I40" s="504"/>
      <c r="J40" s="504"/>
      <c r="K40" s="504"/>
    </row>
    <row r="41" spans="1:11" x14ac:dyDescent="0.25">
      <c r="C41" s="47"/>
      <c r="D41" s="504"/>
      <c r="E41" s="504"/>
      <c r="F41" s="504"/>
      <c r="G41" s="504"/>
      <c r="H41" s="504"/>
      <c r="I41" s="504"/>
      <c r="J41" s="504"/>
      <c r="K41" s="504"/>
    </row>
    <row r="42" spans="1:11" x14ac:dyDescent="0.25">
      <c r="C42" s="46">
        <f>+C20</f>
        <v>5</v>
      </c>
      <c r="D42" s="504" t="s">
        <v>341</v>
      </c>
      <c r="E42" s="504"/>
      <c r="F42" s="504"/>
      <c r="G42" s="504"/>
      <c r="H42" s="504"/>
      <c r="I42" s="504"/>
      <c r="J42" s="504"/>
      <c r="K42" s="504"/>
    </row>
    <row r="43" spans="1:11" x14ac:dyDescent="0.25">
      <c r="C43" s="47"/>
      <c r="D43" s="504"/>
      <c r="E43" s="504"/>
      <c r="F43" s="504"/>
      <c r="G43" s="504"/>
      <c r="H43" s="504"/>
      <c r="I43" s="504"/>
      <c r="J43" s="504"/>
      <c r="K43" s="504"/>
    </row>
    <row r="44" spans="1:11" x14ac:dyDescent="0.25">
      <c r="C44" s="46">
        <f>+C22</f>
        <v>6</v>
      </c>
      <c r="D44" s="504" t="s">
        <v>383</v>
      </c>
      <c r="E44" s="504"/>
      <c r="F44" s="504"/>
      <c r="G44" s="504"/>
      <c r="H44" s="504"/>
      <c r="I44" s="504"/>
      <c r="J44" s="504"/>
      <c r="K44" s="504"/>
    </row>
    <row r="45" spans="1:11" x14ac:dyDescent="0.25">
      <c r="C45" s="46"/>
      <c r="D45" s="504"/>
      <c r="E45" s="504"/>
      <c r="F45" s="504"/>
      <c r="G45" s="504"/>
      <c r="H45" s="504"/>
      <c r="I45" s="504"/>
      <c r="J45" s="504"/>
      <c r="K45" s="504"/>
    </row>
    <row r="46" spans="1:11" x14ac:dyDescent="0.25">
      <c r="C46" s="47"/>
      <c r="D46" s="504"/>
      <c r="E46" s="504"/>
      <c r="F46" s="504"/>
      <c r="G46" s="504"/>
      <c r="H46" s="504"/>
      <c r="I46" s="504"/>
      <c r="J46" s="504"/>
      <c r="K46" s="504"/>
    </row>
    <row r="47" spans="1:11" x14ac:dyDescent="0.25">
      <c r="C47" s="47"/>
      <c r="D47" s="500" t="s">
        <v>75</v>
      </c>
      <c r="E47" s="504"/>
      <c r="F47" s="504"/>
      <c r="G47" s="504"/>
      <c r="H47" s="504"/>
      <c r="I47" s="504"/>
      <c r="J47" s="504"/>
      <c r="K47" s="504"/>
    </row>
    <row r="48" spans="1:11" x14ac:dyDescent="0.25">
      <c r="C48" s="46">
        <f>+C24</f>
        <v>7</v>
      </c>
      <c r="D48" s="504" t="s">
        <v>342</v>
      </c>
      <c r="E48" s="504"/>
      <c r="F48" s="504"/>
      <c r="G48" s="504"/>
      <c r="H48" s="504"/>
      <c r="I48" s="504"/>
      <c r="J48" s="504"/>
      <c r="K48" s="504"/>
    </row>
    <row r="49" spans="2:11" x14ac:dyDescent="0.25">
      <c r="C49" s="46"/>
      <c r="D49" s="504"/>
      <c r="E49" s="504"/>
      <c r="F49" s="504"/>
      <c r="G49" s="504"/>
      <c r="H49" s="504"/>
      <c r="I49" s="504"/>
      <c r="J49" s="504"/>
      <c r="K49" s="504"/>
    </row>
    <row r="50" spans="2:11" x14ac:dyDescent="0.25">
      <c r="C50" s="47"/>
      <c r="D50" s="504"/>
      <c r="E50" s="504"/>
      <c r="F50" s="504"/>
      <c r="G50" s="504"/>
      <c r="H50" s="504"/>
      <c r="I50" s="504"/>
      <c r="J50" s="504"/>
      <c r="K50" s="504"/>
    </row>
    <row r="51" spans="2:11" x14ac:dyDescent="0.25">
      <c r="C51" s="46">
        <f>+C28</f>
        <v>8</v>
      </c>
      <c r="D51" s="504" t="s">
        <v>380</v>
      </c>
      <c r="E51" s="504"/>
      <c r="F51" s="504"/>
      <c r="G51" s="504"/>
      <c r="H51" s="504"/>
      <c r="I51" s="504"/>
      <c r="J51" s="504"/>
      <c r="K51" s="504"/>
    </row>
    <row r="52" spans="2:11" x14ac:dyDescent="0.25">
      <c r="C52" s="46">
        <f>+C30</f>
        <v>9</v>
      </c>
      <c r="D52" s="649" t="s">
        <v>586</v>
      </c>
      <c r="E52" s="649"/>
      <c r="F52" s="649"/>
      <c r="G52" s="649"/>
      <c r="H52" s="649"/>
      <c r="I52" s="649"/>
      <c r="J52" s="649"/>
      <c r="K52" s="649"/>
    </row>
    <row r="53" spans="2:11" x14ac:dyDescent="0.25">
      <c r="C53" s="47"/>
      <c r="D53" s="649"/>
      <c r="E53" s="649"/>
      <c r="F53" s="649"/>
      <c r="G53" s="649"/>
      <c r="H53" s="649"/>
      <c r="I53" s="649"/>
      <c r="J53" s="649"/>
      <c r="K53" s="649"/>
    </row>
    <row r="54" spans="2:11" x14ac:dyDescent="0.25">
      <c r="C54" s="47"/>
      <c r="D54" s="649"/>
      <c r="E54" s="649"/>
      <c r="F54" s="649"/>
      <c r="G54" s="649"/>
      <c r="H54" s="649"/>
      <c r="I54" s="649"/>
      <c r="J54" s="649"/>
      <c r="K54" s="649"/>
    </row>
    <row r="55" spans="2:11" x14ac:dyDescent="0.25">
      <c r="C55" s="47"/>
      <c r="E55" s="501"/>
      <c r="F55" s="501"/>
      <c r="G55" s="501"/>
      <c r="H55" s="501"/>
      <c r="I55" s="501"/>
      <c r="J55" s="501"/>
      <c r="K55" s="501"/>
    </row>
    <row r="56" spans="2:11" x14ac:dyDescent="0.25">
      <c r="E56" s="501"/>
      <c r="F56" s="501"/>
      <c r="G56" s="501"/>
      <c r="H56" s="501"/>
      <c r="I56" s="501"/>
      <c r="J56" s="501"/>
      <c r="K56" s="501"/>
    </row>
    <row r="57" spans="2:11" x14ac:dyDescent="0.25">
      <c r="E57" s="501"/>
      <c r="F57" s="501"/>
      <c r="G57" s="501"/>
      <c r="H57" s="501"/>
      <c r="I57" s="501"/>
      <c r="J57" s="501"/>
      <c r="K57" s="501"/>
    </row>
    <row r="58" spans="2:11" x14ac:dyDescent="0.25">
      <c r="B58" s="501"/>
      <c r="C58" s="501"/>
      <c r="D58" s="501"/>
      <c r="E58" s="501"/>
      <c r="F58" s="501"/>
      <c r="G58" s="501"/>
      <c r="H58" s="501"/>
      <c r="I58" s="501"/>
      <c r="J58" s="501"/>
      <c r="K58" s="501"/>
    </row>
    <row r="59" spans="2:11" x14ac:dyDescent="0.25">
      <c r="B59" s="501"/>
      <c r="C59" s="501"/>
      <c r="D59" s="501"/>
      <c r="E59" s="501"/>
      <c r="F59" s="501"/>
      <c r="G59" s="501"/>
      <c r="H59" s="501"/>
      <c r="I59" s="501"/>
      <c r="J59" s="501"/>
      <c r="K59" s="501"/>
    </row>
    <row r="60" spans="2:11" x14ac:dyDescent="0.25">
      <c r="B60" s="501"/>
      <c r="C60" s="501"/>
      <c r="D60" s="501"/>
      <c r="E60" s="501"/>
      <c r="F60" s="501"/>
      <c r="G60" s="501"/>
      <c r="H60" s="501"/>
      <c r="I60" s="501"/>
      <c r="J60" s="501"/>
      <c r="K60" s="501"/>
    </row>
    <row r="61" spans="2:11" x14ac:dyDescent="0.25">
      <c r="B61" s="501"/>
      <c r="C61" s="501"/>
      <c r="D61" s="501"/>
      <c r="E61" s="501"/>
      <c r="F61" s="501"/>
      <c r="G61" s="501"/>
      <c r="H61" s="501"/>
      <c r="I61" s="501"/>
      <c r="J61" s="501"/>
      <c r="K61" s="501"/>
    </row>
    <row r="62" spans="2:11" x14ac:dyDescent="0.25">
      <c r="B62" s="501"/>
      <c r="C62" s="501"/>
      <c r="D62" s="501"/>
      <c r="E62" s="501"/>
      <c r="F62" s="501"/>
      <c r="G62" s="501"/>
      <c r="H62" s="501"/>
      <c r="I62" s="501"/>
      <c r="J62" s="501"/>
      <c r="K62" s="501"/>
    </row>
    <row r="63" spans="2:11" x14ac:dyDescent="0.25">
      <c r="B63" s="501"/>
      <c r="C63" s="501"/>
      <c r="D63" s="501"/>
      <c r="E63" s="501"/>
      <c r="F63" s="501"/>
      <c r="G63" s="501"/>
      <c r="H63" s="501"/>
      <c r="I63" s="501"/>
      <c r="J63" s="501"/>
      <c r="K63" s="501"/>
    </row>
    <row r="64" spans="2:11" x14ac:dyDescent="0.25">
      <c r="B64" s="501"/>
      <c r="C64" s="501"/>
      <c r="D64" s="501"/>
      <c r="E64" s="501"/>
      <c r="F64" s="501"/>
      <c r="G64" s="501"/>
      <c r="H64" s="501"/>
      <c r="I64" s="501"/>
      <c r="J64" s="501"/>
      <c r="K64" s="501"/>
    </row>
    <row r="65" spans="2:11" x14ac:dyDescent="0.25">
      <c r="B65" s="501"/>
      <c r="C65" s="501"/>
      <c r="D65" s="501"/>
      <c r="E65" s="501"/>
      <c r="F65" s="501"/>
      <c r="G65" s="501"/>
      <c r="H65" s="501"/>
      <c r="I65" s="501"/>
      <c r="J65" s="501"/>
      <c r="K65" s="501"/>
    </row>
    <row r="66" spans="2:11" x14ac:dyDescent="0.25">
      <c r="B66" s="554" t="s">
        <v>80</v>
      </c>
      <c r="C66" s="554"/>
      <c r="D66" s="554"/>
      <c r="E66" s="554"/>
      <c r="F66" s="554"/>
      <c r="G66" s="554"/>
      <c r="H66" s="513" t="s">
        <v>240</v>
      </c>
      <c r="I66" s="513"/>
      <c r="J66" s="511" t="s">
        <v>81</v>
      </c>
      <c r="K66" s="511"/>
    </row>
    <row r="67" spans="2:11" ht="12.75" customHeight="1" x14ac:dyDescent="0.25">
      <c r="B67" s="559">
        <f>11630/0.903</f>
        <v>12879.291251384275</v>
      </c>
      <c r="C67" s="523">
        <v>1</v>
      </c>
      <c r="D67" s="534" t="s">
        <v>495</v>
      </c>
      <c r="E67" s="541"/>
      <c r="F67" s="580"/>
      <c r="G67" s="537" t="s">
        <v>45</v>
      </c>
      <c r="H67" s="534" t="s">
        <v>82</v>
      </c>
      <c r="I67" s="544"/>
      <c r="J67" s="63" t="s">
        <v>520</v>
      </c>
      <c r="K67" s="37"/>
    </row>
    <row r="68" spans="2:11" ht="12.75" customHeight="1" x14ac:dyDescent="0.25">
      <c r="B68" s="560"/>
      <c r="C68" s="520"/>
      <c r="D68" s="535"/>
      <c r="E68" s="542"/>
      <c r="F68" s="609"/>
      <c r="G68" s="538"/>
      <c r="H68" s="657"/>
      <c r="I68" s="526"/>
      <c r="J68" s="34" t="s">
        <v>351</v>
      </c>
      <c r="K68" s="36"/>
    </row>
    <row r="69" spans="2:11" ht="12.75" customHeight="1" x14ac:dyDescent="0.25">
      <c r="B69" s="622">
        <f>27.9%*0.903</f>
        <v>0.25193699999999997</v>
      </c>
      <c r="C69" s="523">
        <v>3</v>
      </c>
      <c r="D69" s="534" t="s">
        <v>343</v>
      </c>
      <c r="E69" s="541"/>
      <c r="F69" s="580"/>
      <c r="G69" s="537" t="s">
        <v>45</v>
      </c>
      <c r="H69" s="530" t="s">
        <v>83</v>
      </c>
      <c r="I69" s="526"/>
      <c r="J69" s="539" t="s">
        <v>241</v>
      </c>
      <c r="K69" s="543"/>
    </row>
    <row r="70" spans="2:11" ht="13.5" customHeight="1" thickBot="1" x14ac:dyDescent="0.3">
      <c r="B70" s="623"/>
      <c r="C70" s="563"/>
      <c r="D70" s="549"/>
      <c r="E70" s="550"/>
      <c r="F70" s="643"/>
      <c r="G70" s="567"/>
      <c r="H70" s="568"/>
      <c r="I70" s="616"/>
      <c r="J70" s="549"/>
      <c r="K70" s="564"/>
    </row>
    <row r="71" spans="2:11" ht="12.75" customHeight="1" x14ac:dyDescent="0.25">
      <c r="B71" s="658">
        <v>15</v>
      </c>
      <c r="C71" s="562">
        <v>4</v>
      </c>
      <c r="D71" s="547" t="s">
        <v>500</v>
      </c>
      <c r="E71" s="548"/>
      <c r="F71" s="645"/>
      <c r="G71" s="553" t="s">
        <v>580</v>
      </c>
      <c r="H71" s="539" t="s">
        <v>84</v>
      </c>
      <c r="I71" s="523"/>
      <c r="J71" s="547" t="s">
        <v>242</v>
      </c>
      <c r="K71" s="497"/>
    </row>
    <row r="72" spans="2:11" x14ac:dyDescent="0.25">
      <c r="B72" s="628"/>
      <c r="C72" s="520"/>
      <c r="D72" s="535"/>
      <c r="E72" s="542"/>
      <c r="F72" s="609"/>
      <c r="G72" s="538"/>
      <c r="H72" s="535"/>
      <c r="I72" s="520"/>
      <c r="J72" s="535"/>
      <c r="K72" s="475"/>
    </row>
    <row r="73" spans="2:11" ht="12.75" customHeight="1" x14ac:dyDescent="0.25">
      <c r="B73" s="588">
        <f>3.4/1000</f>
        <v>3.3999999999999998E-3</v>
      </c>
      <c r="C73" s="523">
        <v>5</v>
      </c>
      <c r="D73" s="534" t="s">
        <v>496</v>
      </c>
      <c r="E73" s="541"/>
      <c r="F73" s="580"/>
      <c r="G73" s="537" t="s">
        <v>45</v>
      </c>
      <c r="H73" s="534" t="s">
        <v>85</v>
      </c>
      <c r="I73" s="536"/>
      <c r="J73" s="534" t="s">
        <v>528</v>
      </c>
      <c r="K73" s="523"/>
    </row>
    <row r="74" spans="2:11" ht="12.75" customHeight="1" x14ac:dyDescent="0.25">
      <c r="B74" s="589"/>
      <c r="C74" s="520"/>
      <c r="D74" s="535"/>
      <c r="E74" s="542"/>
      <c r="F74" s="609"/>
      <c r="G74" s="538"/>
      <c r="H74" s="535"/>
      <c r="I74" s="475"/>
      <c r="J74" s="535"/>
      <c r="K74" s="520"/>
    </row>
    <row r="75" spans="2:11" ht="12.75" customHeight="1" x14ac:dyDescent="0.25">
      <c r="B75" s="588">
        <v>1.7999999999999999E-2</v>
      </c>
      <c r="C75" s="523">
        <v>7</v>
      </c>
      <c r="D75" s="534" t="s">
        <v>473</v>
      </c>
      <c r="E75" s="541"/>
      <c r="F75" s="580"/>
      <c r="G75" s="537" t="s">
        <v>45</v>
      </c>
      <c r="H75" s="534" t="s">
        <v>86</v>
      </c>
      <c r="I75" s="523"/>
      <c r="J75" s="534" t="s">
        <v>367</v>
      </c>
      <c r="K75" s="536"/>
    </row>
    <row r="76" spans="2:11" ht="12.75" customHeight="1" x14ac:dyDescent="0.25">
      <c r="B76" s="589"/>
      <c r="C76" s="520"/>
      <c r="D76" s="535"/>
      <c r="E76" s="542"/>
      <c r="F76" s="609"/>
      <c r="G76" s="538"/>
      <c r="H76" s="535"/>
      <c r="I76" s="520"/>
      <c r="J76" s="535"/>
      <c r="K76" s="475"/>
    </row>
    <row r="77" spans="2:11" ht="12.75" customHeight="1" x14ac:dyDescent="0.25">
      <c r="B77" s="636">
        <v>25</v>
      </c>
      <c r="C77" s="523">
        <v>8</v>
      </c>
      <c r="D77" s="534" t="s">
        <v>497</v>
      </c>
      <c r="E77" s="541"/>
      <c r="F77" s="580"/>
      <c r="G77" s="537" t="s">
        <v>579</v>
      </c>
      <c r="H77" s="534" t="s">
        <v>84</v>
      </c>
      <c r="I77" s="617"/>
      <c r="J77" s="534" t="s">
        <v>243</v>
      </c>
      <c r="K77" s="536"/>
    </row>
    <row r="78" spans="2:11" x14ac:dyDescent="0.25">
      <c r="B78" s="628"/>
      <c r="C78" s="520"/>
      <c r="D78" s="535"/>
      <c r="E78" s="542"/>
      <c r="F78" s="609"/>
      <c r="G78" s="538"/>
      <c r="H78" s="539"/>
      <c r="I78" s="618"/>
      <c r="J78" s="535"/>
      <c r="K78" s="475"/>
    </row>
    <row r="79" spans="2:11" ht="12.75" customHeight="1" x14ac:dyDescent="0.25">
      <c r="B79" s="641">
        <v>25</v>
      </c>
      <c r="C79" s="523"/>
      <c r="D79" s="534" t="s">
        <v>498</v>
      </c>
      <c r="E79" s="541"/>
      <c r="F79" s="580"/>
      <c r="G79" s="537" t="s">
        <v>45</v>
      </c>
      <c r="H79" s="539"/>
      <c r="I79" s="618"/>
      <c r="J79" s="534" t="s">
        <v>244</v>
      </c>
      <c r="K79" s="536"/>
    </row>
    <row r="80" spans="2:11" x14ac:dyDescent="0.25">
      <c r="B80" s="642"/>
      <c r="C80" s="520"/>
      <c r="D80" s="535"/>
      <c r="E80" s="542"/>
      <c r="F80" s="609"/>
      <c r="G80" s="538"/>
      <c r="H80" s="535"/>
      <c r="I80" s="633"/>
      <c r="J80" s="535"/>
      <c r="K80" s="475"/>
    </row>
    <row r="81" spans="2:11" ht="12.75" customHeight="1" x14ac:dyDescent="0.25">
      <c r="B81" s="646">
        <v>116.88</v>
      </c>
      <c r="C81" s="523">
        <v>9</v>
      </c>
      <c r="D81" s="534" t="s">
        <v>499</v>
      </c>
      <c r="E81" s="541"/>
      <c r="F81" s="580"/>
      <c r="G81" s="537" t="s">
        <v>579</v>
      </c>
      <c r="H81" s="35" t="s">
        <v>141</v>
      </c>
      <c r="I81" s="536"/>
      <c r="J81" s="534" t="s">
        <v>362</v>
      </c>
      <c r="K81" s="523"/>
    </row>
    <row r="82" spans="2:11" x14ac:dyDescent="0.25">
      <c r="B82" s="647"/>
      <c r="C82" s="520"/>
      <c r="D82" s="535"/>
      <c r="E82" s="542"/>
      <c r="F82" s="609"/>
      <c r="G82" s="538"/>
      <c r="H82" s="19" t="s">
        <v>138</v>
      </c>
      <c r="I82" s="475"/>
      <c r="J82" s="535"/>
      <c r="K82" s="520"/>
    </row>
    <row r="83" spans="2:11" x14ac:dyDescent="0.25">
      <c r="B83" s="20" t="s">
        <v>27</v>
      </c>
      <c r="C83" s="575"/>
      <c r="D83" s="575"/>
      <c r="E83" s="576"/>
      <c r="F83" s="575"/>
      <c r="G83" s="575"/>
      <c r="H83" s="575"/>
      <c r="I83" s="575"/>
      <c r="J83" s="575"/>
      <c r="K83" s="575"/>
    </row>
    <row r="84" spans="2:11" x14ac:dyDescent="0.25">
      <c r="C84" s="50">
        <f>+C67</f>
        <v>1</v>
      </c>
      <c r="D84" s="599" t="s">
        <v>374</v>
      </c>
      <c r="E84" s="599"/>
      <c r="F84" s="599"/>
      <c r="G84" s="599"/>
      <c r="H84" s="599"/>
      <c r="I84" s="599"/>
      <c r="J84" s="599"/>
      <c r="K84" s="599"/>
    </row>
    <row r="85" spans="2:11" x14ac:dyDescent="0.25">
      <c r="C85" s="50"/>
      <c r="D85" s="51"/>
      <c r="E85" s="594"/>
      <c r="F85" s="594"/>
      <c r="G85" s="594"/>
      <c r="H85" s="594"/>
      <c r="I85" s="594"/>
      <c r="J85" s="594"/>
      <c r="K85" s="594"/>
    </row>
    <row r="86" spans="2:11" x14ac:dyDescent="0.25">
      <c r="C86" s="50"/>
      <c r="D86" s="51"/>
      <c r="E86" s="594"/>
      <c r="F86" s="594"/>
      <c r="G86" s="594"/>
      <c r="H86" s="594"/>
      <c r="I86" s="594"/>
      <c r="J86" s="594"/>
      <c r="K86" s="594"/>
    </row>
    <row r="87" spans="2:11" x14ac:dyDescent="0.25">
      <c r="C87" s="50"/>
      <c r="D87" s="51"/>
      <c r="E87" s="594"/>
      <c r="F87" s="594"/>
      <c r="G87" s="594"/>
      <c r="H87" s="594"/>
      <c r="I87" s="594"/>
      <c r="J87" s="594"/>
      <c r="K87" s="594"/>
    </row>
    <row r="88" spans="2:11" x14ac:dyDescent="0.25">
      <c r="C88" s="52">
        <v>2</v>
      </c>
      <c r="D88" s="504" t="s">
        <v>89</v>
      </c>
      <c r="E88" s="504"/>
      <c r="F88" s="504"/>
      <c r="G88" s="504"/>
      <c r="H88" s="504"/>
      <c r="I88" s="504"/>
      <c r="J88" s="504"/>
      <c r="K88" s="504"/>
    </row>
    <row r="89" spans="2:11" x14ac:dyDescent="0.25">
      <c r="C89" s="53"/>
      <c r="D89" s="504"/>
      <c r="E89" s="504"/>
      <c r="F89" s="504"/>
      <c r="G89" s="504"/>
      <c r="H89" s="504"/>
      <c r="I89" s="504"/>
      <c r="J89" s="504"/>
      <c r="K89" s="504"/>
    </row>
    <row r="90" spans="2:11" x14ac:dyDescent="0.25">
      <c r="C90" s="53"/>
      <c r="D90" s="500" t="s">
        <v>90</v>
      </c>
      <c r="E90" s="500"/>
      <c r="F90" s="500"/>
      <c r="G90" s="504"/>
      <c r="H90" s="504"/>
      <c r="I90" s="504"/>
      <c r="J90" s="504"/>
      <c r="K90" s="504"/>
    </row>
    <row r="91" spans="2:11" x14ac:dyDescent="0.25">
      <c r="C91" s="52">
        <f>+C69</f>
        <v>3</v>
      </c>
      <c r="D91" s="504" t="s">
        <v>299</v>
      </c>
      <c r="E91" s="504"/>
      <c r="F91" s="504"/>
      <c r="G91" s="504"/>
      <c r="H91" s="504"/>
      <c r="I91" s="504"/>
      <c r="J91" s="504"/>
      <c r="K91" s="504"/>
    </row>
    <row r="92" spans="2:11" x14ac:dyDescent="0.25">
      <c r="C92" s="52">
        <f>+C71</f>
        <v>4</v>
      </c>
      <c r="D92" s="504" t="s">
        <v>91</v>
      </c>
      <c r="E92" s="504"/>
      <c r="F92" s="504"/>
      <c r="G92" s="504"/>
      <c r="H92" s="504"/>
      <c r="I92" s="504"/>
      <c r="J92" s="504"/>
      <c r="K92" s="504"/>
    </row>
    <row r="93" spans="2:11" ht="12.75" customHeight="1" x14ac:dyDescent="0.25">
      <c r="C93" s="52">
        <f>+C73</f>
        <v>5</v>
      </c>
      <c r="D93" s="533" t="s">
        <v>384</v>
      </c>
      <c r="E93" s="533"/>
      <c r="F93" s="533"/>
      <c r="G93" s="533"/>
      <c r="H93" s="533"/>
      <c r="I93" s="533"/>
      <c r="J93" s="533"/>
      <c r="K93" s="533"/>
    </row>
    <row r="94" spans="2:11" ht="12.75" customHeight="1" x14ac:dyDescent="0.25">
      <c r="C94" s="52">
        <v>6</v>
      </c>
      <c r="D94" s="54" t="s">
        <v>385</v>
      </c>
      <c r="E94" s="33"/>
      <c r="F94" s="579" t="s">
        <v>75</v>
      </c>
      <c r="G94" s="533"/>
      <c r="H94" s="533"/>
      <c r="I94" s="533"/>
      <c r="J94" s="533"/>
      <c r="K94" s="533"/>
    </row>
    <row r="95" spans="2:11" ht="12.75" customHeight="1" x14ac:dyDescent="0.25">
      <c r="C95" s="52">
        <f>+C75</f>
        <v>7</v>
      </c>
      <c r="D95" s="599" t="s">
        <v>368</v>
      </c>
      <c r="E95" s="599"/>
      <c r="F95" s="599"/>
      <c r="G95" s="599"/>
      <c r="H95" s="599"/>
      <c r="I95" s="599"/>
      <c r="J95" s="599"/>
      <c r="K95" s="599"/>
    </row>
    <row r="96" spans="2:11" ht="12.75" customHeight="1" x14ac:dyDescent="0.25">
      <c r="C96" s="52"/>
      <c r="D96" s="599"/>
      <c r="E96" s="599"/>
      <c r="F96" s="599"/>
      <c r="G96" s="599"/>
      <c r="H96" s="599"/>
      <c r="I96" s="599"/>
      <c r="J96" s="599"/>
      <c r="K96" s="599"/>
    </row>
    <row r="97" spans="2:11" x14ac:dyDescent="0.25">
      <c r="C97" s="52">
        <f>+C77</f>
        <v>8</v>
      </c>
      <c r="D97" s="504" t="s">
        <v>1</v>
      </c>
      <c r="E97" s="504"/>
      <c r="F97" s="504"/>
      <c r="G97" s="504"/>
      <c r="H97" s="504"/>
      <c r="I97" s="504"/>
      <c r="J97" s="504"/>
      <c r="K97" s="504"/>
    </row>
    <row r="98" spans="2:11" x14ac:dyDescent="0.25">
      <c r="C98" s="52">
        <f>+C81</f>
        <v>9</v>
      </c>
      <c r="D98" s="504" t="s">
        <v>389</v>
      </c>
      <c r="E98" s="504"/>
      <c r="F98" s="504"/>
      <c r="G98" s="504"/>
      <c r="H98" s="504"/>
      <c r="I98" s="504"/>
      <c r="J98" s="504"/>
      <c r="K98" s="504"/>
    </row>
    <row r="99" spans="2:11" x14ac:dyDescent="0.25">
      <c r="C99" s="52"/>
      <c r="D99" s="504"/>
      <c r="E99" s="504"/>
      <c r="F99" s="504"/>
      <c r="G99" s="504"/>
      <c r="H99" s="504"/>
      <c r="I99" s="504"/>
      <c r="J99" s="504"/>
      <c r="K99" s="504"/>
    </row>
    <row r="100" spans="2:11" x14ac:dyDescent="0.25">
      <c r="C100" s="52"/>
      <c r="D100" s="504"/>
      <c r="E100" s="504"/>
      <c r="F100" s="504"/>
      <c r="G100" s="504"/>
      <c r="H100" s="504"/>
      <c r="I100" s="504"/>
      <c r="J100" s="504"/>
      <c r="K100" s="504"/>
    </row>
    <row r="101" spans="2:11" x14ac:dyDescent="0.25">
      <c r="B101" s="501"/>
      <c r="C101" s="501"/>
      <c r="D101" s="501"/>
      <c r="E101" s="501"/>
      <c r="F101" s="501"/>
      <c r="G101" s="501"/>
      <c r="H101" s="501"/>
      <c r="I101" s="501"/>
      <c r="J101" s="501"/>
      <c r="K101" s="501"/>
    </row>
    <row r="102" spans="2:11" x14ac:dyDescent="0.25">
      <c r="B102" s="501"/>
      <c r="C102" s="501"/>
      <c r="D102" s="501"/>
      <c r="E102" s="501"/>
      <c r="F102" s="501"/>
      <c r="G102" s="501"/>
      <c r="H102" s="501"/>
      <c r="I102" s="501"/>
      <c r="J102" s="501"/>
      <c r="K102" s="501"/>
    </row>
    <row r="103" spans="2:11" x14ac:dyDescent="0.25">
      <c r="B103" s="501"/>
      <c r="C103" s="501"/>
      <c r="D103" s="501"/>
      <c r="E103" s="501"/>
      <c r="F103" s="501"/>
      <c r="G103" s="501"/>
      <c r="H103" s="501"/>
      <c r="I103" s="501"/>
      <c r="J103" s="501"/>
      <c r="K103" s="501"/>
    </row>
    <row r="104" spans="2:11" x14ac:dyDescent="0.25">
      <c r="B104" s="501"/>
      <c r="C104" s="501"/>
      <c r="D104" s="501"/>
      <c r="E104" s="501"/>
      <c r="F104" s="501"/>
      <c r="G104" s="501"/>
      <c r="H104" s="501"/>
      <c r="I104" s="501"/>
      <c r="J104" s="501"/>
      <c r="K104" s="501"/>
    </row>
    <row r="105" spans="2:11" x14ac:dyDescent="0.25">
      <c r="B105" s="501"/>
      <c r="C105" s="501"/>
      <c r="D105" s="501"/>
      <c r="E105" s="501"/>
      <c r="F105" s="501"/>
      <c r="G105" s="501"/>
      <c r="H105" s="501"/>
      <c r="I105" s="501"/>
      <c r="J105" s="501"/>
      <c r="K105" s="501"/>
    </row>
    <row r="106" spans="2:11" x14ac:dyDescent="0.25">
      <c r="B106" s="501"/>
      <c r="C106" s="501"/>
      <c r="D106" s="501"/>
      <c r="E106" s="501"/>
      <c r="F106" s="501"/>
      <c r="G106" s="501"/>
      <c r="H106" s="501"/>
      <c r="I106" s="501"/>
      <c r="J106" s="501"/>
      <c r="K106" s="501"/>
    </row>
    <row r="107" spans="2:11" x14ac:dyDescent="0.25">
      <c r="B107" s="501"/>
      <c r="C107" s="501"/>
      <c r="D107" s="501"/>
      <c r="E107" s="501"/>
      <c r="F107" s="501"/>
      <c r="G107" s="501"/>
      <c r="H107" s="501"/>
      <c r="I107" s="501"/>
      <c r="J107" s="501"/>
      <c r="K107" s="501"/>
    </row>
    <row r="108" spans="2:11" x14ac:dyDescent="0.25">
      <c r="B108" s="501"/>
      <c r="C108" s="501"/>
      <c r="D108" s="501"/>
      <c r="E108" s="501"/>
      <c r="F108" s="501"/>
      <c r="G108" s="501"/>
      <c r="H108" s="501"/>
      <c r="I108" s="501"/>
      <c r="J108" s="501"/>
      <c r="K108" s="501"/>
    </row>
    <row r="109" spans="2:11" x14ac:dyDescent="0.25">
      <c r="B109" s="501"/>
      <c r="C109" s="501"/>
      <c r="D109" s="501"/>
      <c r="E109" s="501"/>
      <c r="F109" s="501"/>
      <c r="G109" s="501"/>
      <c r="H109" s="501"/>
      <c r="I109" s="501"/>
      <c r="J109" s="501"/>
      <c r="K109" s="501"/>
    </row>
    <row r="110" spans="2:11" x14ac:dyDescent="0.25">
      <c r="B110" s="501"/>
      <c r="C110" s="501"/>
      <c r="D110" s="501"/>
      <c r="E110" s="501"/>
      <c r="F110" s="501"/>
      <c r="G110" s="501"/>
      <c r="H110" s="501"/>
      <c r="I110" s="501"/>
      <c r="J110" s="501"/>
      <c r="K110" s="501"/>
    </row>
    <row r="111" spans="2:11" x14ac:dyDescent="0.25">
      <c r="B111" s="501"/>
      <c r="C111" s="501"/>
      <c r="D111" s="501"/>
      <c r="E111" s="501"/>
      <c r="F111" s="501"/>
      <c r="G111" s="501"/>
      <c r="H111" s="501"/>
      <c r="I111" s="501"/>
      <c r="J111" s="501"/>
      <c r="K111" s="501"/>
    </row>
    <row r="112" spans="2:11" x14ac:dyDescent="0.25">
      <c r="B112" s="501"/>
      <c r="C112" s="501"/>
      <c r="D112" s="501"/>
      <c r="E112" s="501"/>
      <c r="F112" s="501"/>
      <c r="G112" s="501"/>
      <c r="H112" s="501"/>
      <c r="I112" s="501"/>
      <c r="J112" s="501"/>
      <c r="K112" s="501"/>
    </row>
    <row r="113" spans="2:11" x14ac:dyDescent="0.25">
      <c r="B113" s="501"/>
      <c r="C113" s="501"/>
      <c r="D113" s="501"/>
      <c r="E113" s="501"/>
      <c r="F113" s="501"/>
      <c r="G113" s="501"/>
      <c r="H113" s="501"/>
      <c r="I113" s="501"/>
      <c r="J113" s="501"/>
      <c r="K113" s="501"/>
    </row>
    <row r="114" spans="2:11" x14ac:dyDescent="0.25">
      <c r="B114" s="501"/>
      <c r="C114" s="501"/>
      <c r="D114" s="501"/>
      <c r="E114" s="501"/>
      <c r="F114" s="501"/>
      <c r="G114" s="501"/>
      <c r="H114" s="501"/>
      <c r="I114" s="501"/>
      <c r="J114" s="501"/>
      <c r="K114" s="501"/>
    </row>
    <row r="115" spans="2:11" ht="15.6" x14ac:dyDescent="0.25">
      <c r="B115" s="554" t="s">
        <v>93</v>
      </c>
      <c r="C115" s="554"/>
      <c r="D115" s="554"/>
      <c r="E115" s="554"/>
      <c r="F115" s="554"/>
      <c r="G115" s="554"/>
      <c r="H115" s="513" t="s">
        <v>347</v>
      </c>
      <c r="I115" s="513"/>
      <c r="J115" s="511" t="s">
        <v>94</v>
      </c>
      <c r="K115" s="511"/>
    </row>
    <row r="116" spans="2:11" ht="12.75" customHeight="1" x14ac:dyDescent="0.25">
      <c r="B116" s="559">
        <f>10830/0.903</f>
        <v>11993.355481727574</v>
      </c>
      <c r="C116" s="523" t="s">
        <v>348</v>
      </c>
      <c r="D116" s="534" t="s">
        <v>495</v>
      </c>
      <c r="E116" s="541"/>
      <c r="F116" s="580"/>
      <c r="G116" s="537" t="s">
        <v>45</v>
      </c>
      <c r="H116" s="534" t="s">
        <v>95</v>
      </c>
      <c r="I116" s="544"/>
      <c r="J116" s="63" t="s">
        <v>529</v>
      </c>
      <c r="K116" s="523"/>
    </row>
    <row r="117" spans="2:11" x14ac:dyDescent="0.25">
      <c r="B117" s="560"/>
      <c r="C117" s="520"/>
      <c r="D117" s="535"/>
      <c r="E117" s="542"/>
      <c r="F117" s="609"/>
      <c r="G117" s="538"/>
      <c r="H117" s="648"/>
      <c r="I117" s="526"/>
      <c r="J117" s="34" t="s">
        <v>4</v>
      </c>
      <c r="K117" s="520"/>
    </row>
    <row r="118" spans="2:11" ht="12.75" customHeight="1" x14ac:dyDescent="0.25">
      <c r="B118" s="622">
        <f>31.5%*0.903</f>
        <v>0.284445</v>
      </c>
      <c r="C118" s="523" t="s">
        <v>57</v>
      </c>
      <c r="D118" s="534" t="s">
        <v>343</v>
      </c>
      <c r="E118" s="541"/>
      <c r="F118" s="580"/>
      <c r="G118" s="537" t="s">
        <v>45</v>
      </c>
      <c r="H118" s="530" t="s">
        <v>97</v>
      </c>
      <c r="I118" s="526"/>
      <c r="J118" s="539" t="s">
        <v>245</v>
      </c>
      <c r="K118" s="543"/>
    </row>
    <row r="119" spans="2:11" ht="13.8" thickBot="1" x14ac:dyDescent="0.3">
      <c r="B119" s="623"/>
      <c r="C119" s="563"/>
      <c r="D119" s="549"/>
      <c r="E119" s="550"/>
      <c r="F119" s="643"/>
      <c r="G119" s="567"/>
      <c r="H119" s="568"/>
      <c r="I119" s="616"/>
      <c r="J119" s="549"/>
      <c r="K119" s="564"/>
    </row>
    <row r="120" spans="2:11" ht="12.75" customHeight="1" x14ac:dyDescent="0.25">
      <c r="B120" s="644">
        <v>15</v>
      </c>
      <c r="C120" s="562" t="s">
        <v>349</v>
      </c>
      <c r="D120" s="547" t="s">
        <v>500</v>
      </c>
      <c r="E120" s="548"/>
      <c r="F120" s="645"/>
      <c r="G120" s="553" t="s">
        <v>580</v>
      </c>
      <c r="H120" s="539" t="s">
        <v>84</v>
      </c>
      <c r="I120" s="523"/>
      <c r="J120" s="547" t="s">
        <v>246</v>
      </c>
      <c r="K120" s="497"/>
    </row>
    <row r="121" spans="2:11" x14ac:dyDescent="0.25">
      <c r="B121" s="560"/>
      <c r="C121" s="520"/>
      <c r="D121" s="535"/>
      <c r="E121" s="542"/>
      <c r="F121" s="609"/>
      <c r="G121" s="538"/>
      <c r="H121" s="535"/>
      <c r="I121" s="520"/>
      <c r="J121" s="535"/>
      <c r="K121" s="475"/>
    </row>
    <row r="122" spans="2:11" ht="12.75" customHeight="1" x14ac:dyDescent="0.25">
      <c r="B122" s="521">
        <f>3.4/1000</f>
        <v>3.3999999999999998E-3</v>
      </c>
      <c r="C122" s="523">
        <v>8</v>
      </c>
      <c r="D122" s="534" t="s">
        <v>496</v>
      </c>
      <c r="E122" s="541"/>
      <c r="F122" s="580"/>
      <c r="G122" s="537" t="s">
        <v>45</v>
      </c>
      <c r="H122" s="534" t="s">
        <v>85</v>
      </c>
      <c r="I122" s="536"/>
      <c r="J122" s="534" t="s">
        <v>530</v>
      </c>
      <c r="K122" s="523"/>
    </row>
    <row r="123" spans="2:11" ht="12.75" customHeight="1" x14ac:dyDescent="0.25">
      <c r="B123" s="522"/>
      <c r="C123" s="520"/>
      <c r="D123" s="535"/>
      <c r="E123" s="542"/>
      <c r="F123" s="609"/>
      <c r="G123" s="538"/>
      <c r="H123" s="535"/>
      <c r="I123" s="475"/>
      <c r="J123" s="535"/>
      <c r="K123" s="520"/>
    </row>
    <row r="124" spans="2:11" ht="12.75" customHeight="1" x14ac:dyDescent="0.25">
      <c r="B124" s="521">
        <v>1.7999999999999999E-2</v>
      </c>
      <c r="C124" s="523">
        <v>10</v>
      </c>
      <c r="D124" s="534" t="s">
        <v>473</v>
      </c>
      <c r="E124" s="541"/>
      <c r="F124" s="580"/>
      <c r="G124" s="537" t="s">
        <v>45</v>
      </c>
      <c r="H124" s="534" t="s">
        <v>86</v>
      </c>
      <c r="I124" s="523"/>
      <c r="J124" s="534" t="s">
        <v>367</v>
      </c>
      <c r="K124" s="536"/>
    </row>
    <row r="125" spans="2:11" x14ac:dyDescent="0.25">
      <c r="B125" s="522"/>
      <c r="C125" s="520"/>
      <c r="D125" s="535"/>
      <c r="E125" s="542"/>
      <c r="F125" s="609"/>
      <c r="G125" s="538"/>
      <c r="H125" s="535"/>
      <c r="I125" s="520"/>
      <c r="J125" s="535"/>
      <c r="K125" s="475"/>
    </row>
    <row r="126" spans="2:11" ht="12.75" customHeight="1" x14ac:dyDescent="0.25">
      <c r="B126" s="636">
        <v>25</v>
      </c>
      <c r="C126" s="523">
        <v>11</v>
      </c>
      <c r="D126" s="534" t="s">
        <v>497</v>
      </c>
      <c r="E126" s="541"/>
      <c r="F126" s="580"/>
      <c r="G126" s="537" t="s">
        <v>579</v>
      </c>
      <c r="H126" s="534" t="s">
        <v>84</v>
      </c>
      <c r="I126" s="528"/>
      <c r="J126" s="534" t="s">
        <v>247</v>
      </c>
      <c r="K126" s="536"/>
    </row>
    <row r="127" spans="2:11" x14ac:dyDescent="0.25">
      <c r="B127" s="628"/>
      <c r="C127" s="520"/>
      <c r="D127" s="535"/>
      <c r="E127" s="542"/>
      <c r="F127" s="609"/>
      <c r="G127" s="538"/>
      <c r="H127" s="539"/>
      <c r="I127" s="543"/>
      <c r="J127" s="535"/>
      <c r="K127" s="475"/>
    </row>
    <row r="128" spans="2:11" ht="12.75" customHeight="1" x14ac:dyDescent="0.25">
      <c r="B128" s="641">
        <v>25</v>
      </c>
      <c r="C128" s="523"/>
      <c r="D128" s="534" t="s">
        <v>498</v>
      </c>
      <c r="E128" s="541"/>
      <c r="F128" s="580"/>
      <c r="G128" s="537" t="s">
        <v>45</v>
      </c>
      <c r="H128" s="539"/>
      <c r="I128" s="543"/>
      <c r="J128" s="534" t="s">
        <v>248</v>
      </c>
      <c r="K128" s="536"/>
    </row>
    <row r="129" spans="2:11" x14ac:dyDescent="0.25">
      <c r="B129" s="642"/>
      <c r="C129" s="520"/>
      <c r="D129" s="535"/>
      <c r="E129" s="542"/>
      <c r="F129" s="609"/>
      <c r="G129" s="538"/>
      <c r="H129" s="535"/>
      <c r="I129" s="529"/>
      <c r="J129" s="535"/>
      <c r="K129" s="475"/>
    </row>
    <row r="130" spans="2:11" ht="12.75" customHeight="1" x14ac:dyDescent="0.25">
      <c r="B130" s="590">
        <f>1440*1000/12312</f>
        <v>116.95906432748538</v>
      </c>
      <c r="C130" s="523">
        <v>12</v>
      </c>
      <c r="D130" s="534" t="s">
        <v>499</v>
      </c>
      <c r="E130" s="541"/>
      <c r="F130" s="528"/>
      <c r="G130" s="537" t="s">
        <v>579</v>
      </c>
      <c r="H130" s="35" t="s">
        <v>350</v>
      </c>
      <c r="I130" s="536"/>
      <c r="J130" s="534" t="s">
        <v>364</v>
      </c>
      <c r="K130" s="523"/>
    </row>
    <row r="131" spans="2:11" x14ac:dyDescent="0.25">
      <c r="B131" s="592"/>
      <c r="C131" s="520"/>
      <c r="D131" s="535"/>
      <c r="E131" s="542"/>
      <c r="F131" s="529"/>
      <c r="G131" s="538"/>
      <c r="H131" s="19" t="s">
        <v>88</v>
      </c>
      <c r="I131" s="475"/>
      <c r="J131" s="535"/>
      <c r="K131" s="520"/>
    </row>
    <row r="132" spans="2:11" x14ac:dyDescent="0.25">
      <c r="B132" s="20" t="s">
        <v>27</v>
      </c>
      <c r="C132" s="575"/>
      <c r="D132" s="575"/>
      <c r="E132" s="576"/>
      <c r="F132" s="575"/>
      <c r="G132" s="575"/>
      <c r="H132" s="575"/>
      <c r="I132" s="575"/>
      <c r="J132" s="575"/>
      <c r="K132" s="575"/>
    </row>
    <row r="133" spans="2:11" x14ac:dyDescent="0.25">
      <c r="B133" s="20"/>
      <c r="C133" s="50">
        <v>1</v>
      </c>
      <c r="D133" s="637" t="s">
        <v>355</v>
      </c>
      <c r="E133" s="637"/>
      <c r="F133" s="637"/>
      <c r="G133" s="637"/>
      <c r="H133" s="637"/>
      <c r="I133" s="637"/>
      <c r="J133" s="637"/>
      <c r="K133" s="637"/>
    </row>
    <row r="134" spans="2:11" ht="12.75" customHeight="1" x14ac:dyDescent="0.25">
      <c r="C134" s="53"/>
      <c r="D134" s="500" t="s">
        <v>88</v>
      </c>
      <c r="E134" s="500"/>
      <c r="F134" s="500"/>
      <c r="G134" s="500"/>
      <c r="H134" s="500"/>
      <c r="I134" s="500"/>
      <c r="J134" s="500"/>
      <c r="K134" s="500"/>
    </row>
    <row r="135" spans="2:11" x14ac:dyDescent="0.25">
      <c r="C135" s="52">
        <v>2</v>
      </c>
      <c r="D135" s="599" t="s">
        <v>13</v>
      </c>
      <c r="E135" s="599"/>
      <c r="F135" s="599"/>
      <c r="G135" s="599"/>
      <c r="H135" s="599"/>
      <c r="I135" s="599"/>
      <c r="J135" s="599"/>
      <c r="K135" s="599"/>
    </row>
    <row r="136" spans="2:11" x14ac:dyDescent="0.25">
      <c r="C136" s="53"/>
      <c r="D136" s="599"/>
      <c r="E136" s="599"/>
      <c r="F136" s="599"/>
      <c r="G136" s="599"/>
      <c r="H136" s="599"/>
      <c r="I136" s="599"/>
      <c r="J136" s="599"/>
      <c r="K136" s="599"/>
    </row>
    <row r="137" spans="2:11" x14ac:dyDescent="0.25">
      <c r="C137" s="53"/>
      <c r="D137" s="499" t="s">
        <v>98</v>
      </c>
      <c r="E137" s="499"/>
      <c r="F137" s="499"/>
      <c r="G137" s="499"/>
      <c r="H137" s="499"/>
      <c r="I137" s="499"/>
      <c r="J137" s="499"/>
      <c r="K137" s="499"/>
    </row>
    <row r="138" spans="2:11" ht="12.75" customHeight="1" x14ac:dyDescent="0.25">
      <c r="C138" s="50">
        <v>3</v>
      </c>
      <c r="D138" s="599" t="s">
        <v>375</v>
      </c>
      <c r="E138" s="599"/>
      <c r="F138" s="599"/>
      <c r="G138" s="599"/>
      <c r="H138" s="599"/>
      <c r="I138" s="599"/>
      <c r="J138" s="599"/>
      <c r="K138" s="599"/>
    </row>
    <row r="139" spans="2:11" x14ac:dyDescent="0.25">
      <c r="C139" s="53"/>
      <c r="E139" s="501"/>
      <c r="F139" s="501"/>
      <c r="G139" s="501"/>
      <c r="H139" s="501"/>
      <c r="I139" s="501"/>
      <c r="J139" s="501"/>
      <c r="K139" s="501"/>
    </row>
    <row r="140" spans="2:11" x14ac:dyDescent="0.25">
      <c r="C140" s="53"/>
      <c r="E140" s="501"/>
      <c r="F140" s="501"/>
      <c r="G140" s="501"/>
      <c r="H140" s="501"/>
      <c r="I140" s="501"/>
      <c r="J140" s="501"/>
      <c r="K140" s="501"/>
    </row>
    <row r="141" spans="2:11" x14ac:dyDescent="0.25">
      <c r="C141" s="53"/>
      <c r="E141" s="501"/>
      <c r="F141" s="501"/>
      <c r="G141" s="501"/>
      <c r="H141" s="501"/>
      <c r="I141" s="501"/>
      <c r="J141" s="501"/>
      <c r="K141" s="501"/>
    </row>
    <row r="142" spans="2:11" x14ac:dyDescent="0.25">
      <c r="C142" s="52">
        <v>4</v>
      </c>
      <c r="D142" s="577" t="s">
        <v>346</v>
      </c>
      <c r="E142" s="577"/>
      <c r="F142" s="577"/>
      <c r="G142" s="577"/>
      <c r="H142" s="577"/>
      <c r="I142" s="577"/>
      <c r="J142" s="577"/>
      <c r="K142" s="577"/>
    </row>
    <row r="143" spans="2:11" x14ac:dyDescent="0.25">
      <c r="C143" s="52">
        <f>1+C142</f>
        <v>5</v>
      </c>
      <c r="D143" s="599" t="s">
        <v>359</v>
      </c>
      <c r="E143" s="599"/>
      <c r="F143" s="599"/>
      <c r="G143" s="599"/>
      <c r="H143" s="599"/>
      <c r="I143" s="599"/>
      <c r="J143" s="599"/>
      <c r="K143" s="599"/>
    </row>
    <row r="144" spans="2:11" x14ac:dyDescent="0.25">
      <c r="C144" s="53"/>
      <c r="D144" s="599"/>
      <c r="E144" s="599"/>
      <c r="F144" s="599"/>
      <c r="G144" s="599"/>
      <c r="H144" s="599"/>
      <c r="I144" s="599"/>
      <c r="J144" s="599"/>
      <c r="K144" s="599"/>
    </row>
    <row r="145" spans="2:11" x14ac:dyDescent="0.25">
      <c r="C145" s="52">
        <v>6</v>
      </c>
      <c r="D145" s="504" t="s">
        <v>360</v>
      </c>
      <c r="E145" s="504"/>
      <c r="F145" s="504"/>
      <c r="G145" s="504"/>
      <c r="H145" s="504"/>
      <c r="I145" s="504"/>
      <c r="J145" s="504"/>
      <c r="K145" s="504"/>
    </row>
    <row r="146" spans="2:11" x14ac:dyDescent="0.25">
      <c r="C146" s="53"/>
      <c r="D146" s="504"/>
      <c r="E146" s="504"/>
      <c r="F146" s="504"/>
      <c r="G146" s="504"/>
      <c r="H146" s="504"/>
      <c r="I146" s="504"/>
      <c r="J146" s="504"/>
      <c r="K146" s="504"/>
    </row>
    <row r="147" spans="2:11" x14ac:dyDescent="0.25">
      <c r="C147" s="52">
        <v>7</v>
      </c>
      <c r="D147" s="577" t="s">
        <v>15</v>
      </c>
      <c r="E147" s="577"/>
      <c r="F147" s="577"/>
      <c r="G147" s="577"/>
      <c r="H147" s="577"/>
      <c r="I147" s="577"/>
      <c r="J147" s="577"/>
      <c r="K147" s="577"/>
    </row>
    <row r="148" spans="2:11" ht="12.75" customHeight="1" x14ac:dyDescent="0.25">
      <c r="C148" s="52">
        <f>+C122</f>
        <v>8</v>
      </c>
      <c r="D148" s="533" t="s">
        <v>345</v>
      </c>
      <c r="E148" s="533"/>
      <c r="F148" s="533"/>
      <c r="G148" s="533"/>
      <c r="H148" s="533"/>
      <c r="I148" s="533"/>
      <c r="J148" s="533"/>
      <c r="K148" s="533"/>
    </row>
    <row r="149" spans="2:11" ht="12.75" customHeight="1" x14ac:dyDescent="0.25">
      <c r="C149" s="52">
        <v>9</v>
      </c>
      <c r="D149" s="54" t="s">
        <v>385</v>
      </c>
      <c r="E149" s="33"/>
      <c r="F149" s="579" t="s">
        <v>75</v>
      </c>
      <c r="G149" s="533"/>
      <c r="H149" s="533"/>
      <c r="I149" s="533"/>
      <c r="J149" s="533"/>
      <c r="K149" s="533"/>
    </row>
    <row r="150" spans="2:11" ht="12.75" customHeight="1" x14ac:dyDescent="0.25">
      <c r="C150" s="52">
        <f>+C124</f>
        <v>10</v>
      </c>
      <c r="D150" s="599" t="s">
        <v>368</v>
      </c>
      <c r="E150" s="599"/>
      <c r="F150" s="599"/>
      <c r="G150" s="599"/>
      <c r="H150" s="599"/>
      <c r="I150" s="599"/>
      <c r="J150" s="599"/>
      <c r="K150" s="599"/>
    </row>
    <row r="151" spans="2:11" ht="12.75" customHeight="1" x14ac:dyDescent="0.25">
      <c r="C151" s="52"/>
      <c r="D151" s="599"/>
      <c r="E151" s="599"/>
      <c r="F151" s="599"/>
      <c r="G151" s="599"/>
      <c r="H151" s="599"/>
      <c r="I151" s="599"/>
      <c r="J151" s="599"/>
      <c r="K151" s="599"/>
    </row>
    <row r="152" spans="2:11" x14ac:dyDescent="0.25">
      <c r="C152" s="52">
        <f>+C126</f>
        <v>11</v>
      </c>
      <c r="D152" s="599" t="s">
        <v>14</v>
      </c>
      <c r="E152" s="599"/>
      <c r="F152" s="599"/>
      <c r="G152" s="599"/>
      <c r="H152" s="599"/>
      <c r="I152" s="599"/>
      <c r="J152" s="599"/>
      <c r="K152" s="599"/>
    </row>
    <row r="153" spans="2:11" x14ac:dyDescent="0.25">
      <c r="C153" s="52">
        <f>+C130</f>
        <v>12</v>
      </c>
      <c r="D153" s="599" t="s">
        <v>361</v>
      </c>
      <c r="E153" s="599"/>
      <c r="F153" s="599"/>
      <c r="G153" s="599"/>
      <c r="H153" s="599"/>
      <c r="I153" s="599"/>
      <c r="J153" s="599"/>
      <c r="K153" s="599"/>
    </row>
    <row r="154" spans="2:11" x14ac:dyDescent="0.25">
      <c r="C154" s="53"/>
      <c r="D154" s="599"/>
      <c r="E154" s="599"/>
      <c r="F154" s="599"/>
      <c r="G154" s="599"/>
      <c r="H154" s="599"/>
      <c r="I154" s="599"/>
      <c r="J154" s="599"/>
      <c r="K154" s="599"/>
    </row>
    <row r="155" spans="2:11" x14ac:dyDescent="0.25">
      <c r="C155" s="52"/>
      <c r="D155" s="55"/>
      <c r="E155" s="501"/>
      <c r="F155" s="501"/>
      <c r="G155" s="501"/>
      <c r="H155" s="501"/>
      <c r="I155" s="501"/>
      <c r="J155" s="501"/>
      <c r="K155" s="501"/>
    </row>
    <row r="156" spans="2:11" x14ac:dyDescent="0.25">
      <c r="C156" s="25"/>
      <c r="D156" s="55"/>
      <c r="E156" s="501"/>
      <c r="F156" s="501"/>
      <c r="G156" s="501"/>
      <c r="H156" s="501"/>
      <c r="I156" s="501"/>
      <c r="J156" s="501"/>
      <c r="K156" s="501"/>
    </row>
    <row r="157" spans="2:11" x14ac:dyDescent="0.25">
      <c r="C157" s="25"/>
      <c r="D157" s="55"/>
      <c r="E157" s="501"/>
      <c r="F157" s="501"/>
      <c r="G157" s="501"/>
      <c r="H157" s="501"/>
      <c r="I157" s="501"/>
      <c r="J157" s="501"/>
      <c r="K157" s="501"/>
    </row>
    <row r="158" spans="2:11" x14ac:dyDescent="0.25">
      <c r="B158" s="501"/>
      <c r="C158" s="501"/>
      <c r="D158" s="501"/>
      <c r="E158" s="501"/>
      <c r="F158" s="501"/>
      <c r="G158" s="501"/>
      <c r="H158" s="501"/>
      <c r="I158" s="501"/>
      <c r="J158" s="501"/>
      <c r="K158" s="501"/>
    </row>
    <row r="159" spans="2:11" x14ac:dyDescent="0.25">
      <c r="B159" s="501"/>
      <c r="C159" s="501"/>
      <c r="D159" s="501"/>
      <c r="E159" s="501"/>
      <c r="F159" s="501"/>
      <c r="G159" s="501"/>
      <c r="H159" s="501"/>
      <c r="I159" s="501"/>
      <c r="J159" s="501"/>
      <c r="K159" s="501"/>
    </row>
    <row r="160" spans="2:11" x14ac:dyDescent="0.25">
      <c r="B160" s="501"/>
      <c r="C160" s="501"/>
      <c r="D160" s="501"/>
      <c r="E160" s="501"/>
      <c r="F160" s="501"/>
      <c r="G160" s="501"/>
      <c r="H160" s="501"/>
      <c r="I160" s="501"/>
      <c r="J160" s="501"/>
      <c r="K160" s="501"/>
    </row>
    <row r="161" spans="2:11" x14ac:dyDescent="0.25">
      <c r="B161" s="501"/>
      <c r="C161" s="501"/>
      <c r="D161" s="501"/>
      <c r="E161" s="501"/>
      <c r="F161" s="501"/>
      <c r="G161" s="501"/>
      <c r="H161" s="501"/>
      <c r="I161" s="501"/>
      <c r="J161" s="501"/>
      <c r="K161" s="501"/>
    </row>
    <row r="162" spans="2:11" x14ac:dyDescent="0.25">
      <c r="B162" s="501"/>
      <c r="C162" s="501"/>
      <c r="D162" s="501"/>
      <c r="E162" s="501"/>
      <c r="F162" s="501"/>
      <c r="G162" s="501"/>
      <c r="H162" s="501"/>
      <c r="I162" s="501"/>
      <c r="J162" s="501"/>
      <c r="K162" s="501"/>
    </row>
    <row r="163" spans="2:11" x14ac:dyDescent="0.25">
      <c r="B163" s="501"/>
      <c r="C163" s="501"/>
      <c r="D163" s="501"/>
      <c r="E163" s="501"/>
      <c r="F163" s="501"/>
      <c r="G163" s="501"/>
      <c r="H163" s="501"/>
      <c r="I163" s="501"/>
      <c r="J163" s="501"/>
      <c r="K163" s="501"/>
    </row>
    <row r="164" spans="2:11" ht="15.6" x14ac:dyDescent="0.25">
      <c r="B164" s="670" t="s">
        <v>99</v>
      </c>
      <c r="C164" s="670"/>
      <c r="D164" s="670"/>
      <c r="E164" s="670"/>
      <c r="F164" s="670"/>
      <c r="G164" s="670"/>
      <c r="H164" s="513" t="s">
        <v>352</v>
      </c>
      <c r="I164" s="513"/>
      <c r="J164" s="511" t="s">
        <v>100</v>
      </c>
      <c r="K164" s="511"/>
    </row>
    <row r="165" spans="2:11" ht="12.75" customHeight="1" x14ac:dyDescent="0.25">
      <c r="B165" s="559">
        <f>10365/0.903</f>
        <v>11478.405315614618</v>
      </c>
      <c r="C165" s="523" t="s">
        <v>353</v>
      </c>
      <c r="D165" s="534" t="s">
        <v>495</v>
      </c>
      <c r="E165" s="541"/>
      <c r="F165" s="580"/>
      <c r="G165" s="537" t="s">
        <v>45</v>
      </c>
      <c r="H165" s="534" t="s">
        <v>101</v>
      </c>
      <c r="I165" s="544"/>
      <c r="J165" s="63" t="s">
        <v>521</v>
      </c>
      <c r="K165" s="523"/>
    </row>
    <row r="166" spans="2:11" x14ac:dyDescent="0.25">
      <c r="B166" s="560"/>
      <c r="C166" s="520"/>
      <c r="D166" s="535"/>
      <c r="E166" s="542"/>
      <c r="F166" s="609"/>
      <c r="G166" s="538"/>
      <c r="H166" s="648"/>
      <c r="I166" s="526"/>
      <c r="J166" s="34" t="s">
        <v>5</v>
      </c>
      <c r="K166" s="520"/>
    </row>
    <row r="167" spans="2:11" ht="12.75" customHeight="1" x14ac:dyDescent="0.25">
      <c r="B167" s="622">
        <f>32%*0.903</f>
        <v>0.28895999999999999</v>
      </c>
      <c r="C167" s="523" t="s">
        <v>354</v>
      </c>
      <c r="D167" s="534" t="s">
        <v>343</v>
      </c>
      <c r="E167" s="541"/>
      <c r="F167" s="580"/>
      <c r="G167" s="537" t="s">
        <v>45</v>
      </c>
      <c r="H167" s="530" t="s">
        <v>102</v>
      </c>
      <c r="I167" s="526"/>
      <c r="J167" s="539" t="s">
        <v>249</v>
      </c>
      <c r="K167" s="543"/>
    </row>
    <row r="168" spans="2:11" ht="13.8" thickBot="1" x14ac:dyDescent="0.3">
      <c r="B168" s="623"/>
      <c r="C168" s="563"/>
      <c r="D168" s="549"/>
      <c r="E168" s="550"/>
      <c r="F168" s="643"/>
      <c r="G168" s="567"/>
      <c r="H168" s="568"/>
      <c r="I168" s="616"/>
      <c r="J168" s="549"/>
      <c r="K168" s="564"/>
    </row>
    <row r="169" spans="2:11" ht="12.75" customHeight="1" x14ac:dyDescent="0.25">
      <c r="B169" s="644">
        <v>15</v>
      </c>
      <c r="C169" s="562" t="s">
        <v>357</v>
      </c>
      <c r="D169" s="547" t="s">
        <v>500</v>
      </c>
      <c r="E169" s="548"/>
      <c r="F169" s="645"/>
      <c r="G169" s="553" t="s">
        <v>580</v>
      </c>
      <c r="H169" s="539" t="s">
        <v>84</v>
      </c>
      <c r="I169" s="523"/>
      <c r="J169" s="547" t="s">
        <v>103</v>
      </c>
      <c r="K169" s="497"/>
    </row>
    <row r="170" spans="2:11" x14ac:dyDescent="0.25">
      <c r="B170" s="560"/>
      <c r="C170" s="520"/>
      <c r="D170" s="535"/>
      <c r="E170" s="542"/>
      <c r="F170" s="609"/>
      <c r="G170" s="538"/>
      <c r="H170" s="535"/>
      <c r="I170" s="520"/>
      <c r="J170" s="535"/>
      <c r="K170" s="475"/>
    </row>
    <row r="171" spans="2:11" ht="12.75" customHeight="1" x14ac:dyDescent="0.25">
      <c r="B171" s="521">
        <f>3.4/1000</f>
        <v>3.3999999999999998E-3</v>
      </c>
      <c r="C171" s="523">
        <v>9</v>
      </c>
      <c r="D171" s="534" t="s">
        <v>496</v>
      </c>
      <c r="E171" s="541"/>
      <c r="F171" s="580"/>
      <c r="G171" s="537" t="s">
        <v>45</v>
      </c>
      <c r="H171" s="534" t="s">
        <v>85</v>
      </c>
      <c r="I171" s="536"/>
      <c r="J171" s="534" t="s">
        <v>522</v>
      </c>
      <c r="K171" s="523"/>
    </row>
    <row r="172" spans="2:11" x14ac:dyDescent="0.25">
      <c r="B172" s="522"/>
      <c r="C172" s="520"/>
      <c r="D172" s="535"/>
      <c r="E172" s="542"/>
      <c r="F172" s="609"/>
      <c r="G172" s="538"/>
      <c r="H172" s="535"/>
      <c r="I172" s="475"/>
      <c r="J172" s="535"/>
      <c r="K172" s="520"/>
    </row>
    <row r="173" spans="2:11" ht="12.75" customHeight="1" x14ac:dyDescent="0.25">
      <c r="B173" s="521">
        <v>1.7999999999999999E-2</v>
      </c>
      <c r="C173" s="523">
        <v>11</v>
      </c>
      <c r="D173" s="534" t="s">
        <v>473</v>
      </c>
      <c r="E173" s="541"/>
      <c r="F173" s="580"/>
      <c r="G173" s="537" t="s">
        <v>45</v>
      </c>
      <c r="H173" s="534" t="s">
        <v>86</v>
      </c>
      <c r="I173" s="523"/>
      <c r="J173" s="534" t="s">
        <v>365</v>
      </c>
      <c r="K173" s="536"/>
    </row>
    <row r="174" spans="2:11" x14ac:dyDescent="0.25">
      <c r="B174" s="522"/>
      <c r="C174" s="520"/>
      <c r="D174" s="535"/>
      <c r="E174" s="542"/>
      <c r="F174" s="609"/>
      <c r="G174" s="538"/>
      <c r="H174" s="535"/>
      <c r="I174" s="520"/>
      <c r="J174" s="535"/>
      <c r="K174" s="475"/>
    </row>
    <row r="175" spans="2:11" ht="12.75" customHeight="1" x14ac:dyDescent="0.25">
      <c r="B175" s="559">
        <v>25</v>
      </c>
      <c r="C175" s="523">
        <v>12</v>
      </c>
      <c r="D175" s="534" t="s">
        <v>497</v>
      </c>
      <c r="E175" s="541"/>
      <c r="F175" s="580"/>
      <c r="G175" s="537" t="s">
        <v>579</v>
      </c>
      <c r="H175" s="534" t="s">
        <v>84</v>
      </c>
      <c r="I175" s="528"/>
      <c r="J175" s="534" t="s">
        <v>250</v>
      </c>
      <c r="K175" s="536"/>
    </row>
    <row r="176" spans="2:11" x14ac:dyDescent="0.25">
      <c r="B176" s="560"/>
      <c r="C176" s="520"/>
      <c r="D176" s="535"/>
      <c r="E176" s="542"/>
      <c r="F176" s="609"/>
      <c r="G176" s="538"/>
      <c r="H176" s="539"/>
      <c r="I176" s="543"/>
      <c r="J176" s="535"/>
      <c r="K176" s="475"/>
    </row>
    <row r="177" spans="2:11" ht="12.75" customHeight="1" x14ac:dyDescent="0.25">
      <c r="B177" s="559">
        <v>25</v>
      </c>
      <c r="C177" s="523"/>
      <c r="D177" s="534" t="s">
        <v>498</v>
      </c>
      <c r="E177" s="541"/>
      <c r="F177" s="580"/>
      <c r="G177" s="537" t="s">
        <v>45</v>
      </c>
      <c r="H177" s="539"/>
      <c r="I177" s="543"/>
      <c r="J177" s="534" t="s">
        <v>251</v>
      </c>
      <c r="K177" s="536"/>
    </row>
    <row r="178" spans="2:11" x14ac:dyDescent="0.25">
      <c r="B178" s="560"/>
      <c r="C178" s="520"/>
      <c r="D178" s="535"/>
      <c r="E178" s="542"/>
      <c r="F178" s="609"/>
      <c r="G178" s="538"/>
      <c r="H178" s="535"/>
      <c r="I178" s="529"/>
      <c r="J178" s="535"/>
      <c r="K178" s="475"/>
    </row>
    <row r="179" spans="2:11" ht="12.75" customHeight="1" x14ac:dyDescent="0.25">
      <c r="B179" s="557">
        <f>1404*1000/12001</f>
        <v>116.99025081243229</v>
      </c>
      <c r="C179" s="523">
        <v>13</v>
      </c>
      <c r="D179" s="534" t="s">
        <v>499</v>
      </c>
      <c r="E179" s="541"/>
      <c r="F179" s="528"/>
      <c r="G179" s="537" t="s">
        <v>579</v>
      </c>
      <c r="H179" s="35" t="s">
        <v>350</v>
      </c>
      <c r="I179" s="536"/>
      <c r="J179" s="534" t="s">
        <v>363</v>
      </c>
      <c r="K179" s="523"/>
    </row>
    <row r="180" spans="2:11" x14ac:dyDescent="0.25">
      <c r="B180" s="558"/>
      <c r="C180" s="520"/>
      <c r="D180" s="535"/>
      <c r="E180" s="542"/>
      <c r="F180" s="529"/>
      <c r="G180" s="538"/>
      <c r="H180" s="19" t="s">
        <v>88</v>
      </c>
      <c r="I180" s="475"/>
      <c r="J180" s="535"/>
      <c r="K180" s="520"/>
    </row>
    <row r="181" spans="2:11" x14ac:dyDescent="0.25">
      <c r="B181" s="20" t="s">
        <v>27</v>
      </c>
      <c r="C181" s="575"/>
      <c r="D181" s="575"/>
      <c r="E181" s="576"/>
      <c r="F181" s="575"/>
      <c r="G181" s="575"/>
      <c r="H181" s="575"/>
      <c r="I181" s="575"/>
      <c r="J181" s="575"/>
      <c r="K181" s="575"/>
    </row>
    <row r="182" spans="2:11" x14ac:dyDescent="0.25">
      <c r="B182" s="20"/>
      <c r="C182" s="56">
        <v>1</v>
      </c>
      <c r="D182" s="504" t="s">
        <v>358</v>
      </c>
      <c r="E182" s="504"/>
      <c r="F182" s="504"/>
      <c r="G182" s="504"/>
      <c r="H182" s="504"/>
      <c r="I182" s="504"/>
      <c r="J182" s="504"/>
      <c r="K182" s="504"/>
    </row>
    <row r="183" spans="2:11" x14ac:dyDescent="0.25">
      <c r="B183" s="20"/>
      <c r="C183" s="50">
        <v>2</v>
      </c>
      <c r="D183" s="637" t="s">
        <v>356</v>
      </c>
      <c r="E183" s="637"/>
      <c r="F183" s="637"/>
      <c r="G183" s="637"/>
      <c r="H183" s="637"/>
      <c r="I183" s="637"/>
      <c r="J183" s="637"/>
      <c r="K183" s="637"/>
    </row>
    <row r="184" spans="2:11" ht="12.75" customHeight="1" x14ac:dyDescent="0.25">
      <c r="C184" s="53"/>
      <c r="D184" s="500" t="s">
        <v>88</v>
      </c>
      <c r="E184" s="500"/>
      <c r="F184" s="500"/>
      <c r="G184" s="500"/>
      <c r="H184" s="500"/>
      <c r="I184" s="500"/>
      <c r="J184" s="500"/>
      <c r="K184" s="500"/>
    </row>
    <row r="185" spans="2:11" x14ac:dyDescent="0.25">
      <c r="C185" s="56">
        <v>3</v>
      </c>
      <c r="D185" s="649" t="s">
        <v>104</v>
      </c>
      <c r="E185" s="649"/>
      <c r="F185" s="649"/>
      <c r="G185" s="649"/>
      <c r="H185" s="649"/>
      <c r="I185" s="649"/>
      <c r="J185" s="649"/>
      <c r="K185" s="649"/>
    </row>
    <row r="186" spans="2:11" x14ac:dyDescent="0.25">
      <c r="C186" s="56"/>
      <c r="D186" s="649"/>
      <c r="E186" s="649"/>
      <c r="F186" s="649"/>
      <c r="G186" s="649"/>
      <c r="H186" s="649"/>
      <c r="I186" s="649"/>
      <c r="J186" s="649"/>
      <c r="K186" s="649"/>
    </row>
    <row r="187" spans="2:11" x14ac:dyDescent="0.25">
      <c r="C187" s="56"/>
      <c r="D187" s="499" t="s">
        <v>105</v>
      </c>
      <c r="E187" s="499"/>
      <c r="F187" s="499"/>
      <c r="G187" s="499"/>
      <c r="H187" s="499"/>
      <c r="I187" s="499"/>
      <c r="J187" s="499"/>
      <c r="K187" s="499"/>
    </row>
    <row r="188" spans="2:11" x14ac:dyDescent="0.25">
      <c r="C188" s="56">
        <v>4</v>
      </c>
      <c r="D188" s="504" t="s">
        <v>376</v>
      </c>
      <c r="E188" s="504"/>
      <c r="F188" s="504"/>
      <c r="G188" s="504"/>
      <c r="H188" s="504"/>
      <c r="I188" s="504"/>
      <c r="J188" s="504"/>
      <c r="K188" s="504"/>
    </row>
    <row r="189" spans="2:11" x14ac:dyDescent="0.25">
      <c r="C189" s="56"/>
      <c r="D189" s="31"/>
      <c r="E189" s="503"/>
      <c r="F189" s="503"/>
      <c r="G189" s="503"/>
      <c r="H189" s="503"/>
      <c r="I189" s="503"/>
      <c r="J189" s="503"/>
      <c r="K189" s="503"/>
    </row>
    <row r="190" spans="2:11" x14ac:dyDescent="0.25">
      <c r="C190" s="56"/>
      <c r="D190" s="31"/>
      <c r="E190" s="503"/>
      <c r="F190" s="503"/>
      <c r="G190" s="503"/>
      <c r="H190" s="503"/>
      <c r="I190" s="503"/>
      <c r="J190" s="503"/>
      <c r="K190" s="503"/>
    </row>
    <row r="191" spans="2:11" x14ac:dyDescent="0.25">
      <c r="C191" s="56"/>
      <c r="D191" s="31"/>
      <c r="E191" s="503"/>
      <c r="F191" s="503"/>
      <c r="G191" s="503"/>
      <c r="H191" s="503"/>
      <c r="I191" s="503"/>
      <c r="J191" s="503"/>
      <c r="K191" s="503"/>
    </row>
    <row r="192" spans="2:11" x14ac:dyDescent="0.25">
      <c r="C192" s="56">
        <v>5</v>
      </c>
      <c r="D192" s="577" t="s">
        <v>300</v>
      </c>
      <c r="E192" s="577"/>
      <c r="F192" s="577"/>
      <c r="G192" s="577"/>
      <c r="H192" s="577"/>
      <c r="I192" s="577"/>
      <c r="J192" s="577"/>
      <c r="K192" s="577"/>
    </row>
    <row r="193" spans="2:11" x14ac:dyDescent="0.25">
      <c r="C193" s="56">
        <v>6</v>
      </c>
      <c r="D193" s="504" t="s">
        <v>381</v>
      </c>
      <c r="E193" s="504"/>
      <c r="F193" s="504"/>
      <c r="G193" s="504"/>
      <c r="H193" s="504"/>
      <c r="I193" s="504"/>
      <c r="J193" s="504"/>
      <c r="K193" s="504"/>
    </row>
    <row r="194" spans="2:11" x14ac:dyDescent="0.25">
      <c r="C194" s="56"/>
      <c r="D194" s="504"/>
      <c r="E194" s="504"/>
      <c r="F194" s="504"/>
      <c r="G194" s="504"/>
      <c r="H194" s="504"/>
      <c r="I194" s="504"/>
      <c r="J194" s="504"/>
      <c r="K194" s="504"/>
    </row>
    <row r="195" spans="2:11" x14ac:dyDescent="0.25">
      <c r="C195" s="52">
        <v>7</v>
      </c>
      <c r="D195" s="504" t="s">
        <v>382</v>
      </c>
      <c r="E195" s="504"/>
      <c r="F195" s="504"/>
      <c r="G195" s="504"/>
      <c r="H195" s="504"/>
      <c r="I195" s="504"/>
      <c r="J195" s="504"/>
      <c r="K195" s="504"/>
    </row>
    <row r="196" spans="2:11" x14ac:dyDescent="0.25">
      <c r="C196" s="53"/>
      <c r="D196" s="504"/>
      <c r="E196" s="504"/>
      <c r="F196" s="504"/>
      <c r="G196" s="504"/>
      <c r="H196" s="504"/>
      <c r="I196" s="504"/>
      <c r="J196" s="504"/>
      <c r="K196" s="504"/>
    </row>
    <row r="197" spans="2:11" x14ac:dyDescent="0.25">
      <c r="C197" s="56">
        <v>8</v>
      </c>
      <c r="D197" s="533" t="s">
        <v>106</v>
      </c>
      <c r="E197" s="533"/>
      <c r="F197" s="533"/>
      <c r="G197" s="533"/>
      <c r="H197" s="533"/>
      <c r="I197" s="533"/>
      <c r="J197" s="533"/>
      <c r="K197" s="533"/>
    </row>
    <row r="198" spans="2:11" ht="12.75" customHeight="1" x14ac:dyDescent="0.25">
      <c r="C198" s="52">
        <f>+C171</f>
        <v>9</v>
      </c>
      <c r="D198" s="533" t="s">
        <v>345</v>
      </c>
      <c r="E198" s="533"/>
      <c r="F198" s="533"/>
      <c r="G198" s="533"/>
      <c r="H198" s="533"/>
      <c r="I198" s="533"/>
      <c r="J198" s="533"/>
      <c r="K198" s="533"/>
    </row>
    <row r="199" spans="2:11" ht="12.75" customHeight="1" x14ac:dyDescent="0.25">
      <c r="C199" s="52">
        <v>10</v>
      </c>
      <c r="D199" s="54" t="s">
        <v>385</v>
      </c>
      <c r="E199" s="33"/>
      <c r="F199" s="579" t="s">
        <v>75</v>
      </c>
      <c r="G199" s="533"/>
      <c r="H199" s="533"/>
      <c r="I199" s="533"/>
      <c r="J199" s="533"/>
      <c r="K199" s="533"/>
    </row>
    <row r="200" spans="2:11" ht="12.75" customHeight="1" x14ac:dyDescent="0.25">
      <c r="C200" s="52">
        <f>+C173</f>
        <v>11</v>
      </c>
      <c r="D200" s="599" t="s">
        <v>386</v>
      </c>
      <c r="E200" s="599"/>
      <c r="F200" s="599"/>
      <c r="G200" s="599"/>
      <c r="H200" s="599"/>
      <c r="I200" s="599"/>
      <c r="J200" s="599"/>
      <c r="K200" s="599"/>
    </row>
    <row r="201" spans="2:11" ht="12.75" customHeight="1" x14ac:dyDescent="0.25">
      <c r="C201" s="52"/>
      <c r="D201" s="599"/>
      <c r="E201" s="599"/>
      <c r="F201" s="599"/>
      <c r="G201" s="599"/>
      <c r="H201" s="599"/>
      <c r="I201" s="599"/>
      <c r="J201" s="599"/>
      <c r="K201" s="599"/>
    </row>
    <row r="202" spans="2:11" x14ac:dyDescent="0.25">
      <c r="C202" s="56">
        <f>+C175</f>
        <v>12</v>
      </c>
      <c r="D202" s="577" t="s">
        <v>107</v>
      </c>
      <c r="E202" s="577"/>
      <c r="F202" s="577"/>
      <c r="G202" s="577"/>
      <c r="H202" s="577"/>
      <c r="I202" s="577"/>
      <c r="J202" s="577"/>
      <c r="K202" s="577"/>
    </row>
    <row r="203" spans="2:11" ht="12.75" customHeight="1" x14ac:dyDescent="0.25">
      <c r="C203" s="56">
        <f>+C179</f>
        <v>13</v>
      </c>
      <c r="D203" s="504" t="s">
        <v>379</v>
      </c>
      <c r="E203" s="504"/>
      <c r="F203" s="504"/>
      <c r="G203" s="504"/>
      <c r="H203" s="504"/>
      <c r="I203" s="504"/>
      <c r="J203" s="504"/>
      <c r="K203" s="504"/>
    </row>
    <row r="204" spans="2:11" ht="12.75" customHeight="1" x14ac:dyDescent="0.25">
      <c r="C204" s="56"/>
      <c r="D204" s="504"/>
      <c r="E204" s="504"/>
      <c r="F204" s="504"/>
      <c r="G204" s="504"/>
      <c r="H204" s="504"/>
      <c r="I204" s="504"/>
      <c r="J204" s="504"/>
      <c r="K204" s="504"/>
    </row>
    <row r="205" spans="2:11" x14ac:dyDescent="0.25">
      <c r="E205" s="501"/>
      <c r="F205" s="501"/>
      <c r="G205" s="501"/>
      <c r="H205" s="501"/>
      <c r="I205" s="501"/>
      <c r="J205" s="501"/>
      <c r="K205" s="501"/>
    </row>
    <row r="206" spans="2:11" x14ac:dyDescent="0.25">
      <c r="C206" s="57"/>
      <c r="E206" s="501"/>
      <c r="F206" s="501"/>
      <c r="G206" s="501"/>
      <c r="H206" s="501"/>
      <c r="I206" s="501"/>
      <c r="J206" s="501"/>
      <c r="K206" s="501"/>
    </row>
    <row r="207" spans="2:11" x14ac:dyDescent="0.25">
      <c r="E207" s="501"/>
      <c r="F207" s="501"/>
      <c r="G207" s="501"/>
      <c r="H207" s="501"/>
      <c r="I207" s="501"/>
      <c r="J207" s="501"/>
      <c r="K207" s="501"/>
    </row>
    <row r="208" spans="2:11" x14ac:dyDescent="0.25">
      <c r="B208" s="501"/>
      <c r="C208" s="501"/>
      <c r="D208" s="501"/>
      <c r="E208" s="501"/>
      <c r="F208" s="501"/>
      <c r="G208" s="501"/>
      <c r="H208" s="501"/>
      <c r="I208" s="501"/>
      <c r="J208" s="501"/>
      <c r="K208" s="501"/>
    </row>
    <row r="209" spans="2:11" x14ac:dyDescent="0.25">
      <c r="B209" s="501"/>
      <c r="C209" s="501"/>
      <c r="D209" s="501"/>
      <c r="E209" s="501"/>
      <c r="F209" s="501"/>
      <c r="G209" s="501"/>
      <c r="H209" s="501"/>
      <c r="I209" s="501"/>
      <c r="J209" s="501"/>
      <c r="K209" s="501"/>
    </row>
    <row r="210" spans="2:11" x14ac:dyDescent="0.25">
      <c r="B210" s="501"/>
      <c r="C210" s="501"/>
      <c r="D210" s="501"/>
      <c r="E210" s="501"/>
      <c r="F210" s="501"/>
      <c r="G210" s="501"/>
      <c r="H210" s="501"/>
      <c r="I210" s="501"/>
      <c r="J210" s="501"/>
      <c r="K210" s="501"/>
    </row>
    <row r="211" spans="2:11" x14ac:dyDescent="0.25">
      <c r="B211" s="501"/>
      <c r="C211" s="501"/>
      <c r="D211" s="501"/>
      <c r="E211" s="501"/>
      <c r="F211" s="501"/>
      <c r="G211" s="501"/>
      <c r="H211" s="501"/>
      <c r="I211" s="501"/>
      <c r="J211" s="501"/>
      <c r="K211" s="501"/>
    </row>
    <row r="212" spans="2:11" x14ac:dyDescent="0.25">
      <c r="B212" s="501"/>
      <c r="C212" s="501"/>
      <c r="D212" s="501"/>
      <c r="E212" s="501"/>
      <c r="F212" s="501"/>
      <c r="G212" s="501"/>
      <c r="H212" s="501"/>
      <c r="I212" s="501"/>
      <c r="J212" s="501"/>
      <c r="K212" s="501"/>
    </row>
    <row r="213" spans="2:11" x14ac:dyDescent="0.25">
      <c r="B213" s="501"/>
      <c r="C213" s="501"/>
      <c r="D213" s="501"/>
      <c r="E213" s="501"/>
      <c r="F213" s="501"/>
      <c r="G213" s="501"/>
      <c r="H213" s="501"/>
      <c r="I213" s="501"/>
      <c r="J213" s="501"/>
      <c r="K213" s="501"/>
    </row>
    <row r="214" spans="2:11" ht="15.6" x14ac:dyDescent="0.25">
      <c r="B214" s="554" t="s">
        <v>108</v>
      </c>
      <c r="C214" s="554"/>
      <c r="D214" s="554"/>
      <c r="E214" s="554"/>
      <c r="F214" s="554"/>
      <c r="G214" s="554"/>
      <c r="H214" s="513" t="s">
        <v>252</v>
      </c>
      <c r="I214" s="513"/>
      <c r="J214" s="511" t="s">
        <v>109</v>
      </c>
      <c r="K214" s="511"/>
    </row>
    <row r="215" spans="2:11" ht="12.75" customHeight="1" x14ac:dyDescent="0.25">
      <c r="B215" s="559">
        <f>9695/0.903</f>
        <v>10736.434108527132</v>
      </c>
      <c r="C215" s="523">
        <v>3</v>
      </c>
      <c r="D215" s="534" t="s">
        <v>495</v>
      </c>
      <c r="E215" s="541"/>
      <c r="F215" s="580"/>
      <c r="G215" s="537" t="s">
        <v>45</v>
      </c>
      <c r="H215" s="534" t="s">
        <v>110</v>
      </c>
      <c r="I215" s="544"/>
      <c r="J215" s="35" t="s">
        <v>523</v>
      </c>
      <c r="K215" s="523"/>
    </row>
    <row r="216" spans="2:11" x14ac:dyDescent="0.25">
      <c r="B216" s="560"/>
      <c r="C216" s="520"/>
      <c r="D216" s="535"/>
      <c r="E216" s="542"/>
      <c r="F216" s="609"/>
      <c r="G216" s="538"/>
      <c r="H216" s="648"/>
      <c r="I216" s="526"/>
      <c r="J216" s="34" t="s">
        <v>6</v>
      </c>
      <c r="K216" s="520"/>
    </row>
    <row r="217" spans="2:11" ht="12.75" customHeight="1" x14ac:dyDescent="0.25">
      <c r="B217" s="622">
        <f>35.2%*0.903</f>
        <v>0.31785600000000003</v>
      </c>
      <c r="C217" s="523">
        <v>4</v>
      </c>
      <c r="D217" s="534" t="s">
        <v>343</v>
      </c>
      <c r="E217" s="541"/>
      <c r="F217" s="580"/>
      <c r="G217" s="537" t="s">
        <v>45</v>
      </c>
      <c r="H217" s="530" t="s">
        <v>111</v>
      </c>
      <c r="I217" s="526"/>
      <c r="J217" s="539" t="s">
        <v>253</v>
      </c>
      <c r="K217" s="543"/>
    </row>
    <row r="218" spans="2:11" ht="13.8" thickBot="1" x14ac:dyDescent="0.3">
      <c r="B218" s="623"/>
      <c r="C218" s="563"/>
      <c r="D218" s="549"/>
      <c r="E218" s="550"/>
      <c r="F218" s="643"/>
      <c r="G218" s="567"/>
      <c r="H218" s="568"/>
      <c r="I218" s="616"/>
      <c r="J218" s="549"/>
      <c r="K218" s="564"/>
    </row>
    <row r="219" spans="2:11" ht="12.75" customHeight="1" x14ac:dyDescent="0.25">
      <c r="B219" s="644">
        <v>15</v>
      </c>
      <c r="C219" s="562">
        <v>5</v>
      </c>
      <c r="D219" s="547" t="s">
        <v>500</v>
      </c>
      <c r="E219" s="548"/>
      <c r="F219" s="645"/>
      <c r="G219" s="553" t="s">
        <v>580</v>
      </c>
      <c r="H219" s="539" t="s">
        <v>84</v>
      </c>
      <c r="I219" s="523"/>
      <c r="J219" s="547" t="s">
        <v>254</v>
      </c>
      <c r="K219" s="497"/>
    </row>
    <row r="220" spans="2:11" x14ac:dyDescent="0.25">
      <c r="B220" s="560"/>
      <c r="C220" s="520"/>
      <c r="D220" s="535"/>
      <c r="E220" s="542"/>
      <c r="F220" s="609"/>
      <c r="G220" s="538"/>
      <c r="H220" s="535"/>
      <c r="I220" s="520"/>
      <c r="J220" s="535"/>
      <c r="K220" s="475"/>
    </row>
    <row r="221" spans="2:11" ht="12.75" customHeight="1" x14ac:dyDescent="0.25">
      <c r="B221" s="521">
        <f>3.4/1000</f>
        <v>3.3999999999999998E-3</v>
      </c>
      <c r="C221" s="523">
        <v>6</v>
      </c>
      <c r="D221" s="534" t="s">
        <v>496</v>
      </c>
      <c r="E221" s="541"/>
      <c r="F221" s="580"/>
      <c r="G221" s="537" t="s">
        <v>45</v>
      </c>
      <c r="H221" s="534" t="s">
        <v>85</v>
      </c>
      <c r="I221" s="536"/>
      <c r="J221" s="534" t="s">
        <v>524</v>
      </c>
      <c r="K221" s="523"/>
    </row>
    <row r="222" spans="2:11" x14ac:dyDescent="0.25">
      <c r="B222" s="522"/>
      <c r="C222" s="520"/>
      <c r="D222" s="535"/>
      <c r="E222" s="542"/>
      <c r="F222" s="609"/>
      <c r="G222" s="538"/>
      <c r="H222" s="535"/>
      <c r="I222" s="475"/>
      <c r="J222" s="535"/>
      <c r="K222" s="520"/>
    </row>
    <row r="223" spans="2:11" ht="12.75" customHeight="1" x14ac:dyDescent="0.25">
      <c r="B223" s="521">
        <v>1.7999999999999999E-2</v>
      </c>
      <c r="C223" s="523">
        <v>8</v>
      </c>
      <c r="D223" s="534" t="s">
        <v>473</v>
      </c>
      <c r="E223" s="541"/>
      <c r="F223" s="580"/>
      <c r="G223" s="537" t="s">
        <v>45</v>
      </c>
      <c r="H223" s="534" t="s">
        <v>86</v>
      </c>
      <c r="I223" s="523"/>
      <c r="J223" s="534" t="s">
        <v>366</v>
      </c>
      <c r="K223" s="536"/>
    </row>
    <row r="224" spans="2:11" x14ac:dyDescent="0.25">
      <c r="B224" s="522"/>
      <c r="C224" s="520"/>
      <c r="D224" s="535"/>
      <c r="E224" s="542"/>
      <c r="F224" s="609"/>
      <c r="G224" s="538"/>
      <c r="H224" s="535"/>
      <c r="I224" s="520"/>
      <c r="J224" s="535"/>
      <c r="K224" s="475"/>
    </row>
    <row r="225" spans="2:11" ht="12.75" customHeight="1" x14ac:dyDescent="0.25">
      <c r="B225" s="559">
        <v>25</v>
      </c>
      <c r="C225" s="523">
        <v>9</v>
      </c>
      <c r="D225" s="534" t="s">
        <v>497</v>
      </c>
      <c r="E225" s="541"/>
      <c r="F225" s="580"/>
      <c r="G225" s="537" t="s">
        <v>579</v>
      </c>
      <c r="H225" s="534" t="s">
        <v>84</v>
      </c>
      <c r="I225" s="528"/>
      <c r="J225" s="534" t="s">
        <v>255</v>
      </c>
      <c r="K225" s="536"/>
    </row>
    <row r="226" spans="2:11" x14ac:dyDescent="0.25">
      <c r="B226" s="560"/>
      <c r="C226" s="520"/>
      <c r="D226" s="535"/>
      <c r="E226" s="542"/>
      <c r="F226" s="609"/>
      <c r="G226" s="538"/>
      <c r="H226" s="539"/>
      <c r="I226" s="543"/>
      <c r="J226" s="535"/>
      <c r="K226" s="475"/>
    </row>
    <row r="227" spans="2:11" ht="12.75" customHeight="1" x14ac:dyDescent="0.25">
      <c r="B227" s="559">
        <v>25</v>
      </c>
      <c r="C227" s="523"/>
      <c r="D227" s="534" t="s">
        <v>498</v>
      </c>
      <c r="E227" s="541"/>
      <c r="F227" s="580"/>
      <c r="G227" s="537" t="s">
        <v>45</v>
      </c>
      <c r="H227" s="539"/>
      <c r="I227" s="543"/>
      <c r="J227" s="534" t="s">
        <v>256</v>
      </c>
      <c r="K227" s="536"/>
    </row>
    <row r="228" spans="2:11" x14ac:dyDescent="0.25">
      <c r="B228" s="560"/>
      <c r="C228" s="520"/>
      <c r="D228" s="535"/>
      <c r="E228" s="542"/>
      <c r="F228" s="609"/>
      <c r="G228" s="538"/>
      <c r="H228" s="535"/>
      <c r="I228" s="529"/>
      <c r="J228" s="535"/>
      <c r="K228" s="475"/>
    </row>
    <row r="229" spans="2:11" ht="12.75" customHeight="1" x14ac:dyDescent="0.25">
      <c r="B229" s="557">
        <v>116.88</v>
      </c>
      <c r="C229" s="523">
        <v>10</v>
      </c>
      <c r="D229" s="534" t="s">
        <v>499</v>
      </c>
      <c r="E229" s="541"/>
      <c r="F229" s="580"/>
      <c r="G229" s="537" t="s">
        <v>579</v>
      </c>
      <c r="H229" s="35" t="s">
        <v>142</v>
      </c>
      <c r="I229" s="536"/>
      <c r="J229" s="534" t="s">
        <v>369</v>
      </c>
      <c r="K229" s="523"/>
    </row>
    <row r="230" spans="2:11" ht="12.75" customHeight="1" x14ac:dyDescent="0.25">
      <c r="B230" s="558"/>
      <c r="C230" s="520"/>
      <c r="D230" s="535"/>
      <c r="E230" s="542"/>
      <c r="F230" s="609"/>
      <c r="G230" s="538"/>
      <c r="H230" s="19" t="s">
        <v>138</v>
      </c>
      <c r="I230" s="475"/>
      <c r="J230" s="535"/>
      <c r="K230" s="520"/>
    </row>
    <row r="231" spans="2:11" x14ac:dyDescent="0.25">
      <c r="B231" s="20" t="s">
        <v>27</v>
      </c>
      <c r="C231" s="575"/>
      <c r="D231" s="575"/>
      <c r="E231" s="576"/>
      <c r="F231" s="575"/>
      <c r="G231" s="575"/>
      <c r="H231" s="575"/>
      <c r="I231" s="575"/>
      <c r="J231" s="575"/>
      <c r="K231" s="575"/>
    </row>
    <row r="232" spans="2:11" x14ac:dyDescent="0.25">
      <c r="B232" s="20"/>
      <c r="C232" s="56">
        <v>1</v>
      </c>
      <c r="D232" s="504" t="s">
        <v>209</v>
      </c>
      <c r="E232" s="504"/>
      <c r="F232" s="504"/>
      <c r="G232" s="504"/>
      <c r="H232" s="504"/>
      <c r="I232" s="504"/>
      <c r="J232" s="504"/>
      <c r="K232" s="504"/>
    </row>
    <row r="233" spans="2:11" x14ac:dyDescent="0.25">
      <c r="C233" s="56">
        <v>2</v>
      </c>
      <c r="D233" s="504" t="s">
        <v>112</v>
      </c>
      <c r="E233" s="504"/>
      <c r="F233" s="504"/>
      <c r="G233" s="504"/>
      <c r="H233" s="504"/>
      <c r="I233" s="504"/>
      <c r="J233" s="504"/>
      <c r="K233" s="504"/>
    </row>
    <row r="234" spans="2:11" x14ac:dyDescent="0.25">
      <c r="C234" s="56"/>
      <c r="D234" s="504"/>
      <c r="E234" s="504"/>
      <c r="F234" s="504"/>
      <c r="G234" s="504"/>
      <c r="H234" s="504"/>
      <c r="I234" s="504"/>
      <c r="J234" s="504"/>
      <c r="K234" s="504"/>
    </row>
    <row r="235" spans="2:11" x14ac:dyDescent="0.25">
      <c r="C235" s="56"/>
      <c r="D235" s="499" t="s">
        <v>113</v>
      </c>
      <c r="E235" s="499"/>
      <c r="F235" s="499"/>
      <c r="G235" s="499"/>
      <c r="H235" s="499"/>
      <c r="I235" s="499"/>
      <c r="J235" s="499"/>
      <c r="K235" s="499"/>
    </row>
    <row r="236" spans="2:11" x14ac:dyDescent="0.25">
      <c r="C236" s="56">
        <f>+C215</f>
        <v>3</v>
      </c>
      <c r="D236" s="504" t="s">
        <v>377</v>
      </c>
      <c r="E236" s="504"/>
      <c r="F236" s="504"/>
      <c r="G236" s="504"/>
      <c r="H236" s="504"/>
      <c r="I236" s="504"/>
      <c r="J236" s="504"/>
      <c r="K236" s="504"/>
    </row>
    <row r="237" spans="2:11" x14ac:dyDescent="0.25">
      <c r="C237" s="56"/>
      <c r="D237" s="31"/>
      <c r="E237" s="503"/>
      <c r="F237" s="503"/>
      <c r="G237" s="503"/>
      <c r="H237" s="503"/>
      <c r="I237" s="503"/>
      <c r="J237" s="503"/>
      <c r="K237" s="503"/>
    </row>
    <row r="238" spans="2:11" x14ac:dyDescent="0.25">
      <c r="C238" s="56"/>
      <c r="D238" s="31"/>
      <c r="E238" s="503"/>
      <c r="F238" s="503"/>
      <c r="G238" s="503"/>
      <c r="H238" s="503"/>
      <c r="I238" s="503"/>
      <c r="J238" s="503"/>
      <c r="K238" s="503"/>
    </row>
    <row r="239" spans="2:11" x14ac:dyDescent="0.25">
      <c r="C239" s="56"/>
      <c r="D239" s="31"/>
      <c r="E239" s="503"/>
      <c r="F239" s="503"/>
      <c r="G239" s="503"/>
      <c r="H239" s="503"/>
      <c r="I239" s="503"/>
      <c r="J239" s="503"/>
      <c r="K239" s="503"/>
    </row>
    <row r="240" spans="2:11" x14ac:dyDescent="0.25">
      <c r="C240" s="56">
        <f>+C217</f>
        <v>4</v>
      </c>
      <c r="D240" s="577" t="s">
        <v>301</v>
      </c>
      <c r="E240" s="577"/>
      <c r="F240" s="577"/>
      <c r="G240" s="577"/>
      <c r="H240" s="577"/>
      <c r="I240" s="577"/>
      <c r="J240" s="577"/>
      <c r="K240" s="577"/>
    </row>
    <row r="241" spans="2:11" x14ac:dyDescent="0.25">
      <c r="C241" s="56">
        <f>+C219</f>
        <v>5</v>
      </c>
      <c r="D241" s="533" t="s">
        <v>114</v>
      </c>
      <c r="E241" s="533"/>
      <c r="F241" s="533"/>
      <c r="G241" s="533"/>
      <c r="H241" s="533"/>
      <c r="I241" s="533"/>
      <c r="J241" s="533"/>
      <c r="K241" s="533"/>
    </row>
    <row r="242" spans="2:11" ht="12.75" customHeight="1" x14ac:dyDescent="0.25">
      <c r="C242" s="52">
        <f>+C221</f>
        <v>6</v>
      </c>
      <c r="D242" s="533" t="s">
        <v>345</v>
      </c>
      <c r="E242" s="533"/>
      <c r="F242" s="533"/>
      <c r="G242" s="533"/>
      <c r="H242" s="533"/>
      <c r="I242" s="533"/>
      <c r="J242" s="533"/>
      <c r="K242" s="533"/>
    </row>
    <row r="243" spans="2:11" ht="12.75" customHeight="1" x14ac:dyDescent="0.25">
      <c r="C243" s="52">
        <v>7</v>
      </c>
      <c r="D243" s="54" t="s">
        <v>385</v>
      </c>
      <c r="E243" s="33"/>
      <c r="F243" s="579" t="s">
        <v>75</v>
      </c>
      <c r="G243" s="533"/>
      <c r="H243" s="533"/>
      <c r="I243" s="533"/>
      <c r="J243" s="533"/>
      <c r="K243" s="533"/>
    </row>
    <row r="244" spans="2:11" ht="12.75" customHeight="1" x14ac:dyDescent="0.25">
      <c r="C244" s="52">
        <f>+C223</f>
        <v>8</v>
      </c>
      <c r="D244" s="599" t="s">
        <v>368</v>
      </c>
      <c r="E244" s="599"/>
      <c r="F244" s="599"/>
      <c r="G244" s="599"/>
      <c r="H244" s="599"/>
      <c r="I244" s="599"/>
      <c r="J244" s="599"/>
      <c r="K244" s="599"/>
    </row>
    <row r="245" spans="2:11" ht="12.75" customHeight="1" x14ac:dyDescent="0.25">
      <c r="C245" s="52"/>
      <c r="D245" s="599"/>
      <c r="E245" s="599"/>
      <c r="F245" s="599"/>
      <c r="G245" s="599"/>
      <c r="H245" s="599"/>
      <c r="I245" s="599"/>
      <c r="J245" s="599"/>
      <c r="K245" s="599"/>
    </row>
    <row r="246" spans="2:11" x14ac:dyDescent="0.25">
      <c r="C246" s="56">
        <f>+C225</f>
        <v>9</v>
      </c>
      <c r="D246" s="504" t="s">
        <v>115</v>
      </c>
      <c r="E246" s="504"/>
      <c r="F246" s="504"/>
      <c r="G246" s="504"/>
      <c r="H246" s="504"/>
      <c r="I246" s="504"/>
      <c r="J246" s="504"/>
      <c r="K246" s="504"/>
    </row>
    <row r="247" spans="2:11" x14ac:dyDescent="0.25">
      <c r="C247" s="56">
        <f>+C229</f>
        <v>10</v>
      </c>
      <c r="D247" s="504" t="s">
        <v>390</v>
      </c>
      <c r="E247" s="504"/>
      <c r="F247" s="504"/>
      <c r="G247" s="504"/>
      <c r="H247" s="504"/>
      <c r="I247" s="504"/>
      <c r="J247" s="504"/>
      <c r="K247" s="504"/>
    </row>
    <row r="248" spans="2:11" x14ac:dyDescent="0.25">
      <c r="C248" s="24"/>
      <c r="D248" s="504"/>
      <c r="E248" s="504"/>
      <c r="F248" s="504"/>
      <c r="G248" s="504"/>
      <c r="H248" s="504"/>
      <c r="I248" s="504"/>
      <c r="J248" s="504"/>
      <c r="K248" s="504"/>
    </row>
    <row r="249" spans="2:11" x14ac:dyDescent="0.25">
      <c r="C249" s="24"/>
      <c r="D249" s="504"/>
      <c r="E249" s="504"/>
      <c r="F249" s="504"/>
      <c r="G249" s="504"/>
      <c r="H249" s="504"/>
      <c r="I249" s="504"/>
      <c r="J249" s="504"/>
      <c r="K249" s="504"/>
    </row>
    <row r="250" spans="2:11" x14ac:dyDescent="0.25">
      <c r="B250" s="501"/>
      <c r="C250" s="501"/>
      <c r="D250" s="501"/>
      <c r="E250" s="501"/>
      <c r="F250" s="501"/>
      <c r="G250" s="501"/>
      <c r="H250" s="501"/>
      <c r="I250" s="501"/>
      <c r="J250" s="501"/>
      <c r="K250" s="501"/>
    </row>
    <row r="251" spans="2:11" x14ac:dyDescent="0.25">
      <c r="B251" s="501"/>
      <c r="C251" s="501"/>
      <c r="D251" s="501"/>
      <c r="E251" s="501"/>
      <c r="F251" s="501"/>
      <c r="G251" s="501"/>
      <c r="H251" s="501"/>
      <c r="I251" s="501"/>
      <c r="J251" s="501"/>
      <c r="K251" s="501"/>
    </row>
    <row r="252" spans="2:11" x14ac:dyDescent="0.25">
      <c r="B252" s="501"/>
      <c r="C252" s="501"/>
      <c r="D252" s="501"/>
      <c r="E252" s="501"/>
      <c r="F252" s="501"/>
      <c r="G252" s="501"/>
      <c r="H252" s="501"/>
      <c r="I252" s="501"/>
      <c r="J252" s="501"/>
      <c r="K252" s="501"/>
    </row>
    <row r="253" spans="2:11" x14ac:dyDescent="0.25">
      <c r="B253" s="501"/>
      <c r="C253" s="501"/>
      <c r="D253" s="501"/>
      <c r="E253" s="501"/>
      <c r="F253" s="501"/>
      <c r="G253" s="501"/>
      <c r="H253" s="501"/>
      <c r="I253" s="501"/>
      <c r="J253" s="501"/>
      <c r="K253" s="501"/>
    </row>
    <row r="254" spans="2:11" x14ac:dyDescent="0.25">
      <c r="B254" s="501"/>
      <c r="C254" s="501"/>
      <c r="D254" s="501"/>
      <c r="E254" s="501"/>
      <c r="F254" s="501"/>
      <c r="G254" s="501"/>
      <c r="H254" s="501"/>
      <c r="I254" s="501"/>
      <c r="J254" s="501"/>
      <c r="K254" s="501"/>
    </row>
    <row r="255" spans="2:11" x14ac:dyDescent="0.25">
      <c r="B255" s="501"/>
      <c r="C255" s="501"/>
      <c r="D255" s="501"/>
      <c r="E255" s="501"/>
      <c r="F255" s="501"/>
      <c r="G255" s="501"/>
      <c r="H255" s="501"/>
      <c r="I255" s="501"/>
      <c r="J255" s="501"/>
      <c r="K255" s="501"/>
    </row>
    <row r="256" spans="2:11" x14ac:dyDescent="0.25">
      <c r="B256" s="501"/>
      <c r="C256" s="501"/>
      <c r="D256" s="501"/>
      <c r="E256" s="501"/>
      <c r="F256" s="501"/>
      <c r="G256" s="501"/>
      <c r="H256" s="501"/>
      <c r="I256" s="501"/>
      <c r="J256" s="501"/>
      <c r="K256" s="501"/>
    </row>
    <row r="257" spans="2:11" x14ac:dyDescent="0.25">
      <c r="B257" s="501"/>
      <c r="C257" s="501"/>
      <c r="D257" s="501"/>
      <c r="E257" s="501"/>
      <c r="F257" s="501"/>
      <c r="G257" s="501"/>
      <c r="H257" s="501"/>
      <c r="I257" s="501"/>
      <c r="J257" s="501"/>
      <c r="K257" s="501"/>
    </row>
    <row r="258" spans="2:11" x14ac:dyDescent="0.25">
      <c r="B258" s="501"/>
      <c r="C258" s="501"/>
      <c r="D258" s="501"/>
      <c r="E258" s="501"/>
      <c r="F258" s="501"/>
      <c r="G258" s="501"/>
      <c r="H258" s="501"/>
      <c r="I258" s="501"/>
      <c r="J258" s="501"/>
      <c r="K258" s="501"/>
    </row>
    <row r="259" spans="2:11" x14ac:dyDescent="0.25">
      <c r="B259" s="501"/>
      <c r="C259" s="501"/>
      <c r="D259" s="501"/>
      <c r="E259" s="501"/>
      <c r="F259" s="501"/>
      <c r="G259" s="501"/>
      <c r="H259" s="501"/>
      <c r="I259" s="501"/>
      <c r="J259" s="501"/>
      <c r="K259" s="501"/>
    </row>
    <row r="260" spans="2:11" x14ac:dyDescent="0.25">
      <c r="B260" s="501"/>
      <c r="C260" s="501"/>
      <c r="D260" s="501"/>
      <c r="E260" s="501"/>
      <c r="F260" s="501"/>
      <c r="G260" s="501"/>
      <c r="H260" s="501"/>
      <c r="I260" s="501"/>
      <c r="J260" s="501"/>
      <c r="K260" s="501"/>
    </row>
    <row r="261" spans="2:11" x14ac:dyDescent="0.25">
      <c r="B261" s="501"/>
      <c r="C261" s="501"/>
      <c r="D261" s="501"/>
      <c r="E261" s="501"/>
      <c r="F261" s="501"/>
      <c r="G261" s="501"/>
      <c r="H261" s="501"/>
      <c r="I261" s="501"/>
      <c r="J261" s="501"/>
      <c r="K261" s="501"/>
    </row>
    <row r="262" spans="2:11" x14ac:dyDescent="0.25">
      <c r="B262" s="501"/>
      <c r="C262" s="501"/>
      <c r="D262" s="501"/>
      <c r="E262" s="501"/>
      <c r="F262" s="501"/>
      <c r="G262" s="501"/>
      <c r="H262" s="501"/>
      <c r="I262" s="501"/>
      <c r="J262" s="501"/>
      <c r="K262" s="501"/>
    </row>
    <row r="263" spans="2:11" x14ac:dyDescent="0.25">
      <c r="B263" s="501"/>
      <c r="C263" s="501"/>
      <c r="D263" s="501"/>
      <c r="E263" s="501"/>
      <c r="F263" s="501"/>
      <c r="G263" s="501"/>
      <c r="H263" s="501"/>
      <c r="I263" s="501"/>
      <c r="J263" s="501"/>
      <c r="K263" s="501"/>
    </row>
    <row r="264" spans="2:11" x14ac:dyDescent="0.25">
      <c r="B264" s="501"/>
      <c r="C264" s="501"/>
      <c r="D264" s="501"/>
      <c r="E264" s="501"/>
      <c r="F264" s="501"/>
      <c r="G264" s="501"/>
      <c r="H264" s="501"/>
      <c r="I264" s="501"/>
      <c r="J264" s="501"/>
      <c r="K264" s="501"/>
    </row>
    <row r="265" spans="2:11" x14ac:dyDescent="0.25">
      <c r="B265" s="501"/>
      <c r="C265" s="501"/>
      <c r="D265" s="501"/>
      <c r="E265" s="501"/>
      <c r="F265" s="501"/>
      <c r="G265" s="501"/>
      <c r="H265" s="501"/>
      <c r="I265" s="501"/>
      <c r="J265" s="501"/>
      <c r="K265" s="501"/>
    </row>
    <row r="266" spans="2:11" ht="15.6" x14ac:dyDescent="0.25">
      <c r="B266" s="554" t="s">
        <v>108</v>
      </c>
      <c r="C266" s="554"/>
      <c r="D266" s="554"/>
      <c r="E266" s="554"/>
      <c r="F266" s="554"/>
      <c r="G266" s="554"/>
      <c r="H266" s="513" t="s">
        <v>7</v>
      </c>
      <c r="I266" s="513"/>
      <c r="J266" s="511" t="s">
        <v>116</v>
      </c>
      <c r="K266" s="511"/>
    </row>
    <row r="267" spans="2:11" ht="12.75" customHeight="1" x14ac:dyDescent="0.25">
      <c r="B267" s="559">
        <f>9700/0.903</f>
        <v>10741.971207087487</v>
      </c>
      <c r="C267" s="523">
        <v>2</v>
      </c>
      <c r="D267" s="534" t="s">
        <v>495</v>
      </c>
      <c r="E267" s="541"/>
      <c r="F267" s="580"/>
      <c r="G267" s="537" t="s">
        <v>45</v>
      </c>
      <c r="H267" s="534" t="s">
        <v>117</v>
      </c>
      <c r="I267" s="544"/>
      <c r="J267" s="534" t="s">
        <v>118</v>
      </c>
      <c r="K267" s="523"/>
    </row>
    <row r="268" spans="2:11" x14ac:dyDescent="0.25">
      <c r="B268" s="560"/>
      <c r="C268" s="520"/>
      <c r="D268" s="535"/>
      <c r="E268" s="542"/>
      <c r="F268" s="609"/>
      <c r="G268" s="538"/>
      <c r="H268" s="648"/>
      <c r="I268" s="526"/>
      <c r="J268" s="535"/>
      <c r="K268" s="520"/>
    </row>
    <row r="269" spans="2:11" ht="12.75" customHeight="1" x14ac:dyDescent="0.25">
      <c r="B269" s="622">
        <f>35.2%*0.903</f>
        <v>0.31785600000000003</v>
      </c>
      <c r="C269" s="523">
        <v>3</v>
      </c>
      <c r="D269" s="534" t="s">
        <v>343</v>
      </c>
      <c r="E269" s="541"/>
      <c r="F269" s="580"/>
      <c r="G269" s="537" t="s">
        <v>45</v>
      </c>
      <c r="H269" s="530" t="s">
        <v>119</v>
      </c>
      <c r="I269" s="526"/>
      <c r="J269" s="539" t="s">
        <v>120</v>
      </c>
      <c r="K269" s="543"/>
    </row>
    <row r="270" spans="2:11" ht="13.8" thickBot="1" x14ac:dyDescent="0.3">
      <c r="B270" s="623"/>
      <c r="C270" s="563"/>
      <c r="D270" s="549"/>
      <c r="E270" s="550"/>
      <c r="F270" s="643"/>
      <c r="G270" s="567"/>
      <c r="H270" s="568"/>
      <c r="I270" s="616"/>
      <c r="J270" s="549"/>
      <c r="K270" s="564"/>
    </row>
    <row r="271" spans="2:11" ht="12.75" customHeight="1" x14ac:dyDescent="0.25">
      <c r="B271" s="570" t="s">
        <v>121</v>
      </c>
      <c r="C271" s="562"/>
      <c r="D271" s="547" t="s">
        <v>500</v>
      </c>
      <c r="E271" s="548"/>
      <c r="F271" s="645"/>
      <c r="G271" s="553" t="s">
        <v>580</v>
      </c>
      <c r="H271" s="650" t="s">
        <v>123</v>
      </c>
      <c r="I271" s="523"/>
      <c r="J271" s="547" t="s">
        <v>124</v>
      </c>
      <c r="K271" s="497"/>
    </row>
    <row r="272" spans="2:11" x14ac:dyDescent="0.25">
      <c r="B272" s="556"/>
      <c r="C272" s="520"/>
      <c r="D272" s="535"/>
      <c r="E272" s="542"/>
      <c r="F272" s="609"/>
      <c r="G272" s="538"/>
      <c r="H272" s="535"/>
      <c r="I272" s="520"/>
      <c r="J272" s="535"/>
      <c r="K272" s="475"/>
    </row>
    <row r="273" spans="2:11" ht="12.75" customHeight="1" x14ac:dyDescent="0.25">
      <c r="B273" s="521">
        <f>3.4/1000</f>
        <v>3.3999999999999998E-3</v>
      </c>
      <c r="C273" s="523">
        <v>4</v>
      </c>
      <c r="D273" s="534" t="s">
        <v>496</v>
      </c>
      <c r="E273" s="541"/>
      <c r="F273" s="580"/>
      <c r="G273" s="537" t="s">
        <v>45</v>
      </c>
      <c r="H273" s="534" t="s">
        <v>74</v>
      </c>
      <c r="I273" s="536"/>
      <c r="J273" s="584" t="s">
        <v>387</v>
      </c>
      <c r="K273" s="536"/>
    </row>
    <row r="274" spans="2:11" ht="12.75" customHeight="1" x14ac:dyDescent="0.25">
      <c r="B274" s="671"/>
      <c r="C274" s="562"/>
      <c r="D274" s="539"/>
      <c r="E274" s="593"/>
      <c r="F274" s="581"/>
      <c r="G274" s="553"/>
      <c r="H274" s="539"/>
      <c r="I274" s="497"/>
      <c r="J274" s="603"/>
      <c r="K274" s="497"/>
    </row>
    <row r="275" spans="2:11" ht="12.75" customHeight="1" x14ac:dyDescent="0.25">
      <c r="B275" s="522"/>
      <c r="C275" s="520"/>
      <c r="D275" s="535"/>
      <c r="E275" s="542"/>
      <c r="F275" s="609"/>
      <c r="G275" s="538"/>
      <c r="H275" s="19" t="s">
        <v>75</v>
      </c>
      <c r="I275" s="475"/>
      <c r="J275" s="615"/>
      <c r="K275" s="475"/>
    </row>
    <row r="276" spans="2:11" ht="12.75" customHeight="1" x14ac:dyDescent="0.25">
      <c r="B276" s="521"/>
      <c r="C276" s="523"/>
      <c r="D276" s="534" t="s">
        <v>473</v>
      </c>
      <c r="E276" s="541"/>
      <c r="F276" s="580"/>
      <c r="G276" s="537" t="s">
        <v>45</v>
      </c>
      <c r="H276" s="578"/>
      <c r="I276" s="523"/>
      <c r="J276" s="534" t="s">
        <v>125</v>
      </c>
      <c r="K276" s="536"/>
    </row>
    <row r="277" spans="2:11" x14ac:dyDescent="0.25">
      <c r="B277" s="522"/>
      <c r="C277" s="520"/>
      <c r="D277" s="535"/>
      <c r="E277" s="542"/>
      <c r="F277" s="609"/>
      <c r="G277" s="538"/>
      <c r="H277" s="449"/>
      <c r="I277" s="520"/>
      <c r="J277" s="535"/>
      <c r="K277" s="475"/>
    </row>
    <row r="278" spans="2:11" x14ac:dyDescent="0.25">
      <c r="B278" s="559" t="s">
        <v>126</v>
      </c>
      <c r="C278" s="523"/>
      <c r="D278" s="534" t="s">
        <v>497</v>
      </c>
      <c r="E278" s="541"/>
      <c r="F278" s="580"/>
      <c r="G278" s="537" t="s">
        <v>579</v>
      </c>
      <c r="H278" s="597" t="s">
        <v>123</v>
      </c>
      <c r="I278" s="528"/>
      <c r="J278" s="534" t="s">
        <v>124</v>
      </c>
      <c r="K278" s="536"/>
    </row>
    <row r="279" spans="2:11" x14ac:dyDescent="0.25">
      <c r="B279" s="560"/>
      <c r="C279" s="520"/>
      <c r="D279" s="535"/>
      <c r="E279" s="542"/>
      <c r="F279" s="609"/>
      <c r="G279" s="538"/>
      <c r="H279" s="585"/>
      <c r="I279" s="612"/>
      <c r="J279" s="535"/>
      <c r="K279" s="475"/>
    </row>
    <row r="280" spans="2:11" ht="12.75" customHeight="1" x14ac:dyDescent="0.25">
      <c r="B280" s="559"/>
      <c r="C280" s="523"/>
      <c r="D280" s="534" t="s">
        <v>498</v>
      </c>
      <c r="E280" s="541"/>
      <c r="F280" s="580"/>
      <c r="G280" s="537" t="s">
        <v>45</v>
      </c>
      <c r="H280" s="578"/>
      <c r="I280" s="528"/>
      <c r="J280" s="534" t="s">
        <v>125</v>
      </c>
      <c r="K280" s="536"/>
    </row>
    <row r="281" spans="2:11" x14ac:dyDescent="0.25">
      <c r="B281" s="560"/>
      <c r="C281" s="520"/>
      <c r="D281" s="535"/>
      <c r="E281" s="542"/>
      <c r="F281" s="609"/>
      <c r="G281" s="538"/>
      <c r="H281" s="449"/>
      <c r="I281" s="529"/>
      <c r="J281" s="535"/>
      <c r="K281" s="475"/>
    </row>
    <row r="282" spans="2:11" ht="12.75" customHeight="1" x14ac:dyDescent="0.25">
      <c r="B282" s="557">
        <v>116.88</v>
      </c>
      <c r="C282" s="523">
        <v>5</v>
      </c>
      <c r="D282" s="534" t="s">
        <v>499</v>
      </c>
      <c r="E282" s="541"/>
      <c r="F282" s="580"/>
      <c r="G282" s="537" t="s">
        <v>579</v>
      </c>
      <c r="H282" s="35" t="s">
        <v>142</v>
      </c>
      <c r="I282" s="536"/>
      <c r="J282" s="534" t="s">
        <v>208</v>
      </c>
      <c r="K282" s="523"/>
    </row>
    <row r="283" spans="2:11" ht="12.75" customHeight="1" x14ac:dyDescent="0.25">
      <c r="B283" s="558"/>
      <c r="C283" s="520"/>
      <c r="D283" s="535"/>
      <c r="E283" s="542"/>
      <c r="F283" s="609"/>
      <c r="G283" s="538"/>
      <c r="H283" s="19" t="s">
        <v>138</v>
      </c>
      <c r="I283" s="475"/>
      <c r="J283" s="535"/>
      <c r="K283" s="520"/>
    </row>
    <row r="284" spans="2:11" x14ac:dyDescent="0.25">
      <c r="B284" s="20" t="s">
        <v>27</v>
      </c>
      <c r="C284" s="575"/>
      <c r="D284" s="575"/>
      <c r="E284" s="576"/>
      <c r="F284" s="575"/>
      <c r="G284" s="575"/>
      <c r="H284" s="575"/>
      <c r="I284" s="575"/>
      <c r="J284" s="575"/>
      <c r="K284" s="575"/>
    </row>
    <row r="285" spans="2:11" x14ac:dyDescent="0.25">
      <c r="B285" s="20"/>
      <c r="C285" s="24">
        <v>1</v>
      </c>
      <c r="D285" s="504" t="s">
        <v>210</v>
      </c>
      <c r="E285" s="504"/>
      <c r="F285" s="504"/>
      <c r="G285" s="504"/>
      <c r="H285" s="504"/>
      <c r="I285" s="504"/>
      <c r="J285" s="504"/>
      <c r="K285" s="504"/>
    </row>
    <row r="286" spans="2:11" x14ac:dyDescent="0.25">
      <c r="C286" s="24">
        <f>+C267</f>
        <v>2</v>
      </c>
      <c r="D286" s="504" t="s">
        <v>378</v>
      </c>
      <c r="E286" s="504"/>
      <c r="F286" s="504"/>
      <c r="G286" s="504"/>
      <c r="H286" s="504"/>
      <c r="I286" s="504"/>
      <c r="J286" s="504"/>
      <c r="K286" s="504"/>
    </row>
    <row r="287" spans="2:11" x14ac:dyDescent="0.25">
      <c r="C287" s="24"/>
      <c r="D287" s="31"/>
      <c r="E287" s="503"/>
      <c r="F287" s="503"/>
      <c r="G287" s="503"/>
      <c r="H287" s="503"/>
      <c r="I287" s="503"/>
      <c r="J287" s="503"/>
      <c r="K287" s="503"/>
    </row>
    <row r="288" spans="2:11" x14ac:dyDescent="0.25">
      <c r="C288" s="24"/>
      <c r="D288" s="31"/>
      <c r="E288" s="503"/>
      <c r="F288" s="503"/>
      <c r="G288" s="503"/>
      <c r="H288" s="503"/>
      <c r="I288" s="503"/>
      <c r="J288" s="503"/>
      <c r="K288" s="503"/>
    </row>
    <row r="289" spans="2:11" x14ac:dyDescent="0.25">
      <c r="C289" s="24"/>
      <c r="D289" s="31"/>
      <c r="E289" s="503"/>
      <c r="F289" s="503"/>
      <c r="G289" s="503"/>
      <c r="H289" s="503"/>
      <c r="I289" s="503"/>
      <c r="J289" s="503"/>
      <c r="K289" s="503"/>
    </row>
    <row r="290" spans="2:11" x14ac:dyDescent="0.25">
      <c r="C290" s="24">
        <f>+C269</f>
        <v>3</v>
      </c>
      <c r="D290" s="577" t="s">
        <v>297</v>
      </c>
      <c r="E290" s="577"/>
      <c r="F290" s="577"/>
      <c r="G290" s="577"/>
      <c r="H290" s="577"/>
      <c r="I290" s="577"/>
      <c r="J290" s="577"/>
      <c r="K290" s="577"/>
    </row>
    <row r="291" spans="2:11" x14ac:dyDescent="0.25">
      <c r="C291" s="24">
        <f>+C273</f>
        <v>4</v>
      </c>
      <c r="D291" s="599" t="s">
        <v>292</v>
      </c>
      <c r="E291" s="599"/>
      <c r="F291" s="599"/>
      <c r="G291" s="599"/>
      <c r="H291" s="599"/>
      <c r="I291" s="599"/>
      <c r="J291" s="599"/>
      <c r="K291" s="599"/>
    </row>
    <row r="292" spans="2:11" x14ac:dyDescent="0.25">
      <c r="C292" s="24">
        <f>+C282</f>
        <v>5</v>
      </c>
      <c r="D292" s="504" t="s">
        <v>388</v>
      </c>
      <c r="E292" s="504"/>
      <c r="F292" s="504"/>
      <c r="G292" s="504"/>
      <c r="H292" s="504"/>
      <c r="I292" s="504"/>
      <c r="J292" s="504"/>
      <c r="K292" s="504"/>
    </row>
    <row r="293" spans="2:11" x14ac:dyDescent="0.25">
      <c r="C293" s="24"/>
      <c r="D293" s="504"/>
      <c r="E293" s="504"/>
      <c r="F293" s="504"/>
      <c r="G293" s="504"/>
      <c r="H293" s="504"/>
      <c r="I293" s="504"/>
      <c r="J293" s="504"/>
      <c r="K293" s="504"/>
    </row>
    <row r="294" spans="2:11" x14ac:dyDescent="0.25">
      <c r="C294" s="24"/>
      <c r="D294" s="504"/>
      <c r="E294" s="504"/>
      <c r="F294" s="504"/>
      <c r="G294" s="504"/>
      <c r="H294" s="504"/>
      <c r="I294" s="504"/>
      <c r="J294" s="504"/>
      <c r="K294" s="504"/>
    </row>
    <row r="295" spans="2:11" x14ac:dyDescent="0.25">
      <c r="B295" s="501"/>
      <c r="C295" s="501"/>
      <c r="D295" s="501"/>
      <c r="E295" s="501"/>
      <c r="F295" s="501"/>
      <c r="G295" s="501"/>
      <c r="H295" s="501"/>
      <c r="I295" s="501"/>
      <c r="J295" s="501"/>
      <c r="K295" s="501"/>
    </row>
    <row r="296" spans="2:11" x14ac:dyDescent="0.25">
      <c r="B296" s="501"/>
      <c r="C296" s="501"/>
      <c r="D296" s="501"/>
      <c r="E296" s="501"/>
      <c r="F296" s="501"/>
      <c r="G296" s="501"/>
      <c r="H296" s="501"/>
      <c r="I296" s="501"/>
      <c r="J296" s="501"/>
      <c r="K296" s="501"/>
    </row>
    <row r="297" spans="2:11" x14ac:dyDescent="0.25">
      <c r="B297" s="501"/>
      <c r="C297" s="501"/>
      <c r="D297" s="501"/>
      <c r="E297" s="501"/>
      <c r="F297" s="501"/>
      <c r="G297" s="501"/>
      <c r="H297" s="501"/>
      <c r="I297" s="501"/>
      <c r="J297" s="501"/>
      <c r="K297" s="501"/>
    </row>
    <row r="298" spans="2:11" x14ac:dyDescent="0.25">
      <c r="B298" s="501"/>
      <c r="C298" s="501"/>
      <c r="D298" s="501"/>
      <c r="E298" s="501"/>
      <c r="F298" s="501"/>
      <c r="G298" s="501"/>
      <c r="H298" s="501"/>
      <c r="I298" s="501"/>
      <c r="J298" s="501"/>
      <c r="K298" s="501"/>
    </row>
    <row r="299" spans="2:11" x14ac:dyDescent="0.25">
      <c r="B299" s="501"/>
      <c r="C299" s="501"/>
      <c r="D299" s="501"/>
      <c r="E299" s="501"/>
      <c r="F299" s="501"/>
      <c r="G299" s="501"/>
      <c r="H299" s="501"/>
      <c r="I299" s="501"/>
      <c r="J299" s="501"/>
      <c r="K299" s="501"/>
    </row>
    <row r="300" spans="2:11" x14ac:dyDescent="0.25">
      <c r="B300" s="501"/>
      <c r="C300" s="501"/>
      <c r="D300" s="501"/>
      <c r="E300" s="501"/>
      <c r="F300" s="501"/>
      <c r="G300" s="501"/>
      <c r="H300" s="501"/>
      <c r="I300" s="501"/>
      <c r="J300" s="501"/>
      <c r="K300" s="501"/>
    </row>
    <row r="301" spans="2:11" x14ac:dyDescent="0.25">
      <c r="B301" s="501"/>
      <c r="C301" s="501"/>
      <c r="D301" s="501"/>
      <c r="E301" s="501"/>
      <c r="F301" s="501"/>
      <c r="G301" s="501"/>
      <c r="H301" s="501"/>
      <c r="I301" s="501"/>
      <c r="J301" s="501"/>
      <c r="K301" s="501"/>
    </row>
    <row r="302" spans="2:11" x14ac:dyDescent="0.25">
      <c r="B302" s="501"/>
      <c r="C302" s="501"/>
      <c r="D302" s="501"/>
      <c r="E302" s="501"/>
      <c r="F302" s="501"/>
      <c r="G302" s="501"/>
      <c r="H302" s="501"/>
      <c r="I302" s="501"/>
      <c r="J302" s="501"/>
      <c r="K302" s="501"/>
    </row>
    <row r="303" spans="2:11" x14ac:dyDescent="0.25">
      <c r="B303" s="501"/>
      <c r="C303" s="501"/>
      <c r="D303" s="501"/>
      <c r="E303" s="501"/>
      <c r="F303" s="501"/>
      <c r="G303" s="501"/>
      <c r="H303" s="501"/>
      <c r="I303" s="501"/>
      <c r="J303" s="501"/>
      <c r="K303" s="501"/>
    </row>
    <row r="304" spans="2:11" x14ac:dyDescent="0.25">
      <c r="B304" s="501"/>
      <c r="C304" s="501"/>
      <c r="D304" s="501"/>
      <c r="E304" s="501"/>
      <c r="F304" s="501"/>
      <c r="G304" s="501"/>
      <c r="H304" s="501"/>
      <c r="I304" s="501"/>
      <c r="J304" s="501"/>
      <c r="K304" s="501"/>
    </row>
    <row r="305" spans="2:11" x14ac:dyDescent="0.25">
      <c r="B305" s="501"/>
      <c r="C305" s="501"/>
      <c r="D305" s="501"/>
      <c r="E305" s="501"/>
      <c r="F305" s="501"/>
      <c r="G305" s="501"/>
      <c r="H305" s="501"/>
      <c r="I305" s="501"/>
      <c r="J305" s="501"/>
      <c r="K305" s="501"/>
    </row>
    <row r="306" spans="2:11" x14ac:dyDescent="0.25">
      <c r="B306" s="501"/>
      <c r="C306" s="501"/>
      <c r="D306" s="501"/>
      <c r="E306" s="501"/>
      <c r="F306" s="501"/>
      <c r="G306" s="501"/>
      <c r="H306" s="501"/>
      <c r="I306" s="501"/>
      <c r="J306" s="501"/>
      <c r="K306" s="501"/>
    </row>
    <row r="307" spans="2:11" x14ac:dyDescent="0.25">
      <c r="B307" s="501"/>
      <c r="C307" s="501"/>
      <c r="D307" s="501"/>
      <c r="E307" s="501"/>
      <c r="F307" s="501"/>
      <c r="G307" s="501"/>
      <c r="H307" s="501"/>
      <c r="I307" s="501"/>
      <c r="J307" s="501"/>
      <c r="K307" s="501"/>
    </row>
    <row r="308" spans="2:11" ht="15.6" x14ac:dyDescent="0.25">
      <c r="B308" s="58" t="s">
        <v>127</v>
      </c>
      <c r="H308" s="59" t="s">
        <v>16</v>
      </c>
      <c r="J308" s="511" t="s">
        <v>128</v>
      </c>
      <c r="K308" s="511"/>
    </row>
    <row r="309" spans="2:11" ht="12.75" customHeight="1" x14ac:dyDescent="0.25">
      <c r="B309" s="559">
        <f>6040/0.903</f>
        <v>6688.815060908084</v>
      </c>
      <c r="C309" s="523">
        <v>2</v>
      </c>
      <c r="D309" s="534" t="s">
        <v>495</v>
      </c>
      <c r="E309" s="541"/>
      <c r="F309" s="580"/>
      <c r="G309" s="537" t="s">
        <v>45</v>
      </c>
      <c r="H309" s="534" t="s">
        <v>129</v>
      </c>
      <c r="I309" s="544"/>
      <c r="J309" s="534" t="s">
        <v>391</v>
      </c>
      <c r="K309" s="523"/>
    </row>
    <row r="310" spans="2:11" x14ac:dyDescent="0.25">
      <c r="B310" s="560"/>
      <c r="C310" s="520"/>
      <c r="D310" s="535"/>
      <c r="E310" s="542"/>
      <c r="F310" s="609"/>
      <c r="G310" s="538"/>
      <c r="H310" s="648"/>
      <c r="I310" s="526"/>
      <c r="J310" s="535"/>
      <c r="K310" s="520"/>
    </row>
    <row r="311" spans="2:11" ht="12.75" customHeight="1" x14ac:dyDescent="0.25">
      <c r="B311" s="622">
        <f>56.5%*0.903</f>
        <v>0.51019499999999995</v>
      </c>
      <c r="C311" s="523">
        <v>3</v>
      </c>
      <c r="D311" s="534" t="s">
        <v>343</v>
      </c>
      <c r="E311" s="541"/>
      <c r="F311" s="580"/>
      <c r="G311" s="537" t="s">
        <v>45</v>
      </c>
      <c r="H311" s="530" t="s">
        <v>130</v>
      </c>
      <c r="I311" s="526"/>
      <c r="J311" s="539" t="s">
        <v>395</v>
      </c>
      <c r="K311" s="543"/>
    </row>
    <row r="312" spans="2:11" ht="13.8" thickBot="1" x14ac:dyDescent="0.3">
      <c r="B312" s="623"/>
      <c r="C312" s="563"/>
      <c r="D312" s="549"/>
      <c r="E312" s="550"/>
      <c r="F312" s="643"/>
      <c r="G312" s="567"/>
      <c r="H312" s="568"/>
      <c r="I312" s="616"/>
      <c r="J312" s="549"/>
      <c r="K312" s="564"/>
    </row>
    <row r="313" spans="2:11" ht="12.75" customHeight="1" x14ac:dyDescent="0.25">
      <c r="B313" s="570" t="s">
        <v>131</v>
      </c>
      <c r="C313" s="562" t="s">
        <v>57</v>
      </c>
      <c r="D313" s="547" t="s">
        <v>500</v>
      </c>
      <c r="E313" s="548"/>
      <c r="F313" s="645"/>
      <c r="G313" s="553" t="s">
        <v>580</v>
      </c>
      <c r="H313" s="666" t="s">
        <v>132</v>
      </c>
      <c r="I313" s="667"/>
      <c r="J313" s="547" t="s">
        <v>400</v>
      </c>
      <c r="K313" s="497"/>
    </row>
    <row r="314" spans="2:11" x14ac:dyDescent="0.25">
      <c r="B314" s="556"/>
      <c r="C314" s="520"/>
      <c r="D314" s="535"/>
      <c r="E314" s="542"/>
      <c r="F314" s="609"/>
      <c r="G314" s="538"/>
      <c r="H314" s="668"/>
      <c r="I314" s="669"/>
      <c r="J314" s="535"/>
      <c r="K314" s="475"/>
    </row>
    <row r="315" spans="2:11" ht="12.75" customHeight="1" x14ac:dyDescent="0.25">
      <c r="B315" s="521">
        <v>5.9999999999999995E-4</v>
      </c>
      <c r="C315" s="523">
        <v>6</v>
      </c>
      <c r="D315" s="534" t="s">
        <v>496</v>
      </c>
      <c r="E315" s="541"/>
      <c r="F315" s="580"/>
      <c r="G315" s="537" t="s">
        <v>45</v>
      </c>
      <c r="H315" s="534" t="s">
        <v>133</v>
      </c>
      <c r="I315" s="536"/>
      <c r="J315" s="597" t="s">
        <v>75</v>
      </c>
      <c r="K315" s="536"/>
    </row>
    <row r="316" spans="2:11" x14ac:dyDescent="0.25">
      <c r="B316" s="522"/>
      <c r="C316" s="520"/>
      <c r="D316" s="535"/>
      <c r="E316" s="542"/>
      <c r="F316" s="609"/>
      <c r="G316" s="538"/>
      <c r="H316" s="535"/>
      <c r="I316" s="475"/>
      <c r="J316" s="535"/>
      <c r="K316" s="475"/>
    </row>
    <row r="317" spans="2:11" ht="12.75" customHeight="1" x14ac:dyDescent="0.25">
      <c r="B317" s="521">
        <v>6.6E-3</v>
      </c>
      <c r="C317" s="523">
        <v>7</v>
      </c>
      <c r="D317" s="534" t="s">
        <v>473</v>
      </c>
      <c r="E317" s="541"/>
      <c r="F317" s="580"/>
      <c r="G317" s="537" t="s">
        <v>45</v>
      </c>
      <c r="H317" s="534" t="s">
        <v>74</v>
      </c>
      <c r="I317" s="523"/>
      <c r="J317" s="597" t="s">
        <v>75</v>
      </c>
      <c r="K317" s="536"/>
    </row>
    <row r="318" spans="2:11" x14ac:dyDescent="0.25">
      <c r="B318" s="522"/>
      <c r="C318" s="520"/>
      <c r="D318" s="535"/>
      <c r="E318" s="542"/>
      <c r="F318" s="609"/>
      <c r="G318" s="538"/>
      <c r="H318" s="535"/>
      <c r="I318" s="520"/>
      <c r="J318" s="535"/>
      <c r="K318" s="475"/>
    </row>
    <row r="319" spans="2:11" ht="12.75" customHeight="1" x14ac:dyDescent="0.25">
      <c r="B319" s="559" t="s">
        <v>131</v>
      </c>
      <c r="C319" s="523">
        <v>8</v>
      </c>
      <c r="D319" s="534" t="s">
        <v>497</v>
      </c>
      <c r="E319" s="541"/>
      <c r="F319" s="580"/>
      <c r="G319" s="537" t="s">
        <v>579</v>
      </c>
      <c r="H319" s="534" t="s">
        <v>396</v>
      </c>
      <c r="I319" s="536"/>
      <c r="J319" s="534"/>
      <c r="K319" s="536"/>
    </row>
    <row r="320" spans="2:11" x14ac:dyDescent="0.25">
      <c r="B320" s="560"/>
      <c r="C320" s="520"/>
      <c r="D320" s="535"/>
      <c r="E320" s="542"/>
      <c r="F320" s="609"/>
      <c r="G320" s="538"/>
      <c r="H320" s="535"/>
      <c r="I320" s="475"/>
      <c r="J320" s="535"/>
      <c r="K320" s="475"/>
    </row>
    <row r="321" spans="2:11" ht="12.75" customHeight="1" x14ac:dyDescent="0.25">
      <c r="B321" s="559"/>
      <c r="C321" s="523"/>
      <c r="D321" s="534" t="s">
        <v>498</v>
      </c>
      <c r="E321" s="541"/>
      <c r="F321" s="580"/>
      <c r="G321" s="537" t="s">
        <v>45</v>
      </c>
      <c r="H321" s="534"/>
      <c r="I321" s="536"/>
      <c r="J321" s="534" t="s">
        <v>134</v>
      </c>
      <c r="K321" s="536"/>
    </row>
    <row r="322" spans="2:11" x14ac:dyDescent="0.25">
      <c r="B322" s="560"/>
      <c r="C322" s="520"/>
      <c r="D322" s="535"/>
      <c r="E322" s="542"/>
      <c r="F322" s="609"/>
      <c r="G322" s="538"/>
      <c r="H322" s="535"/>
      <c r="I322" s="475"/>
      <c r="J322" s="535"/>
      <c r="K322" s="475"/>
    </row>
    <row r="323" spans="2:11" ht="12.75" customHeight="1" x14ac:dyDescent="0.25">
      <c r="B323" s="557">
        <v>116.88</v>
      </c>
      <c r="C323" s="523">
        <v>9</v>
      </c>
      <c r="D323" s="534" t="s">
        <v>499</v>
      </c>
      <c r="E323" s="541"/>
      <c r="F323" s="580"/>
      <c r="G323" s="537" t="s">
        <v>579</v>
      </c>
      <c r="H323" s="35" t="s">
        <v>139</v>
      </c>
      <c r="I323" s="536"/>
      <c r="J323" s="534" t="s">
        <v>413</v>
      </c>
      <c r="K323" s="523"/>
    </row>
    <row r="324" spans="2:11" x14ac:dyDescent="0.25">
      <c r="B324" s="558"/>
      <c r="C324" s="520"/>
      <c r="D324" s="535"/>
      <c r="E324" s="542"/>
      <c r="F324" s="609"/>
      <c r="G324" s="538"/>
      <c r="H324" s="19" t="s">
        <v>138</v>
      </c>
      <c r="I324" s="475"/>
      <c r="J324" s="535"/>
      <c r="K324" s="520"/>
    </row>
    <row r="325" spans="2:11" x14ac:dyDescent="0.25">
      <c r="B325" s="20" t="s">
        <v>27</v>
      </c>
      <c r="C325" s="575"/>
      <c r="D325" s="575"/>
      <c r="E325" s="576"/>
      <c r="F325" s="575"/>
      <c r="G325" s="575"/>
      <c r="H325" s="575"/>
      <c r="I325" s="575"/>
      <c r="J325" s="575"/>
      <c r="K325" s="575"/>
    </row>
    <row r="326" spans="2:11" x14ac:dyDescent="0.25">
      <c r="C326" s="24">
        <v>1</v>
      </c>
      <c r="D326" s="653" t="s">
        <v>135</v>
      </c>
      <c r="E326" s="653"/>
      <c r="F326" s="653"/>
      <c r="G326" s="653"/>
      <c r="H326" s="653"/>
      <c r="I326" s="653"/>
      <c r="J326" s="653"/>
      <c r="K326" s="653"/>
    </row>
    <row r="327" spans="2:11" x14ac:dyDescent="0.25">
      <c r="C327" s="24"/>
      <c r="D327" s="653"/>
      <c r="E327" s="653"/>
      <c r="F327" s="653"/>
      <c r="G327" s="653"/>
      <c r="H327" s="653"/>
      <c r="I327" s="653"/>
      <c r="J327" s="653"/>
      <c r="K327" s="653"/>
    </row>
    <row r="328" spans="2:11" x14ac:dyDescent="0.25">
      <c r="C328" s="24"/>
      <c r="D328" s="593" t="s">
        <v>392</v>
      </c>
      <c r="E328" s="593"/>
      <c r="F328" s="593"/>
      <c r="G328" s="593"/>
      <c r="H328" s="593"/>
      <c r="I328" s="593"/>
      <c r="J328" s="593"/>
      <c r="K328" s="593"/>
    </row>
    <row r="329" spans="2:11" x14ac:dyDescent="0.25">
      <c r="C329" s="24"/>
      <c r="D329" s="656" t="s">
        <v>163</v>
      </c>
      <c r="E329" s="656"/>
      <c r="F329" s="656"/>
      <c r="G329" s="656"/>
      <c r="H329" s="656"/>
      <c r="I329" s="656"/>
      <c r="J329" s="656"/>
      <c r="K329" s="656"/>
    </row>
    <row r="330" spans="2:11" x14ac:dyDescent="0.25">
      <c r="C330" s="24"/>
      <c r="D330" s="593" t="s">
        <v>393</v>
      </c>
      <c r="E330" s="593"/>
      <c r="F330" s="593"/>
      <c r="G330" s="593"/>
      <c r="H330" s="593"/>
      <c r="I330" s="593"/>
      <c r="J330" s="593"/>
      <c r="K330" s="593"/>
    </row>
    <row r="331" spans="2:11" x14ac:dyDescent="0.25">
      <c r="C331" s="24"/>
      <c r="D331" s="656" t="s">
        <v>164</v>
      </c>
      <c r="E331" s="656"/>
      <c r="F331" s="656"/>
      <c r="G331" s="656"/>
      <c r="H331" s="656"/>
      <c r="I331" s="656"/>
      <c r="J331" s="656"/>
      <c r="K331" s="656"/>
    </row>
    <row r="332" spans="2:11" x14ac:dyDescent="0.25">
      <c r="C332" s="24"/>
      <c r="D332" s="593" t="s">
        <v>394</v>
      </c>
      <c r="E332" s="593"/>
      <c r="F332" s="593"/>
      <c r="G332" s="593"/>
      <c r="H332" s="593"/>
      <c r="I332" s="593"/>
      <c r="J332" s="593"/>
      <c r="K332" s="593"/>
    </row>
    <row r="333" spans="2:11" x14ac:dyDescent="0.25">
      <c r="D333" s="655" t="s">
        <v>165</v>
      </c>
      <c r="E333" s="655"/>
      <c r="F333" s="655"/>
      <c r="G333" s="655"/>
      <c r="H333" s="655"/>
      <c r="I333" s="655"/>
      <c r="J333" s="655"/>
      <c r="K333" s="655"/>
    </row>
    <row r="334" spans="2:11" x14ac:dyDescent="0.25">
      <c r="D334" s="655" t="s">
        <v>166</v>
      </c>
      <c r="E334" s="655"/>
      <c r="F334" s="655"/>
      <c r="G334" s="655"/>
      <c r="H334" s="655"/>
      <c r="I334" s="655"/>
      <c r="J334" s="655"/>
      <c r="K334" s="655"/>
    </row>
    <row r="335" spans="2:11" ht="12.75" customHeight="1" x14ac:dyDescent="0.25">
      <c r="C335" s="24">
        <v>2</v>
      </c>
      <c r="D335" s="533" t="s">
        <v>416</v>
      </c>
      <c r="E335" s="533"/>
      <c r="F335" s="533"/>
      <c r="G335" s="533"/>
      <c r="H335" s="533"/>
      <c r="I335" s="533"/>
      <c r="J335" s="533"/>
      <c r="K335" s="533"/>
    </row>
    <row r="336" spans="2:11" x14ac:dyDescent="0.25">
      <c r="C336" s="24"/>
      <c r="D336" s="533"/>
      <c r="E336" s="533"/>
      <c r="F336" s="533"/>
      <c r="G336" s="533"/>
      <c r="H336" s="533"/>
      <c r="I336" s="533"/>
      <c r="J336" s="533"/>
      <c r="K336" s="533"/>
    </row>
    <row r="337" spans="3:11" x14ac:dyDescent="0.25">
      <c r="C337" s="24"/>
      <c r="D337" s="60"/>
      <c r="E337" s="540"/>
      <c r="F337" s="540"/>
      <c r="G337" s="540"/>
      <c r="H337" s="540"/>
      <c r="I337" s="540"/>
      <c r="J337" s="540"/>
      <c r="K337" s="540"/>
    </row>
    <row r="338" spans="3:11" x14ac:dyDescent="0.25">
      <c r="C338" s="24"/>
      <c r="D338" s="60"/>
      <c r="E338" s="540"/>
      <c r="F338" s="540"/>
      <c r="G338" s="540"/>
      <c r="H338" s="540"/>
      <c r="I338" s="540"/>
      <c r="J338" s="540"/>
      <c r="K338" s="540"/>
    </row>
    <row r="339" spans="3:11" x14ac:dyDescent="0.25">
      <c r="C339" s="24"/>
      <c r="D339" s="60"/>
      <c r="E339" s="540"/>
      <c r="F339" s="540"/>
      <c r="G339" s="540"/>
      <c r="H339" s="540"/>
      <c r="I339" s="540"/>
      <c r="J339" s="540"/>
      <c r="K339" s="540"/>
    </row>
    <row r="340" spans="3:11" x14ac:dyDescent="0.25">
      <c r="C340" s="24">
        <v>3</v>
      </c>
      <c r="D340" s="504" t="s">
        <v>302</v>
      </c>
      <c r="E340" s="504"/>
      <c r="F340" s="504"/>
      <c r="G340" s="504"/>
      <c r="H340" s="504"/>
      <c r="I340" s="504"/>
      <c r="J340" s="504"/>
      <c r="K340" s="504"/>
    </row>
    <row r="341" spans="3:11" x14ac:dyDescent="0.25">
      <c r="C341" s="24">
        <f>1+C340</f>
        <v>4</v>
      </c>
      <c r="D341" s="512" t="s">
        <v>397</v>
      </c>
      <c r="E341" s="512"/>
      <c r="F341" s="512"/>
      <c r="G341" s="512"/>
      <c r="H341" s="512"/>
      <c r="I341" s="512"/>
      <c r="J341" s="512"/>
      <c r="K341" s="512"/>
    </row>
    <row r="342" spans="3:11" x14ac:dyDescent="0.25">
      <c r="C342" s="24"/>
      <c r="D342" s="672" t="s">
        <v>398</v>
      </c>
      <c r="E342" s="672"/>
      <c r="F342" s="672"/>
      <c r="G342" s="672"/>
      <c r="H342" s="672"/>
      <c r="I342" s="672"/>
      <c r="J342" s="672"/>
      <c r="K342" s="672"/>
    </row>
    <row r="343" spans="3:11" x14ac:dyDescent="0.25">
      <c r="C343" s="24"/>
      <c r="D343" s="672" t="s">
        <v>399</v>
      </c>
      <c r="E343" s="672"/>
      <c r="F343" s="672"/>
      <c r="G343" s="672"/>
      <c r="H343" s="672"/>
      <c r="I343" s="672"/>
      <c r="J343" s="672"/>
      <c r="K343" s="672"/>
    </row>
    <row r="344" spans="3:11" x14ac:dyDescent="0.25">
      <c r="C344" s="21">
        <f>1+C341</f>
        <v>5</v>
      </c>
      <c r="D344" s="653" t="s">
        <v>8</v>
      </c>
      <c r="E344" s="653"/>
      <c r="F344" s="653"/>
      <c r="G344" s="653"/>
      <c r="H344" s="653"/>
      <c r="I344" s="653"/>
      <c r="J344" s="653"/>
      <c r="K344" s="653"/>
    </row>
    <row r="345" spans="3:11" x14ac:dyDescent="0.25">
      <c r="C345" s="21"/>
      <c r="D345" s="653"/>
      <c r="E345" s="653"/>
      <c r="F345" s="653"/>
      <c r="G345" s="653"/>
      <c r="H345" s="653"/>
      <c r="I345" s="653"/>
      <c r="J345" s="653"/>
      <c r="K345" s="653"/>
    </row>
    <row r="346" spans="3:11" x14ac:dyDescent="0.25">
      <c r="C346" s="61"/>
      <c r="D346" s="652" t="s">
        <v>167</v>
      </c>
      <c r="E346" s="652"/>
      <c r="F346" s="652"/>
      <c r="G346" s="652"/>
      <c r="H346" s="652"/>
      <c r="I346" s="652"/>
      <c r="J346" s="652"/>
      <c r="K346" s="652"/>
    </row>
    <row r="347" spans="3:11" ht="12.75" customHeight="1" x14ac:dyDescent="0.25">
      <c r="C347" s="21">
        <f>1+C344</f>
        <v>6</v>
      </c>
      <c r="D347" s="654" t="s">
        <v>420</v>
      </c>
      <c r="E347" s="654"/>
      <c r="F347" s="654"/>
      <c r="G347" s="654"/>
      <c r="H347" s="654"/>
      <c r="I347" s="654"/>
      <c r="J347" s="654"/>
      <c r="K347" s="654"/>
    </row>
    <row r="348" spans="3:11" x14ac:dyDescent="0.25">
      <c r="C348" s="61"/>
      <c r="D348" s="654"/>
      <c r="E348" s="654"/>
      <c r="F348" s="654"/>
      <c r="G348" s="654"/>
      <c r="H348" s="654"/>
      <c r="I348" s="654"/>
      <c r="J348" s="654"/>
      <c r="K348" s="654"/>
    </row>
    <row r="349" spans="3:11" x14ac:dyDescent="0.25">
      <c r="C349" s="61"/>
      <c r="D349" s="651" t="s">
        <v>75</v>
      </c>
      <c r="E349" s="651"/>
      <c r="F349" s="651"/>
      <c r="G349" s="651"/>
      <c r="H349" s="651"/>
      <c r="I349" s="651"/>
      <c r="J349" s="651"/>
      <c r="K349" s="651"/>
    </row>
    <row r="350" spans="3:11" x14ac:dyDescent="0.25">
      <c r="C350" s="21">
        <f>1+C347</f>
        <v>7</v>
      </c>
      <c r="D350" s="533" t="s">
        <v>421</v>
      </c>
      <c r="E350" s="533"/>
      <c r="F350" s="533"/>
      <c r="G350" s="533"/>
      <c r="H350" s="533"/>
      <c r="I350" s="533"/>
      <c r="J350" s="533"/>
      <c r="K350" s="533"/>
    </row>
    <row r="351" spans="3:11" x14ac:dyDescent="0.25">
      <c r="C351" s="61"/>
      <c r="D351" s="533"/>
      <c r="E351" s="533"/>
      <c r="F351" s="533"/>
      <c r="G351" s="533"/>
      <c r="H351" s="533"/>
      <c r="I351" s="533"/>
      <c r="J351" s="533"/>
      <c r="K351" s="533"/>
    </row>
    <row r="352" spans="3:11" x14ac:dyDescent="0.25">
      <c r="C352" s="21">
        <v>8</v>
      </c>
      <c r="D352" s="512" t="s">
        <v>401</v>
      </c>
      <c r="E352" s="512"/>
      <c r="F352" s="512"/>
      <c r="G352" s="512"/>
      <c r="H352" s="512"/>
      <c r="I352" s="512"/>
      <c r="J352" s="512"/>
      <c r="K352" s="512"/>
    </row>
    <row r="353" spans="2:11" x14ac:dyDescent="0.25">
      <c r="C353" s="61"/>
      <c r="D353" s="512"/>
      <c r="E353" s="512"/>
      <c r="F353" s="512"/>
      <c r="G353" s="512"/>
      <c r="H353" s="512"/>
      <c r="I353" s="512"/>
      <c r="J353" s="512"/>
      <c r="K353" s="512"/>
    </row>
    <row r="354" spans="2:11" x14ac:dyDescent="0.25">
      <c r="C354" s="24">
        <v>9</v>
      </c>
      <c r="D354" s="504" t="s">
        <v>402</v>
      </c>
      <c r="E354" s="504"/>
      <c r="F354" s="504"/>
      <c r="G354" s="504"/>
      <c r="H354" s="504"/>
      <c r="I354" s="504"/>
      <c r="J354" s="504"/>
      <c r="K354" s="504"/>
    </row>
    <row r="355" spans="2:11" x14ac:dyDescent="0.25">
      <c r="C355" s="24"/>
      <c r="D355" s="504"/>
      <c r="E355" s="504"/>
      <c r="F355" s="504"/>
      <c r="G355" s="504"/>
      <c r="H355" s="504"/>
      <c r="I355" s="504"/>
      <c r="J355" s="504"/>
      <c r="K355" s="504"/>
    </row>
    <row r="356" spans="2:11" x14ac:dyDescent="0.25">
      <c r="C356" s="24"/>
      <c r="D356" s="504"/>
      <c r="E356" s="504"/>
      <c r="F356" s="504"/>
      <c r="G356" s="504"/>
      <c r="H356" s="504"/>
      <c r="I356" s="504"/>
      <c r="J356" s="504"/>
      <c r="K356" s="504"/>
    </row>
    <row r="357" spans="2:11" x14ac:dyDescent="0.25">
      <c r="B357" s="501"/>
      <c r="C357" s="501"/>
      <c r="D357" s="501"/>
      <c r="E357" s="501"/>
      <c r="F357" s="501"/>
      <c r="G357" s="501"/>
      <c r="H357" s="501"/>
      <c r="I357" s="501"/>
      <c r="J357" s="501"/>
      <c r="K357" s="501"/>
    </row>
    <row r="358" spans="2:11" x14ac:dyDescent="0.25">
      <c r="B358" s="501"/>
      <c r="C358" s="501"/>
      <c r="D358" s="501"/>
      <c r="E358" s="501"/>
      <c r="F358" s="501"/>
      <c r="G358" s="501"/>
      <c r="H358" s="501"/>
      <c r="I358" s="501"/>
      <c r="J358" s="501"/>
      <c r="K358" s="501"/>
    </row>
    <row r="359" spans="2:11" x14ac:dyDescent="0.25">
      <c r="B359" s="58" t="s">
        <v>168</v>
      </c>
      <c r="H359" s="59" t="s">
        <v>169</v>
      </c>
      <c r="J359" s="511" t="s">
        <v>170</v>
      </c>
      <c r="K359" s="511"/>
    </row>
    <row r="360" spans="2:11" ht="12.75" customHeight="1" x14ac:dyDescent="0.25">
      <c r="B360" s="559">
        <f>9640/0.903</f>
        <v>10675.526024363233</v>
      </c>
      <c r="C360" s="523">
        <v>2</v>
      </c>
      <c r="D360" s="534" t="s">
        <v>495</v>
      </c>
      <c r="E360" s="541"/>
      <c r="F360" s="580"/>
      <c r="G360" s="537" t="s">
        <v>45</v>
      </c>
      <c r="H360" s="534" t="s">
        <v>410</v>
      </c>
      <c r="I360" s="523"/>
      <c r="J360" s="534" t="s">
        <v>407</v>
      </c>
      <c r="K360" s="523"/>
    </row>
    <row r="361" spans="2:11" x14ac:dyDescent="0.25">
      <c r="B361" s="560"/>
      <c r="C361" s="520"/>
      <c r="D361" s="535"/>
      <c r="E361" s="542"/>
      <c r="F361" s="609"/>
      <c r="G361" s="538"/>
      <c r="H361" s="535"/>
      <c r="I361" s="520"/>
      <c r="J361" s="535"/>
      <c r="K361" s="520"/>
    </row>
    <row r="362" spans="2:11" ht="12.75" customHeight="1" x14ac:dyDescent="0.25">
      <c r="B362" s="622">
        <f>35.3%*0.903</f>
        <v>0.31875900000000001</v>
      </c>
      <c r="C362" s="523">
        <v>3</v>
      </c>
      <c r="D362" s="534" t="s">
        <v>343</v>
      </c>
      <c r="E362" s="541"/>
      <c r="F362" s="580"/>
      <c r="G362" s="537" t="s">
        <v>45</v>
      </c>
      <c r="H362" s="539" t="s">
        <v>409</v>
      </c>
      <c r="I362" s="543"/>
      <c r="J362" s="539" t="s">
        <v>408</v>
      </c>
      <c r="K362" s="543"/>
    </row>
    <row r="363" spans="2:11" ht="13.8" thickBot="1" x14ac:dyDescent="0.3">
      <c r="B363" s="623"/>
      <c r="C363" s="563"/>
      <c r="D363" s="549"/>
      <c r="E363" s="550"/>
      <c r="F363" s="643"/>
      <c r="G363" s="567"/>
      <c r="H363" s="549"/>
      <c r="I363" s="564"/>
      <c r="J363" s="549"/>
      <c r="K363" s="564"/>
    </row>
    <row r="364" spans="2:11" ht="12.75" customHeight="1" x14ac:dyDescent="0.25">
      <c r="B364" s="644">
        <v>15</v>
      </c>
      <c r="C364" s="562"/>
      <c r="D364" s="547" t="s">
        <v>500</v>
      </c>
      <c r="E364" s="548"/>
      <c r="F364" s="645"/>
      <c r="G364" s="553" t="s">
        <v>580</v>
      </c>
      <c r="H364" s="547" t="s">
        <v>411</v>
      </c>
      <c r="I364" s="523"/>
      <c r="J364" s="547" t="s">
        <v>525</v>
      </c>
      <c r="K364" s="523"/>
    </row>
    <row r="365" spans="2:11" x14ac:dyDescent="0.25">
      <c r="B365" s="560"/>
      <c r="C365" s="520"/>
      <c r="D365" s="535"/>
      <c r="E365" s="542"/>
      <c r="F365" s="609"/>
      <c r="G365" s="538"/>
      <c r="H365" s="535"/>
      <c r="I365" s="520"/>
      <c r="J365" s="535"/>
      <c r="K365" s="520"/>
    </row>
    <row r="366" spans="2:11" ht="12.75" customHeight="1" x14ac:dyDescent="0.25">
      <c r="B366" s="521">
        <v>5.9999999999999995E-4</v>
      </c>
      <c r="C366" s="523">
        <v>5</v>
      </c>
      <c r="D366" s="534" t="s">
        <v>496</v>
      </c>
      <c r="E366" s="541"/>
      <c r="F366" s="580"/>
      <c r="G366" s="537" t="s">
        <v>45</v>
      </c>
      <c r="H366" s="534" t="s">
        <v>133</v>
      </c>
      <c r="I366" s="536"/>
      <c r="J366" s="597" t="s">
        <v>75</v>
      </c>
      <c r="K366" s="536"/>
    </row>
    <row r="367" spans="2:11" x14ac:dyDescent="0.25">
      <c r="B367" s="522"/>
      <c r="C367" s="520"/>
      <c r="D367" s="535"/>
      <c r="E367" s="542"/>
      <c r="F367" s="609"/>
      <c r="G367" s="538"/>
      <c r="H367" s="535"/>
      <c r="I367" s="475"/>
      <c r="J367" s="535"/>
      <c r="K367" s="475"/>
    </row>
    <row r="368" spans="2:11" ht="12.75" customHeight="1" x14ac:dyDescent="0.25">
      <c r="B368" s="521">
        <v>6.6E-3</v>
      </c>
      <c r="C368" s="523">
        <v>6</v>
      </c>
      <c r="D368" s="534" t="s">
        <v>473</v>
      </c>
      <c r="E368" s="541"/>
      <c r="F368" s="580"/>
      <c r="G368" s="537" t="s">
        <v>45</v>
      </c>
      <c r="H368" s="534" t="s">
        <v>74</v>
      </c>
      <c r="I368" s="536"/>
      <c r="J368" s="597" t="s">
        <v>75</v>
      </c>
      <c r="K368" s="536"/>
    </row>
    <row r="369" spans="2:11" x14ac:dyDescent="0.25">
      <c r="B369" s="522"/>
      <c r="C369" s="520"/>
      <c r="D369" s="535"/>
      <c r="E369" s="542"/>
      <c r="F369" s="609"/>
      <c r="G369" s="538"/>
      <c r="H369" s="535"/>
      <c r="I369" s="475"/>
      <c r="J369" s="535"/>
      <c r="K369" s="475"/>
    </row>
    <row r="370" spans="2:11" ht="12.75" customHeight="1" x14ac:dyDescent="0.25">
      <c r="B370" s="559">
        <v>9</v>
      </c>
      <c r="C370" s="523"/>
      <c r="D370" s="534" t="s">
        <v>497</v>
      </c>
      <c r="E370" s="541"/>
      <c r="F370" s="580"/>
      <c r="G370" s="537" t="s">
        <v>579</v>
      </c>
      <c r="H370" s="534" t="s">
        <v>412</v>
      </c>
      <c r="I370" s="536"/>
      <c r="J370" s="534"/>
      <c r="K370" s="536"/>
    </row>
    <row r="371" spans="2:11" x14ac:dyDescent="0.25">
      <c r="B371" s="560"/>
      <c r="C371" s="520"/>
      <c r="D371" s="535"/>
      <c r="E371" s="542"/>
      <c r="F371" s="609"/>
      <c r="G371" s="538"/>
      <c r="H371" s="535"/>
      <c r="I371" s="475"/>
      <c r="J371" s="535"/>
      <c r="K371" s="475"/>
    </row>
    <row r="372" spans="2:11" ht="12.75" customHeight="1" x14ac:dyDescent="0.25">
      <c r="B372" s="559"/>
      <c r="C372" s="523"/>
      <c r="D372" s="534" t="s">
        <v>498</v>
      </c>
      <c r="E372" s="541"/>
      <c r="F372" s="580"/>
      <c r="G372" s="537" t="s">
        <v>45</v>
      </c>
      <c r="H372" s="534"/>
      <c r="I372" s="536"/>
      <c r="J372" s="534" t="s">
        <v>171</v>
      </c>
      <c r="K372" s="536"/>
    </row>
    <row r="373" spans="2:11" x14ac:dyDescent="0.25">
      <c r="B373" s="560"/>
      <c r="C373" s="520"/>
      <c r="D373" s="535"/>
      <c r="E373" s="542"/>
      <c r="F373" s="609"/>
      <c r="G373" s="538"/>
      <c r="H373" s="535"/>
      <c r="I373" s="475"/>
      <c r="J373" s="535"/>
      <c r="K373" s="475"/>
    </row>
    <row r="374" spans="2:11" ht="12.75" customHeight="1" x14ac:dyDescent="0.25">
      <c r="B374" s="557">
        <v>116.88</v>
      </c>
      <c r="C374" s="523">
        <v>7</v>
      </c>
      <c r="D374" s="534" t="s">
        <v>499</v>
      </c>
      <c r="E374" s="541"/>
      <c r="F374" s="580"/>
      <c r="G374" s="537" t="s">
        <v>579</v>
      </c>
      <c r="H374" s="35" t="s">
        <v>143</v>
      </c>
      <c r="I374" s="536"/>
      <c r="J374" s="534" t="s">
        <v>414</v>
      </c>
      <c r="K374" s="523"/>
    </row>
    <row r="375" spans="2:11" x14ac:dyDescent="0.25">
      <c r="B375" s="558"/>
      <c r="C375" s="520"/>
      <c r="D375" s="535"/>
      <c r="E375" s="542"/>
      <c r="F375" s="609"/>
      <c r="G375" s="538"/>
      <c r="H375" s="19" t="s">
        <v>138</v>
      </c>
      <c r="I375" s="475"/>
      <c r="J375" s="535"/>
      <c r="K375" s="520"/>
    </row>
    <row r="376" spans="2:11" x14ac:dyDescent="0.25">
      <c r="B376" s="20" t="s">
        <v>27</v>
      </c>
      <c r="C376" s="575"/>
      <c r="D376" s="575"/>
      <c r="E376" s="576"/>
      <c r="F376" s="575"/>
      <c r="G376" s="575"/>
      <c r="H376" s="575"/>
      <c r="I376" s="575"/>
      <c r="J376" s="575"/>
      <c r="K376" s="575"/>
    </row>
    <row r="377" spans="2:11" x14ac:dyDescent="0.25">
      <c r="C377" s="24">
        <v>1</v>
      </c>
      <c r="D377" s="653" t="s">
        <v>415</v>
      </c>
      <c r="E377" s="653"/>
      <c r="F377" s="653"/>
      <c r="G377" s="653"/>
      <c r="H377" s="653"/>
      <c r="I377" s="653"/>
      <c r="J377" s="653"/>
      <c r="K377" s="653"/>
    </row>
    <row r="378" spans="2:11" x14ac:dyDescent="0.25">
      <c r="C378" s="24"/>
      <c r="D378" s="653"/>
      <c r="E378" s="653"/>
      <c r="F378" s="653"/>
      <c r="G378" s="653"/>
      <c r="H378" s="653"/>
      <c r="I378" s="653"/>
      <c r="J378" s="653"/>
      <c r="K378" s="653"/>
    </row>
    <row r="379" spans="2:11" x14ac:dyDescent="0.25">
      <c r="C379" s="24"/>
      <c r="D379" s="653"/>
      <c r="E379" s="653"/>
      <c r="F379" s="653"/>
      <c r="G379" s="653"/>
      <c r="H379" s="653"/>
      <c r="I379" s="653"/>
      <c r="J379" s="653"/>
      <c r="K379" s="653"/>
    </row>
    <row r="380" spans="2:11" x14ac:dyDescent="0.25">
      <c r="C380" s="61"/>
      <c r="D380" s="593" t="s">
        <v>403</v>
      </c>
      <c r="E380" s="593"/>
      <c r="F380" s="593"/>
      <c r="G380" s="593"/>
      <c r="H380" s="593"/>
      <c r="I380" s="593"/>
      <c r="J380" s="593"/>
      <c r="K380" s="593"/>
    </row>
    <row r="381" spans="2:11" x14ac:dyDescent="0.25">
      <c r="C381" s="61"/>
      <c r="D381" s="659" t="s">
        <v>172</v>
      </c>
      <c r="E381" s="659"/>
      <c r="F381" s="659"/>
      <c r="G381" s="659"/>
      <c r="H381" s="659"/>
      <c r="I381" s="659"/>
      <c r="J381" s="659"/>
      <c r="K381" s="659"/>
    </row>
    <row r="382" spans="2:11" x14ac:dyDescent="0.25">
      <c r="C382" s="61"/>
      <c r="D382" s="593" t="s">
        <v>404</v>
      </c>
      <c r="E382" s="593"/>
      <c r="F382" s="593"/>
      <c r="G382" s="593"/>
      <c r="H382" s="593"/>
      <c r="I382" s="593"/>
      <c r="J382" s="593"/>
      <c r="K382" s="593"/>
    </row>
    <row r="383" spans="2:11" x14ac:dyDescent="0.25">
      <c r="C383" s="61"/>
      <c r="D383" s="659" t="s">
        <v>173</v>
      </c>
      <c r="E383" s="659"/>
      <c r="F383" s="659"/>
      <c r="G383" s="659"/>
      <c r="H383" s="659"/>
      <c r="I383" s="659"/>
      <c r="J383" s="659"/>
      <c r="K383" s="659"/>
    </row>
    <row r="384" spans="2:11" x14ac:dyDescent="0.25">
      <c r="C384" s="61"/>
      <c r="D384" s="593" t="s">
        <v>405</v>
      </c>
      <c r="E384" s="593"/>
      <c r="F384" s="593"/>
      <c r="G384" s="593"/>
      <c r="H384" s="593"/>
      <c r="I384" s="593"/>
      <c r="J384" s="593"/>
      <c r="K384" s="593"/>
    </row>
    <row r="385" spans="3:11" x14ac:dyDescent="0.25">
      <c r="C385" s="61"/>
      <c r="D385" s="659" t="s">
        <v>174</v>
      </c>
      <c r="E385" s="659"/>
      <c r="F385" s="659"/>
      <c r="G385" s="659"/>
      <c r="H385" s="659"/>
      <c r="I385" s="659"/>
      <c r="J385" s="659"/>
      <c r="K385" s="659"/>
    </row>
    <row r="386" spans="3:11" x14ac:dyDescent="0.25">
      <c r="C386" s="61"/>
      <c r="D386" s="593" t="s">
        <v>406</v>
      </c>
      <c r="E386" s="593"/>
      <c r="F386" s="593"/>
      <c r="G386" s="593"/>
      <c r="H386" s="593"/>
      <c r="I386" s="593"/>
      <c r="J386" s="593"/>
      <c r="K386" s="593"/>
    </row>
    <row r="387" spans="3:11" x14ac:dyDescent="0.25">
      <c r="C387" s="61"/>
      <c r="D387" s="659" t="s">
        <v>175</v>
      </c>
      <c r="E387" s="659"/>
      <c r="F387" s="659"/>
      <c r="G387" s="659"/>
      <c r="H387" s="659"/>
      <c r="I387" s="659"/>
      <c r="J387" s="659"/>
      <c r="K387" s="659"/>
    </row>
    <row r="388" spans="3:11" x14ac:dyDescent="0.25">
      <c r="C388" s="24">
        <v>2</v>
      </c>
      <c r="D388" s="504" t="s">
        <v>417</v>
      </c>
      <c r="E388" s="504"/>
      <c r="F388" s="504"/>
      <c r="G388" s="504"/>
      <c r="H388" s="504"/>
      <c r="I388" s="504"/>
      <c r="J388" s="504"/>
      <c r="K388" s="504"/>
    </row>
    <row r="389" spans="3:11" x14ac:dyDescent="0.25">
      <c r="C389" s="24"/>
      <c r="D389" s="31"/>
      <c r="E389" s="540"/>
      <c r="F389" s="540"/>
      <c r="G389" s="540"/>
      <c r="H389" s="540"/>
      <c r="I389" s="540"/>
      <c r="J389" s="540"/>
      <c r="K389" s="540"/>
    </row>
    <row r="390" spans="3:11" x14ac:dyDescent="0.25">
      <c r="C390" s="24"/>
      <c r="D390" s="31"/>
      <c r="E390" s="540"/>
      <c r="F390" s="540"/>
      <c r="G390" s="540"/>
      <c r="H390" s="540"/>
      <c r="I390" s="540"/>
      <c r="J390" s="540"/>
      <c r="K390" s="540"/>
    </row>
    <row r="391" spans="3:11" x14ac:dyDescent="0.25">
      <c r="C391" s="24"/>
      <c r="D391" s="31"/>
      <c r="E391" s="540"/>
      <c r="F391" s="540"/>
      <c r="G391" s="540"/>
      <c r="H391" s="540"/>
      <c r="I391" s="540"/>
      <c r="J391" s="540"/>
      <c r="K391" s="540"/>
    </row>
    <row r="392" spans="3:11" x14ac:dyDescent="0.25">
      <c r="C392" s="24">
        <v>3</v>
      </c>
      <c r="D392" s="504" t="s">
        <v>303</v>
      </c>
      <c r="E392" s="504"/>
      <c r="F392" s="504"/>
      <c r="G392" s="504"/>
      <c r="H392" s="504"/>
      <c r="I392" s="504"/>
      <c r="J392" s="504"/>
      <c r="K392" s="504"/>
    </row>
    <row r="393" spans="3:11" x14ac:dyDescent="0.25">
      <c r="C393" s="24">
        <v>4</v>
      </c>
      <c r="D393" s="504" t="s">
        <v>418</v>
      </c>
      <c r="E393" s="504"/>
      <c r="F393" s="504"/>
      <c r="G393" s="504"/>
      <c r="H393" s="504"/>
      <c r="I393" s="504"/>
      <c r="J393" s="504"/>
      <c r="K393" s="504"/>
    </row>
    <row r="394" spans="3:11" x14ac:dyDescent="0.25">
      <c r="C394" s="24"/>
      <c r="D394" s="652" t="s">
        <v>132</v>
      </c>
      <c r="E394" s="652"/>
      <c r="F394" s="652"/>
      <c r="G394" s="652"/>
      <c r="H394" s="652"/>
      <c r="I394" s="652"/>
      <c r="J394" s="652"/>
      <c r="K394" s="652"/>
    </row>
    <row r="395" spans="3:11" x14ac:dyDescent="0.25">
      <c r="C395" s="21">
        <v>5</v>
      </c>
      <c r="D395" s="654" t="s">
        <v>419</v>
      </c>
      <c r="E395" s="654"/>
      <c r="F395" s="654"/>
      <c r="G395" s="654"/>
      <c r="H395" s="654"/>
      <c r="I395" s="654"/>
      <c r="J395" s="654"/>
      <c r="K395" s="654"/>
    </row>
    <row r="396" spans="3:11" x14ac:dyDescent="0.25">
      <c r="C396" s="61"/>
      <c r="D396" s="654"/>
      <c r="E396" s="654"/>
      <c r="F396" s="654"/>
      <c r="G396" s="654"/>
      <c r="H396" s="654"/>
      <c r="I396" s="654"/>
      <c r="J396" s="654"/>
      <c r="K396" s="654"/>
    </row>
    <row r="397" spans="3:11" x14ac:dyDescent="0.25">
      <c r="C397" s="61"/>
      <c r="D397" s="651" t="s">
        <v>75</v>
      </c>
      <c r="E397" s="651"/>
      <c r="F397" s="651"/>
      <c r="G397" s="651"/>
      <c r="H397" s="651"/>
      <c r="I397" s="651"/>
      <c r="J397" s="651"/>
      <c r="K397" s="651"/>
    </row>
    <row r="398" spans="3:11" x14ac:dyDescent="0.25">
      <c r="C398" s="21">
        <v>6</v>
      </c>
      <c r="D398" s="533" t="s">
        <v>422</v>
      </c>
      <c r="E398" s="533"/>
      <c r="F398" s="533"/>
      <c r="G398" s="533"/>
      <c r="H398" s="533"/>
      <c r="I398" s="533"/>
      <c r="J398" s="533"/>
      <c r="K398" s="533"/>
    </row>
    <row r="399" spans="3:11" x14ac:dyDescent="0.25">
      <c r="C399" s="61"/>
      <c r="D399" s="533"/>
      <c r="E399" s="533"/>
      <c r="F399" s="533"/>
      <c r="G399" s="533"/>
      <c r="H399" s="533"/>
      <c r="I399" s="533"/>
      <c r="J399" s="533"/>
      <c r="K399" s="533"/>
    </row>
    <row r="400" spans="3:11" x14ac:dyDescent="0.25">
      <c r="C400" s="24">
        <v>7</v>
      </c>
      <c r="D400" s="504" t="s">
        <v>402</v>
      </c>
      <c r="E400" s="504"/>
      <c r="F400" s="504"/>
      <c r="G400" s="504"/>
      <c r="H400" s="504"/>
      <c r="I400" s="504"/>
      <c r="J400" s="504"/>
      <c r="K400" s="504"/>
    </row>
    <row r="401" spans="2:11" x14ac:dyDescent="0.25">
      <c r="C401" s="24"/>
      <c r="D401" s="504"/>
      <c r="E401" s="504"/>
      <c r="F401" s="504"/>
      <c r="G401" s="504"/>
      <c r="H401" s="504"/>
      <c r="I401" s="504"/>
      <c r="J401" s="504"/>
      <c r="K401" s="504"/>
    </row>
    <row r="402" spans="2:11" x14ac:dyDescent="0.25">
      <c r="C402" s="24"/>
      <c r="D402" s="504"/>
      <c r="E402" s="504"/>
      <c r="F402" s="504"/>
      <c r="G402" s="504"/>
      <c r="H402" s="504"/>
      <c r="I402" s="504"/>
      <c r="J402" s="504"/>
      <c r="K402" s="504"/>
    </row>
    <row r="403" spans="2:11" x14ac:dyDescent="0.25">
      <c r="B403" s="501"/>
      <c r="C403" s="501"/>
      <c r="D403" s="501"/>
      <c r="E403" s="501"/>
      <c r="F403" s="501"/>
      <c r="G403" s="501"/>
      <c r="H403" s="501"/>
      <c r="I403" s="501"/>
      <c r="J403" s="501"/>
      <c r="K403" s="501"/>
    </row>
    <row r="404" spans="2:11" x14ac:dyDescent="0.25">
      <c r="B404" s="501"/>
      <c r="C404" s="501"/>
      <c r="D404" s="501"/>
      <c r="E404" s="501"/>
      <c r="F404" s="501"/>
      <c r="G404" s="501"/>
      <c r="H404" s="501"/>
      <c r="I404" s="501"/>
      <c r="J404" s="501"/>
      <c r="K404" s="501"/>
    </row>
    <row r="405" spans="2:11" x14ac:dyDescent="0.25">
      <c r="B405" s="501"/>
      <c r="C405" s="501"/>
      <c r="D405" s="501"/>
      <c r="E405" s="501"/>
      <c r="F405" s="501"/>
      <c r="G405" s="501"/>
      <c r="H405" s="501"/>
      <c r="I405" s="501"/>
      <c r="J405" s="501"/>
      <c r="K405" s="501"/>
    </row>
    <row r="406" spans="2:11" x14ac:dyDescent="0.25">
      <c r="B406" s="501"/>
      <c r="C406" s="501"/>
      <c r="D406" s="501"/>
      <c r="E406" s="501"/>
      <c r="F406" s="501"/>
      <c r="G406" s="501"/>
      <c r="H406" s="501"/>
      <c r="I406" s="501"/>
      <c r="J406" s="501"/>
      <c r="K406" s="501"/>
    </row>
    <row r="407" spans="2:11" x14ac:dyDescent="0.25">
      <c r="B407" s="501"/>
      <c r="C407" s="501"/>
      <c r="D407" s="501"/>
      <c r="E407" s="501"/>
      <c r="F407" s="501"/>
      <c r="G407" s="501"/>
      <c r="H407" s="501"/>
      <c r="I407" s="501"/>
      <c r="J407" s="501"/>
      <c r="K407" s="501"/>
    </row>
    <row r="408" spans="2:11" x14ac:dyDescent="0.25">
      <c r="B408" s="501"/>
      <c r="C408" s="501"/>
      <c r="D408" s="501"/>
      <c r="E408" s="501"/>
      <c r="F408" s="501"/>
      <c r="G408" s="501"/>
      <c r="H408" s="501"/>
      <c r="I408" s="501"/>
      <c r="J408" s="501"/>
      <c r="K408" s="501"/>
    </row>
    <row r="409" spans="2:11" x14ac:dyDescent="0.25">
      <c r="B409" s="62" t="s">
        <v>9</v>
      </c>
      <c r="H409" s="58" t="s">
        <v>234</v>
      </c>
      <c r="J409" s="511" t="s">
        <v>10</v>
      </c>
      <c r="K409" s="511"/>
    </row>
    <row r="410" spans="2:11" ht="12.75" customHeight="1" x14ac:dyDescent="0.25">
      <c r="B410" s="559">
        <f>8863/0.903</f>
        <v>9815.0609080841641</v>
      </c>
      <c r="C410" s="523">
        <v>1</v>
      </c>
      <c r="D410" s="534" t="s">
        <v>495</v>
      </c>
      <c r="E410" s="541"/>
      <c r="F410" s="580"/>
      <c r="G410" s="660" t="s">
        <v>45</v>
      </c>
      <c r="H410" s="534" t="s">
        <v>11</v>
      </c>
      <c r="I410" s="544"/>
      <c r="J410" s="534" t="s">
        <v>257</v>
      </c>
      <c r="K410" s="544"/>
    </row>
    <row r="411" spans="2:11" x14ac:dyDescent="0.25">
      <c r="B411" s="560"/>
      <c r="C411" s="520"/>
      <c r="D411" s="535"/>
      <c r="E411" s="542"/>
      <c r="F411" s="609"/>
      <c r="G411" s="661"/>
      <c r="H411" s="648"/>
      <c r="I411" s="526"/>
      <c r="J411" s="539"/>
      <c r="K411" s="526"/>
    </row>
    <row r="412" spans="2:11" ht="12.75" customHeight="1" x14ac:dyDescent="0.25">
      <c r="B412" s="622">
        <f>38.5%*0.903</f>
        <v>0.34765499999999999</v>
      </c>
      <c r="C412" s="523">
        <v>2</v>
      </c>
      <c r="D412" s="534" t="s">
        <v>343</v>
      </c>
      <c r="E412" s="541"/>
      <c r="F412" s="580"/>
      <c r="G412" s="660" t="s">
        <v>45</v>
      </c>
      <c r="H412" s="530" t="s">
        <v>12</v>
      </c>
      <c r="I412" s="526"/>
      <c r="J412" s="539"/>
      <c r="K412" s="526"/>
    </row>
    <row r="413" spans="2:11" ht="13.8" thickBot="1" x14ac:dyDescent="0.3">
      <c r="B413" s="623"/>
      <c r="C413" s="563"/>
      <c r="D413" s="549"/>
      <c r="E413" s="550"/>
      <c r="F413" s="643"/>
      <c r="G413" s="665"/>
      <c r="H413" s="568"/>
      <c r="I413" s="616"/>
      <c r="J413" s="549"/>
      <c r="K413" s="616"/>
    </row>
    <row r="414" spans="2:11" ht="12.75" customHeight="1" x14ac:dyDescent="0.25">
      <c r="B414" s="644">
        <v>5</v>
      </c>
      <c r="C414" s="562"/>
      <c r="D414" s="547" t="s">
        <v>500</v>
      </c>
      <c r="E414" s="548"/>
      <c r="F414" s="645"/>
      <c r="G414" s="662"/>
      <c r="H414" s="539" t="s">
        <v>84</v>
      </c>
      <c r="I414" s="523"/>
      <c r="J414" s="547" t="s">
        <v>258</v>
      </c>
      <c r="K414" s="497"/>
    </row>
    <row r="415" spans="2:11" x14ac:dyDescent="0.25">
      <c r="B415" s="560"/>
      <c r="C415" s="520"/>
      <c r="D415" s="535"/>
      <c r="E415" s="542"/>
      <c r="F415" s="609"/>
      <c r="G415" s="661"/>
      <c r="H415" s="535"/>
      <c r="I415" s="520"/>
      <c r="J415" s="535"/>
      <c r="K415" s="475"/>
    </row>
    <row r="416" spans="2:11" ht="12.75" customHeight="1" x14ac:dyDescent="0.25">
      <c r="B416" s="521">
        <f>3.4/1000</f>
        <v>3.3999999999999998E-3</v>
      </c>
      <c r="C416" s="523"/>
      <c r="D416" s="534" t="s">
        <v>496</v>
      </c>
      <c r="E416" s="541"/>
      <c r="F416" s="580"/>
      <c r="G416" s="660"/>
      <c r="H416" s="534" t="s">
        <v>85</v>
      </c>
      <c r="I416" s="536"/>
      <c r="J416" s="534" t="s">
        <v>526</v>
      </c>
      <c r="K416" s="663"/>
    </row>
    <row r="417" spans="2:11" x14ac:dyDescent="0.25">
      <c r="B417" s="522"/>
      <c r="C417" s="520"/>
      <c r="D417" s="535"/>
      <c r="E417" s="542"/>
      <c r="F417" s="609"/>
      <c r="G417" s="661"/>
      <c r="H417" s="535"/>
      <c r="I417" s="475"/>
      <c r="J417" s="535"/>
      <c r="K417" s="664"/>
    </row>
    <row r="418" spans="2:11" ht="12.75" customHeight="1" x14ac:dyDescent="0.25">
      <c r="B418" s="521">
        <v>1.7999999999999999E-2</v>
      </c>
      <c r="C418" s="523">
        <v>4</v>
      </c>
      <c r="D418" s="534" t="s">
        <v>473</v>
      </c>
      <c r="E418" s="541"/>
      <c r="F418" s="580"/>
      <c r="G418" s="660"/>
      <c r="H418" s="534" t="s">
        <v>86</v>
      </c>
      <c r="I418" s="523"/>
      <c r="J418" s="534" t="s">
        <v>87</v>
      </c>
      <c r="K418" s="536"/>
    </row>
    <row r="419" spans="2:11" x14ac:dyDescent="0.25">
      <c r="B419" s="522"/>
      <c r="C419" s="520"/>
      <c r="D419" s="535"/>
      <c r="E419" s="542"/>
      <c r="F419" s="609"/>
      <c r="G419" s="661"/>
      <c r="H419" s="535"/>
      <c r="I419" s="520"/>
      <c r="J419" s="535"/>
      <c r="K419" s="475"/>
    </row>
    <row r="420" spans="2:11" ht="12.75" customHeight="1" x14ac:dyDescent="0.25">
      <c r="B420" s="559">
        <v>10</v>
      </c>
      <c r="C420" s="523"/>
      <c r="D420" s="534" t="s">
        <v>497</v>
      </c>
      <c r="E420" s="541"/>
      <c r="F420" s="580"/>
      <c r="G420" s="660"/>
      <c r="H420" s="534" t="s">
        <v>84</v>
      </c>
      <c r="I420" s="528"/>
      <c r="J420" s="534" t="s">
        <v>258</v>
      </c>
      <c r="K420" s="536"/>
    </row>
    <row r="421" spans="2:11" x14ac:dyDescent="0.25">
      <c r="B421" s="560"/>
      <c r="C421" s="520"/>
      <c r="D421" s="535"/>
      <c r="E421" s="542"/>
      <c r="F421" s="609"/>
      <c r="G421" s="661"/>
      <c r="H421" s="539"/>
      <c r="I421" s="543"/>
      <c r="J421" s="535"/>
      <c r="K421" s="475"/>
    </row>
    <row r="422" spans="2:11" ht="12.75" customHeight="1" x14ac:dyDescent="0.25">
      <c r="B422" s="559">
        <v>10</v>
      </c>
      <c r="C422" s="523"/>
      <c r="D422" s="534" t="s">
        <v>498</v>
      </c>
      <c r="E422" s="541"/>
      <c r="F422" s="580"/>
      <c r="G422" s="660"/>
      <c r="H422" s="539"/>
      <c r="I422" s="543"/>
      <c r="J422" s="534" t="s">
        <v>258</v>
      </c>
      <c r="K422" s="536"/>
    </row>
    <row r="423" spans="2:11" x14ac:dyDescent="0.25">
      <c r="B423" s="560"/>
      <c r="C423" s="520"/>
      <c r="D423" s="535"/>
      <c r="E423" s="542"/>
      <c r="F423" s="609"/>
      <c r="G423" s="661"/>
      <c r="H423" s="535"/>
      <c r="I423" s="529"/>
      <c r="J423" s="535"/>
      <c r="K423" s="475"/>
    </row>
    <row r="424" spans="2:11" ht="12.75" customHeight="1" x14ac:dyDescent="0.25">
      <c r="B424" s="557">
        <v>116.88</v>
      </c>
      <c r="C424" s="523">
        <v>5</v>
      </c>
      <c r="D424" s="534" t="s">
        <v>499</v>
      </c>
      <c r="E424" s="541"/>
      <c r="F424" s="580"/>
      <c r="G424" s="660"/>
      <c r="H424" s="35" t="s">
        <v>140</v>
      </c>
      <c r="I424" s="536"/>
      <c r="J424" s="534" t="s">
        <v>304</v>
      </c>
      <c r="K424" s="523"/>
    </row>
    <row r="425" spans="2:11" x14ac:dyDescent="0.25">
      <c r="B425" s="558"/>
      <c r="C425" s="520"/>
      <c r="D425" s="535"/>
      <c r="E425" s="542"/>
      <c r="F425" s="609"/>
      <c r="G425" s="661"/>
      <c r="H425" s="19" t="s">
        <v>138</v>
      </c>
      <c r="I425" s="475"/>
      <c r="J425" s="535"/>
      <c r="K425" s="520"/>
    </row>
    <row r="426" spans="2:11" x14ac:dyDescent="0.25">
      <c r="B426" s="20" t="s">
        <v>27</v>
      </c>
      <c r="C426" s="575"/>
      <c r="D426" s="575"/>
      <c r="E426" s="576"/>
      <c r="F426" s="575"/>
      <c r="G426" s="575"/>
      <c r="H426" s="575"/>
      <c r="I426" s="575"/>
      <c r="J426" s="575"/>
      <c r="K426" s="575"/>
    </row>
    <row r="427" spans="2:11" x14ac:dyDescent="0.25">
      <c r="C427" s="24">
        <f>+C410</f>
        <v>1</v>
      </c>
      <c r="D427" s="504" t="s">
        <v>374</v>
      </c>
      <c r="E427" s="504"/>
      <c r="F427" s="504"/>
      <c r="G427" s="504"/>
      <c r="H427" s="504"/>
      <c r="I427" s="504"/>
      <c r="J427" s="504"/>
      <c r="K427" s="504"/>
    </row>
    <row r="428" spans="2:11" x14ac:dyDescent="0.25">
      <c r="C428" s="24"/>
      <c r="D428" s="31"/>
      <c r="E428" s="540"/>
      <c r="F428" s="540"/>
      <c r="G428" s="540"/>
      <c r="H428" s="540"/>
      <c r="I428" s="540"/>
      <c r="J428" s="540"/>
      <c r="K428" s="540"/>
    </row>
    <row r="429" spans="2:11" x14ac:dyDescent="0.25">
      <c r="C429" s="24"/>
      <c r="D429" s="31"/>
      <c r="E429" s="540"/>
      <c r="F429" s="540"/>
      <c r="G429" s="540"/>
      <c r="H429" s="540"/>
      <c r="I429" s="540"/>
      <c r="J429" s="540"/>
      <c r="K429" s="540"/>
    </row>
    <row r="430" spans="2:11" x14ac:dyDescent="0.25">
      <c r="C430" s="24"/>
      <c r="D430" s="31"/>
      <c r="E430" s="540"/>
      <c r="F430" s="540"/>
      <c r="G430" s="540"/>
      <c r="H430" s="540"/>
      <c r="I430" s="540"/>
      <c r="J430" s="540"/>
      <c r="K430" s="540"/>
    </row>
    <row r="431" spans="2:11" x14ac:dyDescent="0.25">
      <c r="C431" s="24"/>
      <c r="D431" s="31"/>
      <c r="E431" s="540"/>
      <c r="F431" s="540"/>
      <c r="G431" s="540"/>
      <c r="H431" s="540"/>
      <c r="I431" s="540"/>
      <c r="J431" s="540"/>
      <c r="K431" s="540"/>
    </row>
    <row r="432" spans="2:11" x14ac:dyDescent="0.25">
      <c r="C432" s="24">
        <f>+C412</f>
        <v>2</v>
      </c>
      <c r="D432" s="577" t="s">
        <v>221</v>
      </c>
      <c r="E432" s="577"/>
      <c r="F432" s="577"/>
      <c r="G432" s="577"/>
      <c r="H432" s="577"/>
      <c r="I432" s="577"/>
      <c r="J432" s="577"/>
      <c r="K432" s="577"/>
    </row>
    <row r="433" spans="3:11" ht="12.75" customHeight="1" x14ac:dyDescent="0.25">
      <c r="C433" s="24">
        <v>3</v>
      </c>
      <c r="D433" s="54" t="s">
        <v>385</v>
      </c>
      <c r="E433" s="33"/>
      <c r="F433" s="579" t="s">
        <v>75</v>
      </c>
      <c r="G433" s="533"/>
      <c r="H433" s="533"/>
      <c r="I433" s="533"/>
      <c r="J433" s="533"/>
      <c r="K433" s="533"/>
    </row>
    <row r="434" spans="3:11" x14ac:dyDescent="0.25">
      <c r="C434" s="24">
        <f>+C418</f>
        <v>4</v>
      </c>
      <c r="D434" s="533" t="s">
        <v>92</v>
      </c>
      <c r="E434" s="533"/>
      <c r="F434" s="533"/>
      <c r="G434" s="533"/>
      <c r="H434" s="533"/>
      <c r="I434" s="533"/>
      <c r="J434" s="533"/>
      <c r="K434" s="533"/>
    </row>
    <row r="435" spans="3:11" x14ac:dyDescent="0.25">
      <c r="C435" s="24">
        <f>+C424</f>
        <v>5</v>
      </c>
      <c r="D435" s="504" t="s">
        <v>423</v>
      </c>
      <c r="E435" s="504"/>
      <c r="F435" s="504"/>
      <c r="G435" s="504"/>
      <c r="H435" s="504"/>
      <c r="I435" s="504"/>
      <c r="J435" s="504"/>
      <c r="K435" s="504"/>
    </row>
    <row r="436" spans="3:11" x14ac:dyDescent="0.25">
      <c r="C436" s="24"/>
      <c r="D436" s="504"/>
      <c r="E436" s="504"/>
      <c r="F436" s="504"/>
      <c r="G436" s="504"/>
      <c r="H436" s="504"/>
      <c r="I436" s="504"/>
      <c r="J436" s="504"/>
      <c r="K436" s="504"/>
    </row>
    <row r="437" spans="3:11" x14ac:dyDescent="0.25"/>
    <row r="438" spans="3:11" x14ac:dyDescent="0.25"/>
    <row r="439" spans="3:11" x14ac:dyDescent="0.25"/>
    <row r="440" spans="3:11" x14ac:dyDescent="0.25"/>
    <row r="441" spans="3:11" x14ac:dyDescent="0.25"/>
    <row r="442" spans="3:11" x14ac:dyDescent="0.25"/>
    <row r="443" spans="3:11" x14ac:dyDescent="0.25"/>
    <row r="444" spans="3:11" x14ac:dyDescent="0.25"/>
    <row r="445" spans="3:11" x14ac:dyDescent="0.25"/>
    <row r="446" spans="3:11" x14ac:dyDescent="0.25"/>
    <row r="447" spans="3:11" x14ac:dyDescent="0.25"/>
    <row r="448" spans="3:11" x14ac:dyDescent="0.25"/>
    <row r="449" x14ac:dyDescent="0.25"/>
    <row r="450" x14ac:dyDescent="0.25"/>
    <row r="451" x14ac:dyDescent="0.25"/>
    <row r="452" x14ac:dyDescent="0.25"/>
    <row r="453" x14ac:dyDescent="0.25"/>
    <row r="454" x14ac:dyDescent="0.25"/>
    <row r="455" x14ac:dyDescent="0.25"/>
    <row r="456" x14ac:dyDescent="0.25"/>
    <row r="457"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sheetData>
  <sheetProtection password="EDBF" sheet="1" objects="1" scenarios="1"/>
  <mergeCells count="871">
    <mergeCell ref="D398:K399"/>
    <mergeCell ref="F370:F371"/>
    <mergeCell ref="I370:I371"/>
    <mergeCell ref="H370:H371"/>
    <mergeCell ref="G374:G375"/>
    <mergeCell ref="F374:F375"/>
    <mergeCell ref="D383:K383"/>
    <mergeCell ref="D385:K385"/>
    <mergeCell ref="I374:I375"/>
    <mergeCell ref="K374:K375"/>
    <mergeCell ref="D374:E375"/>
    <mergeCell ref="D372:E373"/>
    <mergeCell ref="D370:E371"/>
    <mergeCell ref="K372:K373"/>
    <mergeCell ref="F372:F373"/>
    <mergeCell ref="J370:J371"/>
    <mergeCell ref="K370:K371"/>
    <mergeCell ref="G372:G373"/>
    <mergeCell ref="I372:I373"/>
    <mergeCell ref="B358:K358"/>
    <mergeCell ref="B372:B373"/>
    <mergeCell ref="E337:K337"/>
    <mergeCell ref="E338:K338"/>
    <mergeCell ref="E339:K339"/>
    <mergeCell ref="D342:K342"/>
    <mergeCell ref="D343:K343"/>
    <mergeCell ref="K368:K369"/>
    <mergeCell ref="H368:H369"/>
    <mergeCell ref="I368:I369"/>
    <mergeCell ref="J368:J369"/>
    <mergeCell ref="K366:K367"/>
    <mergeCell ref="K364:K365"/>
    <mergeCell ref="K362:K363"/>
    <mergeCell ref="G362:G363"/>
    <mergeCell ref="G366:G367"/>
    <mergeCell ref="F366:F367"/>
    <mergeCell ref="H366:H367"/>
    <mergeCell ref="B368:B369"/>
    <mergeCell ref="C366:C367"/>
    <mergeCell ref="G368:G369"/>
    <mergeCell ref="F368:F369"/>
    <mergeCell ref="C368:C369"/>
    <mergeCell ref="J372:J373"/>
    <mergeCell ref="D331:K331"/>
    <mergeCell ref="D334:K334"/>
    <mergeCell ref="C323:C324"/>
    <mergeCell ref="F317:F318"/>
    <mergeCell ref="C317:C318"/>
    <mergeCell ref="C325:K325"/>
    <mergeCell ref="D341:K341"/>
    <mergeCell ref="B357:K357"/>
    <mergeCell ref="B317:B318"/>
    <mergeCell ref="J321:J322"/>
    <mergeCell ref="J317:J318"/>
    <mergeCell ref="H317:H318"/>
    <mergeCell ref="B323:B324"/>
    <mergeCell ref="D323:E324"/>
    <mergeCell ref="D321:E322"/>
    <mergeCell ref="D319:E320"/>
    <mergeCell ref="D317:E318"/>
    <mergeCell ref="B319:B320"/>
    <mergeCell ref="C319:C320"/>
    <mergeCell ref="B321:B322"/>
    <mergeCell ref="C321:C322"/>
    <mergeCell ref="G317:G318"/>
    <mergeCell ref="G319:G320"/>
    <mergeCell ref="H319:H320"/>
    <mergeCell ref="D313:E314"/>
    <mergeCell ref="D311:E312"/>
    <mergeCell ref="D309:E310"/>
    <mergeCell ref="F309:F310"/>
    <mergeCell ref="G309:G310"/>
    <mergeCell ref="D315:E316"/>
    <mergeCell ref="D328:K328"/>
    <mergeCell ref="F323:F324"/>
    <mergeCell ref="F321:F322"/>
    <mergeCell ref="I323:I324"/>
    <mergeCell ref="J323:J324"/>
    <mergeCell ref="K323:K324"/>
    <mergeCell ref="F319:F320"/>
    <mergeCell ref="D326:K327"/>
    <mergeCell ref="H321:H322"/>
    <mergeCell ref="G323:G324"/>
    <mergeCell ref="K321:K322"/>
    <mergeCell ref="I321:I322"/>
    <mergeCell ref="G321:G322"/>
    <mergeCell ref="J311:J312"/>
    <mergeCell ref="J315:J316"/>
    <mergeCell ref="K313:K314"/>
    <mergeCell ref="J313:J314"/>
    <mergeCell ref="K319:K320"/>
    <mergeCell ref="B276:B277"/>
    <mergeCell ref="C276:C277"/>
    <mergeCell ref="B280:B281"/>
    <mergeCell ref="B282:B283"/>
    <mergeCell ref="C282:C283"/>
    <mergeCell ref="J282:J283"/>
    <mergeCell ref="I282:I283"/>
    <mergeCell ref="B269:B270"/>
    <mergeCell ref="F269:F270"/>
    <mergeCell ref="G269:G270"/>
    <mergeCell ref="C269:C270"/>
    <mergeCell ref="C280:C281"/>
    <mergeCell ref="J276:J277"/>
    <mergeCell ref="I278:I279"/>
    <mergeCell ref="C278:C279"/>
    <mergeCell ref="B273:B275"/>
    <mergeCell ref="D269:E270"/>
    <mergeCell ref="J278:J279"/>
    <mergeCell ref="C273:C275"/>
    <mergeCell ref="F271:F272"/>
    <mergeCell ref="H271:H272"/>
    <mergeCell ref="I271:I272"/>
    <mergeCell ref="B271:B272"/>
    <mergeCell ref="C271:C272"/>
    <mergeCell ref="E237:K237"/>
    <mergeCell ref="E238:K238"/>
    <mergeCell ref="E239:K239"/>
    <mergeCell ref="E189:K189"/>
    <mergeCell ref="E190:K190"/>
    <mergeCell ref="E191:K191"/>
    <mergeCell ref="D195:K196"/>
    <mergeCell ref="D200:K201"/>
    <mergeCell ref="D198:K198"/>
    <mergeCell ref="E205:K205"/>
    <mergeCell ref="E206:K206"/>
    <mergeCell ref="E207:K207"/>
    <mergeCell ref="D203:K204"/>
    <mergeCell ref="D215:E216"/>
    <mergeCell ref="D217:E218"/>
    <mergeCell ref="D219:E220"/>
    <mergeCell ref="D221:E222"/>
    <mergeCell ref="D223:E224"/>
    <mergeCell ref="B213:K213"/>
    <mergeCell ref="K219:K220"/>
    <mergeCell ref="H221:H222"/>
    <mergeCell ref="I221:I222"/>
    <mergeCell ref="G229:G230"/>
    <mergeCell ref="G225:G226"/>
    <mergeCell ref="D175:E176"/>
    <mergeCell ref="D177:E178"/>
    <mergeCell ref="D183:K183"/>
    <mergeCell ref="D184:K184"/>
    <mergeCell ref="K177:K178"/>
    <mergeCell ref="B179:B180"/>
    <mergeCell ref="C179:C180"/>
    <mergeCell ref="F179:F180"/>
    <mergeCell ref="G179:G180"/>
    <mergeCell ref="I179:I180"/>
    <mergeCell ref="J179:J180"/>
    <mergeCell ref="K179:K180"/>
    <mergeCell ref="J175:J176"/>
    <mergeCell ref="K175:K176"/>
    <mergeCell ref="J177:J178"/>
    <mergeCell ref="B175:B176"/>
    <mergeCell ref="C175:C176"/>
    <mergeCell ref="F175:F176"/>
    <mergeCell ref="G175:G176"/>
    <mergeCell ref="H175:H178"/>
    <mergeCell ref="I175:I178"/>
    <mergeCell ref="B177:B178"/>
    <mergeCell ref="C177:C178"/>
    <mergeCell ref="F177:F178"/>
    <mergeCell ref="B173:B174"/>
    <mergeCell ref="C173:C174"/>
    <mergeCell ref="F173:F174"/>
    <mergeCell ref="G173:G174"/>
    <mergeCell ref="H173:H174"/>
    <mergeCell ref="I173:I174"/>
    <mergeCell ref="J173:J174"/>
    <mergeCell ref="K173:K174"/>
    <mergeCell ref="D173:E174"/>
    <mergeCell ref="B171:B172"/>
    <mergeCell ref="C171:C172"/>
    <mergeCell ref="F171:F172"/>
    <mergeCell ref="G171:G172"/>
    <mergeCell ref="H171:H172"/>
    <mergeCell ref="I171:I172"/>
    <mergeCell ref="J171:J172"/>
    <mergeCell ref="K171:K172"/>
    <mergeCell ref="D171:E172"/>
    <mergeCell ref="B169:B170"/>
    <mergeCell ref="C169:C170"/>
    <mergeCell ref="F169:F170"/>
    <mergeCell ref="G169:G170"/>
    <mergeCell ref="H169:H170"/>
    <mergeCell ref="I169:I170"/>
    <mergeCell ref="J169:J170"/>
    <mergeCell ref="K169:K170"/>
    <mergeCell ref="D169:E170"/>
    <mergeCell ref="B167:B168"/>
    <mergeCell ref="C167:C168"/>
    <mergeCell ref="F167:F168"/>
    <mergeCell ref="G167:G168"/>
    <mergeCell ref="H167:H168"/>
    <mergeCell ref="I167:I168"/>
    <mergeCell ref="J167:J168"/>
    <mergeCell ref="K167:K168"/>
    <mergeCell ref="D167:E168"/>
    <mergeCell ref="D147:K147"/>
    <mergeCell ref="D152:K152"/>
    <mergeCell ref="D138:K138"/>
    <mergeCell ref="E156:K156"/>
    <mergeCell ref="E157:K157"/>
    <mergeCell ref="J164:K164"/>
    <mergeCell ref="B165:B166"/>
    <mergeCell ref="C165:C166"/>
    <mergeCell ref="F165:F166"/>
    <mergeCell ref="G165:G166"/>
    <mergeCell ref="H165:H166"/>
    <mergeCell ref="I165:I166"/>
    <mergeCell ref="K165:K166"/>
    <mergeCell ref="D165:E166"/>
    <mergeCell ref="B158:K158"/>
    <mergeCell ref="B160:K160"/>
    <mergeCell ref="B161:K161"/>
    <mergeCell ref="B162:K162"/>
    <mergeCell ref="B163:K163"/>
    <mergeCell ref="B164:G164"/>
    <mergeCell ref="H164:I164"/>
    <mergeCell ref="B159:K159"/>
    <mergeCell ref="E36:K36"/>
    <mergeCell ref="E37:K37"/>
    <mergeCell ref="E38:K38"/>
    <mergeCell ref="C20:C21"/>
    <mergeCell ref="D33:K33"/>
    <mergeCell ref="D34:K34"/>
    <mergeCell ref="D40:K41"/>
    <mergeCell ref="D42:K43"/>
    <mergeCell ref="D84:K84"/>
    <mergeCell ref="I67:I70"/>
    <mergeCell ref="J22:J23"/>
    <mergeCell ref="K22:K23"/>
    <mergeCell ref="B59:K59"/>
    <mergeCell ref="B60:K60"/>
    <mergeCell ref="B62:K62"/>
    <mergeCell ref="B63:K63"/>
    <mergeCell ref="K71:K72"/>
    <mergeCell ref="B73:B74"/>
    <mergeCell ref="C73:C74"/>
    <mergeCell ref="F73:F74"/>
    <mergeCell ref="G73:G74"/>
    <mergeCell ref="G69:G70"/>
    <mergeCell ref="H69:H70"/>
    <mergeCell ref="J69:J70"/>
    <mergeCell ref="I410:I411"/>
    <mergeCell ref="G412:G413"/>
    <mergeCell ref="K420:K421"/>
    <mergeCell ref="J414:J415"/>
    <mergeCell ref="D6:E6"/>
    <mergeCell ref="C32:K32"/>
    <mergeCell ref="D35:K35"/>
    <mergeCell ref="D39:K39"/>
    <mergeCell ref="B315:B316"/>
    <mergeCell ref="C315:C316"/>
    <mergeCell ref="G315:G316"/>
    <mergeCell ref="F315:F316"/>
    <mergeCell ref="B313:B314"/>
    <mergeCell ref="C313:C314"/>
    <mergeCell ref="B311:B312"/>
    <mergeCell ref="H313:I314"/>
    <mergeCell ref="H315:H316"/>
    <mergeCell ref="C311:C312"/>
    <mergeCell ref="I315:I316"/>
    <mergeCell ref="F313:F314"/>
    <mergeCell ref="F311:F312"/>
    <mergeCell ref="I311:I312"/>
    <mergeCell ref="G313:G314"/>
    <mergeCell ref="G311:G312"/>
    <mergeCell ref="D432:K432"/>
    <mergeCell ref="D434:K434"/>
    <mergeCell ref="D435:K436"/>
    <mergeCell ref="D427:K427"/>
    <mergeCell ref="K416:K417"/>
    <mergeCell ref="H420:H423"/>
    <mergeCell ref="H416:H417"/>
    <mergeCell ref="G424:G425"/>
    <mergeCell ref="F424:F425"/>
    <mergeCell ref="K418:K419"/>
    <mergeCell ref="F418:F419"/>
    <mergeCell ref="F433:K433"/>
    <mergeCell ref="E428:K428"/>
    <mergeCell ref="E429:K429"/>
    <mergeCell ref="E430:K430"/>
    <mergeCell ref="E431:K431"/>
    <mergeCell ref="D424:E425"/>
    <mergeCell ref="D422:E423"/>
    <mergeCell ref="D420:E421"/>
    <mergeCell ref="K422:K423"/>
    <mergeCell ref="F420:F421"/>
    <mergeCell ref="F422:F423"/>
    <mergeCell ref="I424:I425"/>
    <mergeCell ref="J424:J425"/>
    <mergeCell ref="K424:K425"/>
    <mergeCell ref="H418:H419"/>
    <mergeCell ref="G418:G419"/>
    <mergeCell ref="C418:C419"/>
    <mergeCell ref="D418:E419"/>
    <mergeCell ref="J418:J419"/>
    <mergeCell ref="I418:I419"/>
    <mergeCell ref="J420:J421"/>
    <mergeCell ref="J422:J423"/>
    <mergeCell ref="G414:G415"/>
    <mergeCell ref="I414:I415"/>
    <mergeCell ref="F416:F417"/>
    <mergeCell ref="B424:B425"/>
    <mergeCell ref="B420:B421"/>
    <mergeCell ref="C420:C421"/>
    <mergeCell ref="G420:G421"/>
    <mergeCell ref="B416:B417"/>
    <mergeCell ref="B418:B419"/>
    <mergeCell ref="G422:G423"/>
    <mergeCell ref="B422:B423"/>
    <mergeCell ref="C422:C423"/>
    <mergeCell ref="C424:C425"/>
    <mergeCell ref="I420:I423"/>
    <mergeCell ref="D416:E417"/>
    <mergeCell ref="D414:E415"/>
    <mergeCell ref="C416:C417"/>
    <mergeCell ref="I416:I417"/>
    <mergeCell ref="G416:G417"/>
    <mergeCell ref="K410:K413"/>
    <mergeCell ref="C376:K376"/>
    <mergeCell ref="D397:K397"/>
    <mergeCell ref="D387:K387"/>
    <mergeCell ref="D377:K379"/>
    <mergeCell ref="D380:K380"/>
    <mergeCell ref="D382:K382"/>
    <mergeCell ref="D386:K386"/>
    <mergeCell ref="D388:K388"/>
    <mergeCell ref="D410:E411"/>
    <mergeCell ref="B404:K404"/>
    <mergeCell ref="B405:K405"/>
    <mergeCell ref="B406:K406"/>
    <mergeCell ref="B407:K407"/>
    <mergeCell ref="B408:K408"/>
    <mergeCell ref="E389:K389"/>
    <mergeCell ref="E390:K390"/>
    <mergeCell ref="E391:K391"/>
    <mergeCell ref="J409:K409"/>
    <mergeCell ref="D394:K394"/>
    <mergeCell ref="D400:K402"/>
    <mergeCell ref="D395:K396"/>
    <mergeCell ref="I412:I413"/>
    <mergeCell ref="H410:H411"/>
    <mergeCell ref="K414:K415"/>
    <mergeCell ref="H414:H415"/>
    <mergeCell ref="J416:J417"/>
    <mergeCell ref="D412:E413"/>
    <mergeCell ref="B403:K403"/>
    <mergeCell ref="F412:F413"/>
    <mergeCell ref="B374:B375"/>
    <mergeCell ref="C374:C375"/>
    <mergeCell ref="F414:F415"/>
    <mergeCell ref="B414:B415"/>
    <mergeCell ref="C414:C415"/>
    <mergeCell ref="D392:K392"/>
    <mergeCell ref="D393:K393"/>
    <mergeCell ref="D381:K381"/>
    <mergeCell ref="D384:K384"/>
    <mergeCell ref="J374:J375"/>
    <mergeCell ref="B410:B411"/>
    <mergeCell ref="C410:C411"/>
    <mergeCell ref="B412:B413"/>
    <mergeCell ref="F410:F411"/>
    <mergeCell ref="J410:J413"/>
    <mergeCell ref="G410:G411"/>
    <mergeCell ref="C412:C413"/>
    <mergeCell ref="H412:H413"/>
    <mergeCell ref="J362:J363"/>
    <mergeCell ref="H362:H363"/>
    <mergeCell ref="I364:I365"/>
    <mergeCell ref="J364:J365"/>
    <mergeCell ref="I362:I363"/>
    <mergeCell ref="B370:B371"/>
    <mergeCell ref="C370:C371"/>
    <mergeCell ref="G370:G371"/>
    <mergeCell ref="C372:C373"/>
    <mergeCell ref="B366:B367"/>
    <mergeCell ref="J366:J367"/>
    <mergeCell ref="H372:H373"/>
    <mergeCell ref="I366:I367"/>
    <mergeCell ref="D368:E369"/>
    <mergeCell ref="D366:E367"/>
    <mergeCell ref="D364:E365"/>
    <mergeCell ref="D362:E363"/>
    <mergeCell ref="B360:B361"/>
    <mergeCell ref="C360:C361"/>
    <mergeCell ref="B362:B363"/>
    <mergeCell ref="C362:C363"/>
    <mergeCell ref="B364:B365"/>
    <mergeCell ref="F362:F363"/>
    <mergeCell ref="H360:H361"/>
    <mergeCell ref="C364:C365"/>
    <mergeCell ref="G364:G365"/>
    <mergeCell ref="H364:H365"/>
    <mergeCell ref="F364:F365"/>
    <mergeCell ref="D360:E361"/>
    <mergeCell ref="D291:K291"/>
    <mergeCell ref="B296:K296"/>
    <mergeCell ref="B297:K297"/>
    <mergeCell ref="B301:K301"/>
    <mergeCell ref="B302:K302"/>
    <mergeCell ref="B303:K303"/>
    <mergeCell ref="B309:B310"/>
    <mergeCell ref="J309:J310"/>
    <mergeCell ref="B304:K304"/>
    <mergeCell ref="B305:K305"/>
    <mergeCell ref="B306:K306"/>
    <mergeCell ref="B307:K307"/>
    <mergeCell ref="B298:K298"/>
    <mergeCell ref="B299:K299"/>
    <mergeCell ref="B300:K300"/>
    <mergeCell ref="C309:C310"/>
    <mergeCell ref="I319:I320"/>
    <mergeCell ref="J319:J320"/>
    <mergeCell ref="I317:I318"/>
    <mergeCell ref="K317:K318"/>
    <mergeCell ref="K315:K316"/>
    <mergeCell ref="I269:I270"/>
    <mergeCell ref="J269:J270"/>
    <mergeCell ref="K269:K270"/>
    <mergeCell ref="H269:H270"/>
    <mergeCell ref="D290:K290"/>
    <mergeCell ref="J308:K308"/>
    <mergeCell ref="I309:I310"/>
    <mergeCell ref="H309:H310"/>
    <mergeCell ref="E287:K287"/>
    <mergeCell ref="E288:K288"/>
    <mergeCell ref="E289:K289"/>
    <mergeCell ref="G280:G281"/>
    <mergeCell ref="F280:F281"/>
    <mergeCell ref="D282:E283"/>
    <mergeCell ref="D280:E281"/>
    <mergeCell ref="D278:E279"/>
    <mergeCell ref="D276:E277"/>
    <mergeCell ref="D273:E275"/>
    <mergeCell ref="D271:E272"/>
    <mergeCell ref="K273:K275"/>
    <mergeCell ref="J271:J272"/>
    <mergeCell ref="K271:K272"/>
    <mergeCell ref="J273:J275"/>
    <mergeCell ref="G273:G275"/>
    <mergeCell ref="F273:F275"/>
    <mergeCell ref="H273:H274"/>
    <mergeCell ref="G271:G272"/>
    <mergeCell ref="D241:K241"/>
    <mergeCell ref="D244:K245"/>
    <mergeCell ref="B250:K250"/>
    <mergeCell ref="B251:K251"/>
    <mergeCell ref="B252:K252"/>
    <mergeCell ref="B253:K253"/>
    <mergeCell ref="B254:K254"/>
    <mergeCell ref="B255:K255"/>
    <mergeCell ref="B256:K256"/>
    <mergeCell ref="D242:K242"/>
    <mergeCell ref="D247:K249"/>
    <mergeCell ref="B257:K257"/>
    <mergeCell ref="B258:K258"/>
    <mergeCell ref="B267:B268"/>
    <mergeCell ref="C267:C268"/>
    <mergeCell ref="H267:H268"/>
    <mergeCell ref="B266:G266"/>
    <mergeCell ref="H266:I266"/>
    <mergeCell ref="B262:K262"/>
    <mergeCell ref="B263:K263"/>
    <mergeCell ref="B259:K259"/>
    <mergeCell ref="B260:K260"/>
    <mergeCell ref="B261:K261"/>
    <mergeCell ref="G267:G268"/>
    <mergeCell ref="B264:K264"/>
    <mergeCell ref="B265:K265"/>
    <mergeCell ref="D267:E268"/>
    <mergeCell ref="F267:F268"/>
    <mergeCell ref="K267:K268"/>
    <mergeCell ref="J266:K266"/>
    <mergeCell ref="I267:I268"/>
    <mergeCell ref="J267:J268"/>
    <mergeCell ref="H219:H220"/>
    <mergeCell ref="I219:I220"/>
    <mergeCell ref="J221:J222"/>
    <mergeCell ref="K221:K222"/>
    <mergeCell ref="J219:J220"/>
    <mergeCell ref="G221:G222"/>
    <mergeCell ref="D240:K240"/>
    <mergeCell ref="D233:K234"/>
    <mergeCell ref="I229:I230"/>
    <mergeCell ref="J227:J228"/>
    <mergeCell ref="J229:J230"/>
    <mergeCell ref="F223:F224"/>
    <mergeCell ref="H225:H228"/>
    <mergeCell ref="I225:I228"/>
    <mergeCell ref="D225:E226"/>
    <mergeCell ref="D227:E228"/>
    <mergeCell ref="D229:E230"/>
    <mergeCell ref="I223:I224"/>
    <mergeCell ref="F227:F228"/>
    <mergeCell ref="K227:K228"/>
    <mergeCell ref="J223:J224"/>
    <mergeCell ref="K225:K226"/>
    <mergeCell ref="J225:J226"/>
    <mergeCell ref="D236:K236"/>
    <mergeCell ref="B221:B222"/>
    <mergeCell ref="C221:C222"/>
    <mergeCell ref="F221:F222"/>
    <mergeCell ref="B219:B220"/>
    <mergeCell ref="C219:C220"/>
    <mergeCell ref="G219:G220"/>
    <mergeCell ref="F219:F220"/>
    <mergeCell ref="D188:K188"/>
    <mergeCell ref="B217:B218"/>
    <mergeCell ref="B215:B216"/>
    <mergeCell ref="J214:K214"/>
    <mergeCell ref="J217:J218"/>
    <mergeCell ref="C217:C218"/>
    <mergeCell ref="G217:G218"/>
    <mergeCell ref="H217:H218"/>
    <mergeCell ref="D193:K194"/>
    <mergeCell ref="K217:K218"/>
    <mergeCell ref="K215:K216"/>
    <mergeCell ref="I217:I218"/>
    <mergeCell ref="F217:F218"/>
    <mergeCell ref="C215:C216"/>
    <mergeCell ref="H215:H216"/>
    <mergeCell ref="I215:I216"/>
    <mergeCell ref="F215:F216"/>
    <mergeCell ref="D235:K235"/>
    <mergeCell ref="H223:H224"/>
    <mergeCell ref="B223:B224"/>
    <mergeCell ref="C223:C224"/>
    <mergeCell ref="B229:B230"/>
    <mergeCell ref="C229:C230"/>
    <mergeCell ref="B225:B226"/>
    <mergeCell ref="C225:C226"/>
    <mergeCell ref="C227:C228"/>
    <mergeCell ref="K229:K230"/>
    <mergeCell ref="F229:F230"/>
    <mergeCell ref="G223:G224"/>
    <mergeCell ref="F225:F226"/>
    <mergeCell ref="G227:G228"/>
    <mergeCell ref="K223:K224"/>
    <mergeCell ref="B227:B228"/>
    <mergeCell ref="G215:G216"/>
    <mergeCell ref="B214:G214"/>
    <mergeCell ref="H214:I214"/>
    <mergeCell ref="G177:G178"/>
    <mergeCell ref="C181:K181"/>
    <mergeCell ref="D182:K182"/>
    <mergeCell ref="F199:K199"/>
    <mergeCell ref="B208:K208"/>
    <mergeCell ref="B209:K209"/>
    <mergeCell ref="B210:K210"/>
    <mergeCell ref="B211:K211"/>
    <mergeCell ref="B212:K212"/>
    <mergeCell ref="D185:K186"/>
    <mergeCell ref="D187:K187"/>
    <mergeCell ref="D192:K192"/>
    <mergeCell ref="D197:K197"/>
    <mergeCell ref="D202:K202"/>
    <mergeCell ref="K69:K70"/>
    <mergeCell ref="B71:B72"/>
    <mergeCell ref="B75:B76"/>
    <mergeCell ref="C75:C76"/>
    <mergeCell ref="F75:F76"/>
    <mergeCell ref="G75:G76"/>
    <mergeCell ref="H75:H76"/>
    <mergeCell ref="I75:I76"/>
    <mergeCell ref="J75:J76"/>
    <mergeCell ref="K75:K76"/>
    <mergeCell ref="C71:C72"/>
    <mergeCell ref="F71:F72"/>
    <mergeCell ref="G71:G72"/>
    <mergeCell ref="H71:H72"/>
    <mergeCell ref="I71:I72"/>
    <mergeCell ref="J71:J72"/>
    <mergeCell ref="H73:H74"/>
    <mergeCell ref="I73:I74"/>
    <mergeCell ref="J73:J74"/>
    <mergeCell ref="K73:K74"/>
    <mergeCell ref="B5:K5"/>
    <mergeCell ref="B8:C8"/>
    <mergeCell ref="H8:I8"/>
    <mergeCell ref="J8:K8"/>
    <mergeCell ref="D8:F8"/>
    <mergeCell ref="D330:K330"/>
    <mergeCell ref="D329:K329"/>
    <mergeCell ref="B64:K64"/>
    <mergeCell ref="B65:K65"/>
    <mergeCell ref="J66:K66"/>
    <mergeCell ref="B67:B68"/>
    <mergeCell ref="C67:C68"/>
    <mergeCell ref="F67:F68"/>
    <mergeCell ref="G67:G68"/>
    <mergeCell ref="H67:H68"/>
    <mergeCell ref="J15:K15"/>
    <mergeCell ref="B16:B17"/>
    <mergeCell ref="C16:C17"/>
    <mergeCell ref="D16:E17"/>
    <mergeCell ref="F16:F17"/>
    <mergeCell ref="B69:B70"/>
    <mergeCell ref="C69:C70"/>
    <mergeCell ref="F69:F70"/>
    <mergeCell ref="D91:K91"/>
    <mergeCell ref="D347:K348"/>
    <mergeCell ref="G276:G277"/>
    <mergeCell ref="F276:F277"/>
    <mergeCell ref="G278:G279"/>
    <mergeCell ref="F278:F279"/>
    <mergeCell ref="K280:K281"/>
    <mergeCell ref="K282:K283"/>
    <mergeCell ref="D292:K294"/>
    <mergeCell ref="K309:K310"/>
    <mergeCell ref="K311:K312"/>
    <mergeCell ref="G282:G283"/>
    <mergeCell ref="F282:F283"/>
    <mergeCell ref="H280:H281"/>
    <mergeCell ref="D335:K336"/>
    <mergeCell ref="D340:K340"/>
    <mergeCell ref="D332:K332"/>
    <mergeCell ref="D333:K333"/>
    <mergeCell ref="B295:K295"/>
    <mergeCell ref="D286:K286"/>
    <mergeCell ref="H276:H277"/>
    <mergeCell ref="H278:H279"/>
    <mergeCell ref="B278:B279"/>
    <mergeCell ref="I276:I277"/>
    <mergeCell ref="K278:K279"/>
    <mergeCell ref="C426:K426"/>
    <mergeCell ref="D232:K232"/>
    <mergeCell ref="D246:K246"/>
    <mergeCell ref="D285:K285"/>
    <mergeCell ref="C231:K231"/>
    <mergeCell ref="C284:K284"/>
    <mergeCell ref="I360:I361"/>
    <mergeCell ref="D354:K356"/>
    <mergeCell ref="F360:F361"/>
    <mergeCell ref="G360:G361"/>
    <mergeCell ref="K360:K361"/>
    <mergeCell ref="J360:J361"/>
    <mergeCell ref="J359:K359"/>
    <mergeCell ref="D350:K351"/>
    <mergeCell ref="D352:K353"/>
    <mergeCell ref="I273:I275"/>
    <mergeCell ref="H311:H312"/>
    <mergeCell ref="I280:I281"/>
    <mergeCell ref="J280:J281"/>
    <mergeCell ref="D349:K349"/>
    <mergeCell ref="D346:K346"/>
    <mergeCell ref="K276:K277"/>
    <mergeCell ref="F243:K243"/>
    <mergeCell ref="D344:K345"/>
    <mergeCell ref="G16:G17"/>
    <mergeCell ref="H16:H19"/>
    <mergeCell ref="I16:I21"/>
    <mergeCell ref="K16:K17"/>
    <mergeCell ref="B18:B19"/>
    <mergeCell ref="C18:C19"/>
    <mergeCell ref="D18:E19"/>
    <mergeCell ref="F18:F19"/>
    <mergeCell ref="G18:G19"/>
    <mergeCell ref="J18:J19"/>
    <mergeCell ref="K18:K19"/>
    <mergeCell ref="G20:G21"/>
    <mergeCell ref="H20:H21"/>
    <mergeCell ref="J20:J21"/>
    <mergeCell ref="K20:K21"/>
    <mergeCell ref="D20:E20"/>
    <mergeCell ref="D21:E21"/>
    <mergeCell ref="F20:F21"/>
    <mergeCell ref="J24:J25"/>
    <mergeCell ref="K24:K25"/>
    <mergeCell ref="B30:B31"/>
    <mergeCell ref="C30:C31"/>
    <mergeCell ref="D30:E31"/>
    <mergeCell ref="F30:F31"/>
    <mergeCell ref="G30:G31"/>
    <mergeCell ref="H26:H27"/>
    <mergeCell ref="H28:H29"/>
    <mergeCell ref="I26:I29"/>
    <mergeCell ref="B28:B29"/>
    <mergeCell ref="C28:C29"/>
    <mergeCell ref="D28:E29"/>
    <mergeCell ref="F28:F29"/>
    <mergeCell ref="G28:G29"/>
    <mergeCell ref="F22:F23"/>
    <mergeCell ref="G22:G23"/>
    <mergeCell ref="H22:H23"/>
    <mergeCell ref="I22:I25"/>
    <mergeCell ref="B26:B27"/>
    <mergeCell ref="C26:C27"/>
    <mergeCell ref="D26:E27"/>
    <mergeCell ref="F26:F27"/>
    <mergeCell ref="G26:G27"/>
    <mergeCell ref="B24:B25"/>
    <mergeCell ref="C24:C25"/>
    <mergeCell ref="D24:E25"/>
    <mergeCell ref="F24:F25"/>
    <mergeCell ref="G24:G25"/>
    <mergeCell ref="H24:H25"/>
    <mergeCell ref="B9:K9"/>
    <mergeCell ref="B10:G10"/>
    <mergeCell ref="H10:I10"/>
    <mergeCell ref="J10:K10"/>
    <mergeCell ref="B11:K11"/>
    <mergeCell ref="B15:G15"/>
    <mergeCell ref="H15:I15"/>
    <mergeCell ref="B58:K58"/>
    <mergeCell ref="B14:K14"/>
    <mergeCell ref="B13:K13"/>
    <mergeCell ref="E56:K56"/>
    <mergeCell ref="E57:K57"/>
    <mergeCell ref="I30:I31"/>
    <mergeCell ref="K26:K29"/>
    <mergeCell ref="J26:J29"/>
    <mergeCell ref="J30:J31"/>
    <mergeCell ref="D48:K50"/>
    <mergeCell ref="D51:K51"/>
    <mergeCell ref="D52:K54"/>
    <mergeCell ref="E55:K55"/>
    <mergeCell ref="B12:K12"/>
    <mergeCell ref="B22:B23"/>
    <mergeCell ref="C22:C23"/>
    <mergeCell ref="D22:E23"/>
    <mergeCell ref="G77:G78"/>
    <mergeCell ref="H77:H80"/>
    <mergeCell ref="I77:I80"/>
    <mergeCell ref="J77:J78"/>
    <mergeCell ref="K77:K78"/>
    <mergeCell ref="K79:K80"/>
    <mergeCell ref="B112:K112"/>
    <mergeCell ref="B113:K113"/>
    <mergeCell ref="B77:B78"/>
    <mergeCell ref="C77:C78"/>
    <mergeCell ref="B79:B80"/>
    <mergeCell ref="C79:C80"/>
    <mergeCell ref="F79:F80"/>
    <mergeCell ref="G79:G80"/>
    <mergeCell ref="J79:J80"/>
    <mergeCell ref="C132:K132"/>
    <mergeCell ref="K81:K82"/>
    <mergeCell ref="C83:K83"/>
    <mergeCell ref="J81:J82"/>
    <mergeCell ref="E86:K86"/>
    <mergeCell ref="E87:K87"/>
    <mergeCell ref="D92:K92"/>
    <mergeCell ref="D97:K97"/>
    <mergeCell ref="B103:K103"/>
    <mergeCell ref="B104:K104"/>
    <mergeCell ref="B109:K109"/>
    <mergeCell ref="B110:K110"/>
    <mergeCell ref="B111:K111"/>
    <mergeCell ref="B114:K114"/>
    <mergeCell ref="D93:K93"/>
    <mergeCell ref="B115:G115"/>
    <mergeCell ref="H115:I115"/>
    <mergeCell ref="B105:K105"/>
    <mergeCell ref="B106:K106"/>
    <mergeCell ref="B107:K107"/>
    <mergeCell ref="B108:K108"/>
    <mergeCell ref="G81:G82"/>
    <mergeCell ref="I81:I82"/>
    <mergeCell ref="J115:K115"/>
    <mergeCell ref="B116:B117"/>
    <mergeCell ref="C116:C117"/>
    <mergeCell ref="F116:F117"/>
    <mergeCell ref="G116:G117"/>
    <mergeCell ref="H116:H117"/>
    <mergeCell ref="I116:I117"/>
    <mergeCell ref="K116:K117"/>
    <mergeCell ref="D116:E117"/>
    <mergeCell ref="D98:K100"/>
    <mergeCell ref="D44:K46"/>
    <mergeCell ref="D95:K96"/>
    <mergeCell ref="B61:K61"/>
    <mergeCell ref="B101:K101"/>
    <mergeCell ref="B102:K102"/>
    <mergeCell ref="D88:K89"/>
    <mergeCell ref="D90:K90"/>
    <mergeCell ref="E85:K85"/>
    <mergeCell ref="D47:K47"/>
    <mergeCell ref="F94:K94"/>
    <mergeCell ref="B66:G66"/>
    <mergeCell ref="H66:I66"/>
    <mergeCell ref="D81:E82"/>
    <mergeCell ref="D79:E80"/>
    <mergeCell ref="D77:E78"/>
    <mergeCell ref="D75:E76"/>
    <mergeCell ref="D73:E74"/>
    <mergeCell ref="D71:E72"/>
    <mergeCell ref="D69:E70"/>
    <mergeCell ref="D67:E68"/>
    <mergeCell ref="B81:B82"/>
    <mergeCell ref="C81:C82"/>
    <mergeCell ref="F81:F82"/>
    <mergeCell ref="F77:F78"/>
    <mergeCell ref="B118:B119"/>
    <mergeCell ref="C118:C119"/>
    <mergeCell ref="F118:F119"/>
    <mergeCell ref="G118:G119"/>
    <mergeCell ref="H118:H119"/>
    <mergeCell ref="I118:I119"/>
    <mergeCell ref="J118:J119"/>
    <mergeCell ref="K118:K119"/>
    <mergeCell ref="B120:B121"/>
    <mergeCell ref="C120:C121"/>
    <mergeCell ref="F120:F121"/>
    <mergeCell ref="G120:G121"/>
    <mergeCell ref="H120:H121"/>
    <mergeCell ref="I120:I121"/>
    <mergeCell ref="J120:J121"/>
    <mergeCell ref="K120:K121"/>
    <mergeCell ref="D120:E121"/>
    <mergeCell ref="D118:E119"/>
    <mergeCell ref="G122:G123"/>
    <mergeCell ref="H122:H123"/>
    <mergeCell ref="I122:I123"/>
    <mergeCell ref="J122:J123"/>
    <mergeCell ref="K122:K123"/>
    <mergeCell ref="B124:B125"/>
    <mergeCell ref="C124:C125"/>
    <mergeCell ref="F124:F125"/>
    <mergeCell ref="G124:G125"/>
    <mergeCell ref="H124:H125"/>
    <mergeCell ref="I124:I125"/>
    <mergeCell ref="J124:J125"/>
    <mergeCell ref="K124:K125"/>
    <mergeCell ref="D124:E125"/>
    <mergeCell ref="D122:E123"/>
    <mergeCell ref="B122:B123"/>
    <mergeCell ref="C122:C123"/>
    <mergeCell ref="F122:F123"/>
    <mergeCell ref="G126:G127"/>
    <mergeCell ref="H126:H129"/>
    <mergeCell ref="I126:I129"/>
    <mergeCell ref="J126:J127"/>
    <mergeCell ref="K126:K127"/>
    <mergeCell ref="B128:B129"/>
    <mergeCell ref="C128:C129"/>
    <mergeCell ref="F128:F129"/>
    <mergeCell ref="G128:G129"/>
    <mergeCell ref="J128:J129"/>
    <mergeCell ref="K128:K129"/>
    <mergeCell ref="D128:E129"/>
    <mergeCell ref="D126:E127"/>
    <mergeCell ref="B126:B127"/>
    <mergeCell ref="C126:C127"/>
    <mergeCell ref="F126:F127"/>
    <mergeCell ref="B130:B131"/>
    <mergeCell ref="C130:C131"/>
    <mergeCell ref="F130:F131"/>
    <mergeCell ref="G130:G131"/>
    <mergeCell ref="I130:I131"/>
    <mergeCell ref="J130:J131"/>
    <mergeCell ref="K130:K131"/>
    <mergeCell ref="D130:E131"/>
    <mergeCell ref="D179:E180"/>
    <mergeCell ref="E139:K139"/>
    <mergeCell ref="E140:K140"/>
    <mergeCell ref="E141:K141"/>
    <mergeCell ref="E155:K155"/>
    <mergeCell ref="F149:K149"/>
    <mergeCell ref="D153:K154"/>
    <mergeCell ref="D148:K148"/>
    <mergeCell ref="D150:K151"/>
    <mergeCell ref="D133:K133"/>
    <mergeCell ref="D134:K134"/>
    <mergeCell ref="D135:K136"/>
    <mergeCell ref="D137:K137"/>
    <mergeCell ref="D142:K142"/>
    <mergeCell ref="D143:K144"/>
    <mergeCell ref="D145:K146"/>
  </mergeCells>
  <phoneticPr fontId="12" type="noConversion"/>
  <hyperlinks>
    <hyperlink ref="D187" r:id="rId1"/>
    <hyperlink ref="D235" r:id="rId2"/>
    <hyperlink ref="H217" r:id="rId3"/>
    <hyperlink ref="H269" r:id="rId4" location="content=Technical%20Data"/>
    <hyperlink ref="H271" r:id="rId5"/>
    <hyperlink ref="H278" r:id="rId6"/>
    <hyperlink ref="D329" r:id="rId7" display="http://site.ge-energy.com/prod_serv/products/tech_docs/en/downloads/ger3574g.pdf"/>
    <hyperlink ref="D331" r:id="rId8" display="http://site.ge-energy.com/prod_serv/products/gas_turbines_cc/en/downloads/GEA12985H.pdf"/>
    <hyperlink ref="D333" r:id="rId9" display="http://site.ge-energy.com/prod_serv/products/gas_turbines_cc/en/f_class/ms7001fa.htm"/>
    <hyperlink ref="D346" r:id="rId10"/>
    <hyperlink ref="D349" r:id="rId11"/>
    <hyperlink ref="D334" r:id="rId12" display="http://www.ge-energy.com/products_and_services/products/gas_turbines_heavy_duty/7fa_heavy_duty_gas_turbine.jsp"/>
    <hyperlink ref="H311" r:id="rId13"/>
    <hyperlink ref="H313" r:id="rId14"/>
    <hyperlink ref="J315" r:id="rId15"/>
    <hyperlink ref="J317" r:id="rId16"/>
    <hyperlink ref="D381" r:id="rId17"/>
    <hyperlink ref="D387" r:id="rId18"/>
    <hyperlink ref="D383" r:id="rId19"/>
    <hyperlink ref="D385" r:id="rId20"/>
    <hyperlink ref="D394" r:id="rId21"/>
    <hyperlink ref="D397" r:id="rId22"/>
    <hyperlink ref="J366" r:id="rId23"/>
    <hyperlink ref="J368" r:id="rId24"/>
    <hyperlink ref="H412" r:id="rId25"/>
    <hyperlink ref="H230" r:id="rId26"/>
    <hyperlink ref="H324" r:id="rId27"/>
    <hyperlink ref="H375" r:id="rId28"/>
    <hyperlink ref="H425" r:id="rId29"/>
    <hyperlink ref="H275" r:id="rId30"/>
    <hyperlink ref="H283" r:id="rId31"/>
    <hyperlink ref="H24" r:id="rId32"/>
    <hyperlink ref="H28" r:id="rId33"/>
    <hyperlink ref="H20" r:id="rId34"/>
    <hyperlink ref="H31" r:id="rId35"/>
    <hyperlink ref="H69" r:id="rId36"/>
    <hyperlink ref="D90" r:id="rId37"/>
    <hyperlink ref="H82" r:id="rId38"/>
    <hyperlink ref="H118" r:id="rId39"/>
    <hyperlink ref="D34" r:id="rId40"/>
    <hyperlink ref="D134" r:id="rId41"/>
    <hyperlink ref="D137" r:id="rId42"/>
    <hyperlink ref="H131" r:id="rId43"/>
    <hyperlink ref="H167" r:id="rId44"/>
    <hyperlink ref="D184" r:id="rId45"/>
    <hyperlink ref="H180" r:id="rId46"/>
    <hyperlink ref="D47" r:id="rId47"/>
    <hyperlink ref="F94" r:id="rId48"/>
    <hyperlink ref="F149" r:id="rId49"/>
    <hyperlink ref="F199" r:id="rId50"/>
    <hyperlink ref="F243" r:id="rId51"/>
    <hyperlink ref="F433" r:id="rId52"/>
  </hyperlinks>
  <printOptions horizontalCentered="1"/>
  <pageMargins left="0.7" right="0.45" top="0.5" bottom="0.25" header="0" footer="0"/>
  <pageSetup paperSize="5" scale="75" orientation="landscape" r:id="rId53"/>
  <headerFooter scaleWithDoc="0" alignWithMargins="0">
    <oddFooter>&amp;C&amp;8Turbines - Page &amp;P of &amp;N</oddFooter>
  </headerFooter>
  <drawing r:id="rId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Procedures</vt:lpstr>
      <vt:lpstr>Content</vt:lpstr>
      <vt:lpstr>Tb01-Ems Calc</vt:lpstr>
      <vt:lpstr>TB02-Fuel Cells</vt:lpstr>
      <vt:lpstr>Tb03-Engines</vt:lpstr>
      <vt:lpstr>TB04-Turbines</vt:lpstr>
      <vt:lpstr>Content!Print_Area</vt:lpstr>
      <vt:lpstr>Procedures!Print_Area</vt:lpstr>
      <vt:lpstr>'Tb01-Ems Calc'!Print_Area</vt:lpstr>
      <vt:lpstr>'TB02-Fuel Cells'!Print_Area</vt:lpstr>
      <vt:lpstr>'Tb03-Engines'!Print_Area</vt:lpstr>
      <vt:lpstr>'TB04-Turbines'!Print_Area</vt:lpstr>
      <vt:lpstr>Procedures!Print_Titles</vt:lpstr>
      <vt:lpstr>'TB02-Fuel Cells'!Print_Titles</vt:lpstr>
      <vt:lpstr>'Tb03-Engines'!Print_Titles</vt:lpstr>
      <vt:lpstr>'TB04-Turbines'!Print_Titles</vt:lpstr>
    </vt:vector>
  </TitlesOfParts>
  <Company>State of Connecticut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VesaD</dc:creator>
  <cp:lastModifiedBy>Dep User</cp:lastModifiedBy>
  <cp:lastPrinted>2013-06-17T15:12:43Z</cp:lastPrinted>
  <dcterms:created xsi:type="dcterms:W3CDTF">2013-04-24T13:48:14Z</dcterms:created>
  <dcterms:modified xsi:type="dcterms:W3CDTF">2018-08-22T12:56:05Z</dcterms:modified>
</cp:coreProperties>
</file>