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Gaming Division\S\AUDIT_OTB\webfile\2022 submission\"/>
    </mc:Choice>
  </mc:AlternateContent>
  <xr:revisionPtr revIDLastSave="0" documentId="8_{734ECDAD-CE6B-4A02-B46B-315B03B139B2}" xr6:coauthVersionLast="47" xr6:coauthVersionMax="47" xr10:uidLastSave="{00000000-0000-0000-0000-000000000000}"/>
  <bookViews>
    <workbookView xWindow="-120" yWindow="-120" windowWidth="29040" windowHeight="15840" xr2:uid="{83B5E92A-BF0B-4024-82EA-BA13D771126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00" i="1" l="1"/>
  <c r="G298" i="1"/>
  <c r="G294" i="1"/>
  <c r="G293" i="1"/>
  <c r="G292" i="1"/>
  <c r="G291" i="1"/>
  <c r="G290" i="1"/>
  <c r="G288" i="1"/>
  <c r="G286" i="1"/>
  <c r="G284" i="1"/>
  <c r="G283" i="1"/>
  <c r="G280" i="1"/>
  <c r="G279" i="1"/>
  <c r="G278" i="1"/>
  <c r="G277" i="1"/>
  <c r="G276" i="1"/>
  <c r="G275" i="1"/>
  <c r="G274" i="1"/>
  <c r="G270" i="1"/>
  <c r="G269" i="1"/>
  <c r="G266" i="1"/>
  <c r="G265" i="1"/>
  <c r="G264" i="1"/>
  <c r="G263" i="1"/>
  <c r="G262" i="1"/>
  <c r="F261" i="1"/>
  <c r="E261" i="1"/>
  <c r="E272" i="1" s="1"/>
  <c r="D261" i="1"/>
  <c r="D272" i="1" s="1"/>
  <c r="C261" i="1"/>
  <c r="C272" i="1" s="1"/>
  <c r="G272" i="1" s="1"/>
  <c r="G260" i="1"/>
  <c r="G257" i="1"/>
  <c r="G256" i="1"/>
  <c r="G255" i="1"/>
  <c r="G252" i="1"/>
  <c r="G251" i="1"/>
  <c r="G250" i="1"/>
  <c r="G249" i="1"/>
  <c r="G248" i="1"/>
  <c r="F247" i="1"/>
  <c r="E247" i="1"/>
  <c r="D247" i="1"/>
  <c r="D258" i="1" s="1"/>
  <c r="C247" i="1"/>
  <c r="C258" i="1" s="1"/>
  <c r="G258" i="1" s="1"/>
  <c r="G246" i="1"/>
  <c r="G243" i="1"/>
  <c r="G242" i="1"/>
  <c r="G239" i="1"/>
  <c r="G238" i="1"/>
  <c r="G237" i="1"/>
  <c r="G236" i="1"/>
  <c r="G235" i="1"/>
  <c r="F234" i="1"/>
  <c r="F244" i="1" s="1"/>
  <c r="E234" i="1"/>
  <c r="E244" i="1" s="1"/>
  <c r="D234" i="1"/>
  <c r="D244" i="1" s="1"/>
  <c r="C234" i="1"/>
  <c r="C244" i="1" s="1"/>
  <c r="G233" i="1"/>
  <c r="G230" i="1"/>
  <c r="G229" i="1"/>
  <c r="G228" i="1"/>
  <c r="G226" i="1"/>
  <c r="G225" i="1"/>
  <c r="G224" i="1"/>
  <c r="G223" i="1"/>
  <c r="G222" i="1"/>
  <c r="F221" i="1"/>
  <c r="F231" i="1" s="1"/>
  <c r="E221" i="1"/>
  <c r="E231" i="1" s="1"/>
  <c r="D221" i="1"/>
  <c r="D231" i="1" s="1"/>
  <c r="C221" i="1"/>
  <c r="C231" i="1" s="1"/>
  <c r="G220" i="1"/>
  <c r="F218" i="1"/>
  <c r="E218" i="1"/>
  <c r="D218" i="1"/>
  <c r="C218" i="1"/>
  <c r="G217" i="1"/>
  <c r="G216" i="1"/>
  <c r="G215" i="1"/>
  <c r="G214" i="1"/>
  <c r="G213" i="1"/>
  <c r="G212" i="1"/>
  <c r="G211" i="1"/>
  <c r="G210" i="1"/>
  <c r="G209" i="1"/>
  <c r="G208" i="1"/>
  <c r="C197" i="1"/>
  <c r="F196" i="1"/>
  <c r="G196" i="1" s="1"/>
  <c r="F195" i="1"/>
  <c r="G195" i="1" s="1"/>
  <c r="F194" i="1"/>
  <c r="G194" i="1" s="1"/>
  <c r="F193" i="1"/>
  <c r="G193" i="1" s="1"/>
  <c r="F192" i="1"/>
  <c r="G192" i="1" s="1"/>
  <c r="F191" i="1"/>
  <c r="G191" i="1" s="1"/>
  <c r="F190" i="1"/>
  <c r="G190" i="1" s="1"/>
  <c r="E190" i="1"/>
  <c r="E197" i="1" s="1"/>
  <c r="D190" i="1"/>
  <c r="D197" i="1" s="1"/>
  <c r="F189" i="1"/>
  <c r="C188" i="1"/>
  <c r="G187" i="1"/>
  <c r="G186" i="1"/>
  <c r="G185" i="1"/>
  <c r="G184" i="1"/>
  <c r="G183" i="1"/>
  <c r="G182" i="1"/>
  <c r="F181" i="1"/>
  <c r="F188" i="1" s="1"/>
  <c r="E181" i="1"/>
  <c r="E188" i="1" s="1"/>
  <c r="D181" i="1"/>
  <c r="D188" i="1" s="1"/>
  <c r="G180" i="1"/>
  <c r="C179" i="1"/>
  <c r="G178" i="1"/>
  <c r="G177" i="1"/>
  <c r="G176" i="1"/>
  <c r="G175" i="1"/>
  <c r="G174" i="1"/>
  <c r="G173" i="1"/>
  <c r="F172" i="1"/>
  <c r="F179" i="1" s="1"/>
  <c r="E172" i="1"/>
  <c r="E179" i="1" s="1"/>
  <c r="D172" i="1"/>
  <c r="D179" i="1" s="1"/>
  <c r="G171" i="1"/>
  <c r="F170" i="1"/>
  <c r="E170" i="1"/>
  <c r="D170" i="1"/>
  <c r="C170" i="1"/>
  <c r="G169" i="1"/>
  <c r="G168" i="1"/>
  <c r="G167" i="1"/>
  <c r="G166" i="1"/>
  <c r="G165" i="1"/>
  <c r="G164" i="1"/>
  <c r="G163" i="1"/>
  <c r="F161" i="1"/>
  <c r="E161" i="1"/>
  <c r="D161" i="1"/>
  <c r="C161" i="1"/>
  <c r="G160" i="1"/>
  <c r="G159" i="1"/>
  <c r="G158" i="1"/>
  <c r="G157" i="1"/>
  <c r="G156" i="1"/>
  <c r="G155" i="1"/>
  <c r="F154" i="1"/>
  <c r="E154" i="1"/>
  <c r="D154" i="1"/>
  <c r="C154" i="1"/>
  <c r="G153" i="1"/>
  <c r="G152" i="1"/>
  <c r="G151" i="1"/>
  <c r="G150" i="1"/>
  <c r="G149" i="1"/>
  <c r="F148" i="1"/>
  <c r="E148" i="1"/>
  <c r="D148" i="1"/>
  <c r="C148" i="1"/>
  <c r="G147" i="1"/>
  <c r="G146" i="1"/>
  <c r="G145" i="1"/>
  <c r="G144" i="1"/>
  <c r="G143" i="1"/>
  <c r="F142" i="1"/>
  <c r="C142" i="1"/>
  <c r="G141" i="1"/>
  <c r="G140" i="1"/>
  <c r="G139" i="1"/>
  <c r="G138" i="1"/>
  <c r="E138" i="1"/>
  <c r="E142" i="1" s="1"/>
  <c r="D138" i="1"/>
  <c r="D142" i="1" s="1"/>
  <c r="G137" i="1"/>
  <c r="F136" i="1"/>
  <c r="E136" i="1"/>
  <c r="D136" i="1"/>
  <c r="C136" i="1"/>
  <c r="G135" i="1"/>
  <c r="G134" i="1"/>
  <c r="G133" i="1"/>
  <c r="G132" i="1"/>
  <c r="G131" i="1"/>
  <c r="F130" i="1"/>
  <c r="D130" i="1"/>
  <c r="C130" i="1"/>
  <c r="G129" i="1"/>
  <c r="E129" i="1"/>
  <c r="G128" i="1"/>
  <c r="G127" i="1"/>
  <c r="G126" i="1"/>
  <c r="E126" i="1"/>
  <c r="E130" i="1" s="1"/>
  <c r="G125" i="1"/>
  <c r="F124" i="1"/>
  <c r="E124" i="1"/>
  <c r="D124" i="1"/>
  <c r="C124" i="1"/>
  <c r="G123" i="1"/>
  <c r="G122" i="1"/>
  <c r="G121" i="1"/>
  <c r="G120" i="1"/>
  <c r="G119" i="1"/>
  <c r="F118" i="1"/>
  <c r="E118" i="1"/>
  <c r="D118" i="1"/>
  <c r="C118" i="1"/>
  <c r="G117" i="1"/>
  <c r="G116" i="1"/>
  <c r="G115" i="1"/>
  <c r="G114" i="1"/>
  <c r="G113" i="1"/>
  <c r="F112" i="1"/>
  <c r="E111" i="1"/>
  <c r="D111" i="1"/>
  <c r="C111" i="1"/>
  <c r="G111" i="1" s="1"/>
  <c r="G110" i="1"/>
  <c r="G109" i="1"/>
  <c r="E108" i="1"/>
  <c r="D108" i="1"/>
  <c r="C108" i="1"/>
  <c r="G108" i="1" s="1"/>
  <c r="E107" i="1"/>
  <c r="D107" i="1"/>
  <c r="C107" i="1"/>
  <c r="F106" i="1"/>
  <c r="E106" i="1"/>
  <c r="D106" i="1"/>
  <c r="C106" i="1"/>
  <c r="G105" i="1"/>
  <c r="G104" i="1"/>
  <c r="G103" i="1"/>
  <c r="G102" i="1"/>
  <c r="G101" i="1"/>
  <c r="F100" i="1"/>
  <c r="E100" i="1"/>
  <c r="D100" i="1"/>
  <c r="C100" i="1"/>
  <c r="G99" i="1"/>
  <c r="G98" i="1"/>
  <c r="G97" i="1"/>
  <c r="G96" i="1"/>
  <c r="G95" i="1"/>
  <c r="F94" i="1"/>
  <c r="E94" i="1"/>
  <c r="D94" i="1"/>
  <c r="C94" i="1"/>
  <c r="G93" i="1"/>
  <c r="G92" i="1"/>
  <c r="G91" i="1"/>
  <c r="G90" i="1"/>
  <c r="G89" i="1"/>
  <c r="F88" i="1"/>
  <c r="E88" i="1"/>
  <c r="D88" i="1"/>
  <c r="C88" i="1"/>
  <c r="G87" i="1"/>
  <c r="G86" i="1"/>
  <c r="G85" i="1"/>
  <c r="G84" i="1"/>
  <c r="G83" i="1"/>
  <c r="F82" i="1"/>
  <c r="E82" i="1"/>
  <c r="D82" i="1"/>
  <c r="C82" i="1"/>
  <c r="G81" i="1"/>
  <c r="G80" i="1"/>
  <c r="G79" i="1"/>
  <c r="G78" i="1"/>
  <c r="G77" i="1"/>
  <c r="F76" i="1"/>
  <c r="E76" i="1"/>
  <c r="D76" i="1"/>
  <c r="C76" i="1"/>
  <c r="G75" i="1"/>
  <c r="G74" i="1"/>
  <c r="G73" i="1"/>
  <c r="G72" i="1"/>
  <c r="F71" i="1"/>
  <c r="E71" i="1"/>
  <c r="D71" i="1"/>
  <c r="C71" i="1"/>
  <c r="G70" i="1"/>
  <c r="G69" i="1"/>
  <c r="G68" i="1"/>
  <c r="G67" i="1"/>
  <c r="F66" i="1"/>
  <c r="E66" i="1"/>
  <c r="D66" i="1"/>
  <c r="C66" i="1"/>
  <c r="G65" i="1"/>
  <c r="G64" i="1"/>
  <c r="G63" i="1"/>
  <c r="G62" i="1"/>
  <c r="F61" i="1"/>
  <c r="E61" i="1"/>
  <c r="D61" i="1"/>
  <c r="C61" i="1"/>
  <c r="G60" i="1"/>
  <c r="G59" i="1"/>
  <c r="G58" i="1"/>
  <c r="G57" i="1"/>
  <c r="F56" i="1"/>
  <c r="E56" i="1"/>
  <c r="D56" i="1"/>
  <c r="C56" i="1"/>
  <c r="G55" i="1"/>
  <c r="G54" i="1"/>
  <c r="G53" i="1"/>
  <c r="F52" i="1"/>
  <c r="E52" i="1"/>
  <c r="D52" i="1"/>
  <c r="C52" i="1"/>
  <c r="G51" i="1"/>
  <c r="G50" i="1"/>
  <c r="G49" i="1"/>
  <c r="F48" i="1"/>
  <c r="E48" i="1"/>
  <c r="D48" i="1"/>
  <c r="C48" i="1"/>
  <c r="G47" i="1"/>
  <c r="G46" i="1"/>
  <c r="G45" i="1"/>
  <c r="F44" i="1"/>
  <c r="E44" i="1"/>
  <c r="D44" i="1"/>
  <c r="C44" i="1"/>
  <c r="G43" i="1"/>
  <c r="G42" i="1"/>
  <c r="G41" i="1"/>
  <c r="F40" i="1"/>
  <c r="E40" i="1"/>
  <c r="D40" i="1"/>
  <c r="C40" i="1"/>
  <c r="G39" i="1"/>
  <c r="G38" i="1"/>
  <c r="G37" i="1"/>
  <c r="F36" i="1"/>
  <c r="E36" i="1"/>
  <c r="D36" i="1"/>
  <c r="C36" i="1"/>
  <c r="G35" i="1"/>
  <c r="G34" i="1"/>
  <c r="G33" i="1"/>
  <c r="F32" i="1"/>
  <c r="E32" i="1"/>
  <c r="D32" i="1"/>
  <c r="C32" i="1"/>
  <c r="G31" i="1"/>
  <c r="G30" i="1"/>
  <c r="G29" i="1"/>
  <c r="G28" i="1"/>
  <c r="F27" i="1"/>
  <c r="E27" i="1"/>
  <c r="D27" i="1"/>
  <c r="C27" i="1"/>
  <c r="G26" i="1"/>
  <c r="G25" i="1"/>
  <c r="G24" i="1"/>
  <c r="G23" i="1"/>
  <c r="F22" i="1"/>
  <c r="E22" i="1"/>
  <c r="D22" i="1"/>
  <c r="C22" i="1"/>
  <c r="G21" i="1"/>
  <c r="G20" i="1"/>
  <c r="G19" i="1"/>
  <c r="F18" i="1"/>
  <c r="E18" i="1"/>
  <c r="D18" i="1"/>
  <c r="C18" i="1"/>
  <c r="G17" i="1"/>
  <c r="G16" i="1"/>
  <c r="G15" i="1"/>
  <c r="F14" i="1"/>
  <c r="E14" i="1"/>
  <c r="D14" i="1"/>
  <c r="C14" i="1"/>
  <c r="G13" i="1"/>
  <c r="G12" i="1"/>
  <c r="G11" i="1"/>
  <c r="F10" i="1"/>
  <c r="E10" i="1"/>
  <c r="D10" i="1"/>
  <c r="C10" i="1"/>
  <c r="G9" i="1"/>
  <c r="G8" i="1"/>
  <c r="G7" i="1"/>
  <c r="F6" i="1"/>
  <c r="E6" i="1"/>
  <c r="D6" i="1"/>
  <c r="C6" i="1"/>
  <c r="G5" i="1"/>
  <c r="G4" i="1"/>
  <c r="G3" i="1"/>
  <c r="C112" i="1" l="1"/>
  <c r="G289" i="1"/>
  <c r="G247" i="1"/>
  <c r="D112" i="1"/>
  <c r="E112" i="1"/>
  <c r="G261" i="1"/>
  <c r="G44" i="1"/>
  <c r="G22" i="1"/>
  <c r="G6" i="1"/>
  <c r="F197" i="1"/>
  <c r="G197" i="1" s="1"/>
  <c r="G14" i="1"/>
  <c r="G36" i="1"/>
  <c r="G52" i="1"/>
  <c r="G66" i="1"/>
  <c r="G82" i="1"/>
  <c r="G107" i="1"/>
  <c r="G301" i="1"/>
  <c r="G40" i="1"/>
  <c r="G56" i="1"/>
  <c r="G71" i="1"/>
  <c r="G94" i="1"/>
  <c r="G130" i="1"/>
  <c r="G10" i="1"/>
  <c r="G88" i="1"/>
  <c r="G106" i="1"/>
  <c r="G118" i="1"/>
  <c r="G136" i="1"/>
  <c r="G179" i="1"/>
  <c r="G188" i="1"/>
  <c r="G18" i="1"/>
  <c r="G61" i="1"/>
  <c r="G76" i="1"/>
  <c r="G124" i="1"/>
  <c r="G142" i="1"/>
  <c r="G170" i="1"/>
  <c r="G218" i="1"/>
  <c r="G100" i="1"/>
  <c r="G148" i="1"/>
  <c r="G161" i="1"/>
  <c r="G27" i="1"/>
  <c r="G32" i="1"/>
  <c r="G48" i="1"/>
  <c r="G154" i="1"/>
  <c r="G112" i="1"/>
  <c r="G231" i="1"/>
  <c r="G244" i="1"/>
  <c r="G221" i="1"/>
  <c r="G172" i="1"/>
  <c r="G189" i="1"/>
  <c r="G181" i="1"/>
  <c r="G234" i="1"/>
</calcChain>
</file>

<file path=xl/sharedStrings.xml><?xml version="1.0" encoding="utf-8"?>
<sst xmlns="http://schemas.openxmlformats.org/spreadsheetml/2006/main" count="360" uniqueCount="85">
  <si>
    <t>Lottery Gross Sales, Prizes, Agent Commissions and Transfers</t>
  </si>
  <si>
    <t>Fiscal Year</t>
  </si>
  <si>
    <t>Game</t>
  </si>
  <si>
    <t>Gross Sales</t>
  </si>
  <si>
    <t>Prizes</t>
  </si>
  <si>
    <t>Agent Commissions</t>
  </si>
  <si>
    <t>Transfers to the General Fund</t>
  </si>
  <si>
    <t>Percent</t>
  </si>
  <si>
    <t>1979</t>
  </si>
  <si>
    <t>Weekly</t>
  </si>
  <si>
    <t>Instant</t>
  </si>
  <si>
    <t>Daily</t>
  </si>
  <si>
    <t>Total</t>
  </si>
  <si>
    <t>1980</t>
  </si>
  <si>
    <t>1981</t>
  </si>
  <si>
    <t>1982</t>
  </si>
  <si>
    <t>1983</t>
  </si>
  <si>
    <t>1984</t>
  </si>
  <si>
    <t>Lotto</t>
  </si>
  <si>
    <t>1985</t>
  </si>
  <si>
    <t>1986</t>
  </si>
  <si>
    <t>1987</t>
  </si>
  <si>
    <t>1988</t>
  </si>
  <si>
    <t>1989</t>
  </si>
  <si>
    <t>1990</t>
  </si>
  <si>
    <t>1991</t>
  </si>
  <si>
    <t>1992</t>
  </si>
  <si>
    <t>Cash Lotto</t>
  </si>
  <si>
    <t>1993</t>
  </si>
  <si>
    <t>1994</t>
  </si>
  <si>
    <t>1995</t>
  </si>
  <si>
    <t>1996</t>
  </si>
  <si>
    <t>Cash 5</t>
  </si>
  <si>
    <t>Powerball</t>
  </si>
  <si>
    <t>1997(1)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</si>
  <si>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</si>
  <si>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</si>
  <si>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</si>
  <si>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</si>
  <si>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</si>
  <si>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</si>
  <si>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</si>
  <si>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</si>
  <si>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</si>
  <si>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</si>
  <si>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</si>
  <si>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</si>
  <si>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Lucky-4-Life</t>
  </si>
  <si>
    <t>2010</t>
  </si>
  <si>
    <t>Mega Millions</t>
  </si>
  <si>
    <t>2011</t>
  </si>
  <si>
    <t>CSD</t>
  </si>
  <si>
    <t>2012</t>
  </si>
  <si>
    <t>2013</t>
  </si>
  <si>
    <t>2014</t>
  </si>
  <si>
    <t>Lucky For Life</t>
  </si>
  <si>
    <t>5 Card Cash</t>
  </si>
  <si>
    <t>2015</t>
  </si>
  <si>
    <t>Lucky Links</t>
  </si>
  <si>
    <t>2016</t>
  </si>
  <si>
    <t>Keno</t>
  </si>
  <si>
    <t>2017</t>
  </si>
  <si>
    <t>2018</t>
  </si>
  <si>
    <t>CT Sup Draw</t>
  </si>
  <si>
    <t>2019</t>
  </si>
  <si>
    <t>2020</t>
  </si>
  <si>
    <t>2021</t>
  </si>
  <si>
    <t>Notes:</t>
  </si>
  <si>
    <t>(1)  P.A. 96-212, effective July 1, 1996, established the Connecticut Lottery Corporation (CLC) to operate and</t>
  </si>
  <si>
    <t xml:space="preserve">      manage the lottery.  The fiscal year 1997 thru 2014 figures are from the CLC's audited financial statements, </t>
  </si>
  <si>
    <t xml:space="preserve">      which show General Fund transfers as one lump sum rather than by game.  The CLC also maintains its</t>
  </si>
  <si>
    <t xml:space="preserve">      books on an accrual basis in accordance with generally accepted accounting principles (GAAP) for governmental</t>
  </si>
  <si>
    <t xml:space="preserve">      enterprise funds, which is similar to private business enterprise accounting.  Accordingly, the Instant game sales</t>
  </si>
  <si>
    <t xml:space="preserve">      total includes an accrual for partially sold ticket packs that have been activated by agents, and General Fund</t>
  </si>
  <si>
    <t xml:space="preserve">      transfers are shown net of operating expenses.  (The Division of Special Revenue, which operated the lottery </t>
  </si>
  <si>
    <t xml:space="preserve">      until June 30, 1996, maintained its records on the modified accrual, fund accounting basis used by the State of</t>
  </si>
  <si>
    <t xml:space="preserve">      Connecticut.  Using this method, Instant sales were recorded on a cash basis as fully sold packs were "settled" </t>
  </si>
  <si>
    <t xml:space="preserve">      by agents, and General Fund transfers were shown without regard to most operating expenses, which were </t>
  </si>
  <si>
    <t xml:space="preserve">      charged to a different fund from that used to record sales.)</t>
  </si>
  <si>
    <t xml:space="preserve">      Section 12-812 of the Connecticut General Statutes provides that the balance in the lottery fund which exceeds</t>
  </si>
  <si>
    <t xml:space="preserve">      the current needs of the corporation for the payment of prizes, the payment of current operating expenses and</t>
  </si>
  <si>
    <t xml:space="preserve">      funding of approved reserves of the corporation be transferred to the General Fund.</t>
  </si>
  <si>
    <t>(2) Total Transfers to the General Fund have been rounded.</t>
  </si>
  <si>
    <t>n/a</t>
  </si>
  <si>
    <t>Fast Play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</si>
</sst>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2" formatCode="_(&quot;$&quot;* #,##0_);_(&quot;$&quot;* \(#,##0\);_(&quot;$&quot;* &quot;-&quot;_);_(@_)"/>
    <numFmt numFmtId="164" formatCode="&quot;$&quot;#,##0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49" fontId="1" fillId="0" borderId="0" xfId="0" applyNumberFormat="1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164" fontId="1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0" applyNumberFormat="1" applyBorder="1"/>
    <xf numFmtId="165" fontId="0" fillId="0" borderId="2" xfId="0" applyNumberFormat="1" applyBorder="1"/>
    <xf numFmtId="49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3" xfId="0" applyNumberFormat="1" applyBorder="1"/>
    <xf numFmtId="165" fontId="0" fillId="0" borderId="3" xfId="0" applyNumberFormat="1" applyBorder="1"/>
    <xf numFmtId="49" fontId="0" fillId="0" borderId="2" xfId="0" applyNumberFormat="1" applyBorder="1"/>
    <xf numFmtId="49" fontId="0" fillId="0" borderId="3" xfId="0" applyNumberFormat="1" applyBorder="1"/>
    <xf numFmtId="49" fontId="2" fillId="0" borderId="2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3" xfId="0" applyNumberFormat="1" applyFont="1" applyBorder="1"/>
    <xf numFmtId="49" fontId="0" fillId="0" borderId="4" xfId="0" applyNumberFormat="1" applyBorder="1" applyAlignment="1">
      <alignment horizontal="center"/>
    </xf>
    <xf numFmtId="164" fontId="2" fillId="0" borderId="0" xfId="0" applyNumberFormat="1" applyFont="1"/>
    <xf numFmtId="164" fontId="2" fillId="0" borderId="5" xfId="0" applyNumberFormat="1" applyFont="1" applyBorder="1"/>
    <xf numFmtId="164" fontId="2" fillId="0" borderId="6" xfId="0" applyNumberFormat="1" applyFont="1" applyBorder="1"/>
    <xf numFmtId="164" fontId="2" fillId="0" borderId="7" xfId="0" applyNumberFormat="1" applyFont="1" applyBorder="1"/>
    <xf numFmtId="164" fontId="2" fillId="0" borderId="8" xfId="0" applyNumberFormat="1" applyFont="1" applyBorder="1"/>
    <xf numFmtId="164" fontId="2" fillId="0" borderId="4" xfId="0" applyNumberFormat="1" applyFont="1" applyBorder="1"/>
    <xf numFmtId="164" fontId="2" fillId="0" borderId="9" xfId="0" applyNumberFormat="1" applyFont="1" applyBorder="1"/>
    <xf numFmtId="49" fontId="0" fillId="0" borderId="5" xfId="0" applyNumberFormat="1" applyBorder="1" applyAlignment="1">
      <alignment horizontal="center"/>
    </xf>
    <xf numFmtId="164" fontId="2" fillId="0" borderId="10" xfId="0" applyNumberFormat="1" applyFont="1" applyBorder="1"/>
    <xf numFmtId="49" fontId="0" fillId="0" borderId="6" xfId="0" applyNumberFormat="1" applyBorder="1" applyAlignment="1">
      <alignment horizontal="center"/>
    </xf>
    <xf numFmtId="164" fontId="2" fillId="0" borderId="2" xfId="0" applyNumberFormat="1" applyFont="1" applyBorder="1"/>
    <xf numFmtId="164" fontId="2" fillId="0" borderId="11" xfId="0" applyNumberFormat="1" applyFont="1" applyBorder="1"/>
    <xf numFmtId="164" fontId="2" fillId="0" borderId="12" xfId="0" applyNumberFormat="1" applyFont="1" applyBorder="1"/>
    <xf numFmtId="49" fontId="2" fillId="0" borderId="6" xfId="0" applyNumberFormat="1" applyFont="1" applyBorder="1" applyAlignment="1">
      <alignment horizontal="center"/>
    </xf>
    <xf numFmtId="164" fontId="2" fillId="0" borderId="4" xfId="0" applyNumberFormat="1" applyFont="1" applyBorder="1" applyProtection="1">
      <protection locked="0"/>
    </xf>
    <xf numFmtId="164" fontId="2" fillId="0" borderId="2" xfId="0" applyNumberFormat="1" applyFont="1" applyBorder="1" applyProtection="1">
      <protection locked="0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/>
    <xf numFmtId="49" fontId="2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165" fontId="0" fillId="0" borderId="4" xfId="0" applyNumberFormat="1" applyBorder="1"/>
    <xf numFmtId="49" fontId="0" fillId="0" borderId="6" xfId="0" applyNumberFormat="1" applyBorder="1"/>
    <xf numFmtId="0" fontId="0" fillId="0" borderId="6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8" xfId="0" applyBorder="1" applyAlignment="1">
      <alignment horizontal="center"/>
    </xf>
    <xf numFmtId="49" fontId="0" fillId="0" borderId="0" xfId="0" applyNumberFormat="1"/>
    <xf numFmtId="164" fontId="3" fillId="0" borderId="0" xfId="0" applyNumberFormat="1" applyFont="1"/>
    <xf numFmtId="0" fontId="0" fillId="0" borderId="4" xfId="0" applyBorder="1" applyAlignment="1">
      <alignment horizontal="center"/>
    </xf>
    <xf numFmtId="165" fontId="2" fillId="0" borderId="0" xfId="0" applyNumberFormat="1" applyFont="1"/>
    <xf numFmtId="164" fontId="2" fillId="2" borderId="4" xfId="0" applyNumberFormat="1" applyFont="1" applyFill="1" applyBorder="1"/>
    <xf numFmtId="164" fontId="2" fillId="2" borderId="2" xfId="0" applyNumberFormat="1" applyFont="1" applyFill="1" applyBorder="1"/>
    <xf numFmtId="164" fontId="2" fillId="2" borderId="3" xfId="0" applyNumberFormat="1" applyFont="1" applyFill="1" applyBorder="1"/>
    <xf numFmtId="164" fontId="2" fillId="2" borderId="0" xfId="0" applyNumberFormat="1" applyFont="1" applyFill="1"/>
    <xf numFmtId="0" fontId="3" fillId="0" borderId="0" xfId="0" applyFont="1"/>
    <xf numFmtId="165" fontId="3" fillId="0" borderId="0" xfId="0" applyNumberFormat="1" applyFont="1"/>
    <xf numFmtId="164" fontId="0" fillId="0" borderId="0" xfId="0" applyNumberFormat="1"/>
    <xf numFmtId="6" fontId="2" fillId="2" borderId="2" xfId="0" applyNumberFormat="1" applyFont="1" applyFill="1" applyBorder="1"/>
    <xf numFmtId="165" fontId="0" fillId="0" borderId="4" xfId="0" applyNumberFormat="1" applyBorder="1" applyAlignment="1">
      <alignment horizontal="right"/>
    </xf>
    <xf numFmtId="165" fontId="0" fillId="0" borderId="1" xfId="0" applyNumberFormat="1" applyBorder="1"/>
    <xf numFmtId="4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36314-2E4B-49BF-A1AF-975955CD962E}">
  <dimension ref="A1:L323"/>
  <sheetViews>
    <sheetView tabSelected="1" topLeftCell="A271" workbookViewId="0">
      <selection activeCell="C301" sqref="C301"/>
    </sheetView>
  </sheetViews>
  <sheetFormatPr defaultRowHeight="15" x14ac:dyDescent="0.25"/>
  <cols>
    <col min="2" max="2" width="14.5703125" customWidth="1"/>
    <col min="3" max="3" width="15" customWidth="1"/>
    <col min="4" max="4" width="15.42578125" customWidth="1"/>
    <col min="5" max="5" width="14" customWidth="1"/>
    <col min="6" max="6" width="17.7109375" customWidth="1"/>
  </cols>
  <sheetData>
    <row r="1" spans="1:7" x14ac:dyDescent="0.25">
      <c r="A1" s="1" t="s">
        <v>0</v>
      </c>
      <c r="B1" s="2"/>
      <c r="C1" s="3"/>
      <c r="D1" s="3"/>
      <c r="E1" s="3"/>
      <c r="F1" s="4"/>
      <c r="G1" s="4"/>
    </row>
    <row r="2" spans="1:7" ht="30" x14ac:dyDescent="0.25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10" t="s">
        <v>7</v>
      </c>
    </row>
    <row r="3" spans="1:7" x14ac:dyDescent="0.25">
      <c r="A3" s="11" t="s">
        <v>8</v>
      </c>
      <c r="B3" s="12" t="s">
        <v>9</v>
      </c>
      <c r="C3" s="13">
        <v>12871166</v>
      </c>
      <c r="D3" s="13">
        <v>7953527</v>
      </c>
      <c r="E3" s="13">
        <v>605841</v>
      </c>
      <c r="F3" s="13">
        <v>3917000</v>
      </c>
      <c r="G3" s="14">
        <f>SUM(F3/C3)</f>
        <v>0.30432363315025229</v>
      </c>
    </row>
    <row r="4" spans="1:7" x14ac:dyDescent="0.25">
      <c r="A4" s="11"/>
      <c r="B4" s="12" t="s">
        <v>10</v>
      </c>
      <c r="C4" s="13">
        <v>49725859</v>
      </c>
      <c r="D4" s="13">
        <v>26749512</v>
      </c>
      <c r="E4" s="13">
        <v>2649310</v>
      </c>
      <c r="F4" s="13">
        <v>18200000</v>
      </c>
      <c r="G4" s="14">
        <f t="shared" ref="G4:G67" si="0">SUM(F4/C4)</f>
        <v>0.36600674912423331</v>
      </c>
    </row>
    <row r="5" spans="1:7" x14ac:dyDescent="0.25">
      <c r="A5" s="11"/>
      <c r="B5" s="12" t="s">
        <v>11</v>
      </c>
      <c r="C5" s="13">
        <v>58327191</v>
      </c>
      <c r="D5" s="13">
        <v>33334646</v>
      </c>
      <c r="E5" s="13">
        <v>2915308</v>
      </c>
      <c r="F5" s="13">
        <v>21000000</v>
      </c>
      <c r="G5" s="14">
        <f t="shared" si="0"/>
        <v>0.3600379109633447</v>
      </c>
    </row>
    <row r="6" spans="1:7" x14ac:dyDescent="0.25">
      <c r="A6" s="15"/>
      <c r="B6" s="16" t="s">
        <v>12</v>
      </c>
      <c r="C6" s="17">
        <f>SUM(C3:C5)</f>
        <v>120924216</v>
      </c>
      <c r="D6" s="17">
        <f>SUM(D3:D5)</f>
        <v>68037685</v>
      </c>
      <c r="E6" s="17">
        <f>SUM(E3:E5)</f>
        <v>6170459</v>
      </c>
      <c r="F6" s="17">
        <f>SUM(F3:F5)</f>
        <v>43117000</v>
      </c>
      <c r="G6" s="18">
        <f t="shared" si="0"/>
        <v>0.35656216286736148</v>
      </c>
    </row>
    <row r="7" spans="1:7" x14ac:dyDescent="0.25">
      <c r="A7" s="11" t="s">
        <v>13</v>
      </c>
      <c r="B7" s="12" t="s">
        <v>9</v>
      </c>
      <c r="C7" s="13">
        <v>11525566</v>
      </c>
      <c r="D7" s="13">
        <v>7203548</v>
      </c>
      <c r="E7" s="13">
        <v>543883</v>
      </c>
      <c r="F7" s="13">
        <v>3500000</v>
      </c>
      <c r="G7" s="14">
        <f t="shared" si="0"/>
        <v>0.30367272201642853</v>
      </c>
    </row>
    <row r="8" spans="1:7" x14ac:dyDescent="0.25">
      <c r="A8" s="11"/>
      <c r="B8" s="12" t="s">
        <v>10</v>
      </c>
      <c r="C8" s="13">
        <v>45505590</v>
      </c>
      <c r="D8" s="13">
        <v>25011521</v>
      </c>
      <c r="E8" s="13">
        <v>2301209</v>
      </c>
      <c r="F8" s="13">
        <v>17735048</v>
      </c>
      <c r="G8" s="14">
        <f t="shared" si="0"/>
        <v>0.38973339319411088</v>
      </c>
    </row>
    <row r="9" spans="1:7" x14ac:dyDescent="0.25">
      <c r="A9" s="11"/>
      <c r="B9" s="12" t="s">
        <v>11</v>
      </c>
      <c r="C9" s="13">
        <v>73167966</v>
      </c>
      <c r="D9" s="13">
        <v>39837734</v>
      </c>
      <c r="E9" s="13">
        <v>3647986</v>
      </c>
      <c r="F9" s="13">
        <v>33300000</v>
      </c>
      <c r="G9" s="14">
        <f t="shared" si="0"/>
        <v>0.45511720252002086</v>
      </c>
    </row>
    <row r="10" spans="1:7" x14ac:dyDescent="0.25">
      <c r="A10" s="15"/>
      <c r="B10" s="16" t="s">
        <v>12</v>
      </c>
      <c r="C10" s="17">
        <f>SUM(C7:C9)</f>
        <v>130199122</v>
      </c>
      <c r="D10" s="17">
        <f>SUM(D7:D9)</f>
        <v>72052803</v>
      </c>
      <c r="E10" s="17">
        <f>SUM(E7:E9)</f>
        <v>6493078</v>
      </c>
      <c r="F10" s="17">
        <f>SUM(F7:F9)</f>
        <v>54535048</v>
      </c>
      <c r="G10" s="18">
        <f t="shared" si="0"/>
        <v>0.41885879998484166</v>
      </c>
    </row>
    <row r="11" spans="1:7" x14ac:dyDescent="0.25">
      <c r="A11" s="11" t="s">
        <v>14</v>
      </c>
      <c r="B11" s="12" t="s">
        <v>9</v>
      </c>
      <c r="C11" s="13">
        <v>10103356</v>
      </c>
      <c r="D11" s="13">
        <v>7636663</v>
      </c>
      <c r="E11" s="13">
        <v>476104</v>
      </c>
      <c r="F11" s="13">
        <v>1503000</v>
      </c>
      <c r="G11" s="14">
        <f t="shared" si="0"/>
        <v>0.1487624508133733</v>
      </c>
    </row>
    <row r="12" spans="1:7" x14ac:dyDescent="0.25">
      <c r="A12" s="11"/>
      <c r="B12" s="12" t="s">
        <v>10</v>
      </c>
      <c r="C12" s="13">
        <v>56162297</v>
      </c>
      <c r="D12" s="13">
        <v>30511317</v>
      </c>
      <c r="E12" s="13">
        <v>3030895</v>
      </c>
      <c r="F12" s="13">
        <v>21500000</v>
      </c>
      <c r="G12" s="14">
        <f t="shared" si="0"/>
        <v>0.38281910015183318</v>
      </c>
    </row>
    <row r="13" spans="1:7" x14ac:dyDescent="0.25">
      <c r="A13" s="11"/>
      <c r="B13" s="12" t="s">
        <v>11</v>
      </c>
      <c r="C13" s="13">
        <v>84695066</v>
      </c>
      <c r="D13" s="13">
        <v>43215903</v>
      </c>
      <c r="E13" s="13">
        <v>4194533</v>
      </c>
      <c r="F13" s="13">
        <v>34650000</v>
      </c>
      <c r="G13" s="14">
        <f t="shared" si="0"/>
        <v>0.40911474111136531</v>
      </c>
    </row>
    <row r="14" spans="1:7" x14ac:dyDescent="0.25">
      <c r="A14" s="15"/>
      <c r="B14" s="16" t="s">
        <v>12</v>
      </c>
      <c r="C14" s="17">
        <f>SUM(C11:C13)</f>
        <v>150960719</v>
      </c>
      <c r="D14" s="17">
        <f>SUM(D11:D13)</f>
        <v>81363883</v>
      </c>
      <c r="E14" s="17">
        <f>SUM(E11:E13)</f>
        <v>7701532</v>
      </c>
      <c r="F14" s="17">
        <f>SUM(F11:F13)</f>
        <v>57653000</v>
      </c>
      <c r="G14" s="18">
        <f t="shared" si="0"/>
        <v>0.38190729602977053</v>
      </c>
    </row>
    <row r="15" spans="1:7" x14ac:dyDescent="0.25">
      <c r="A15" s="11" t="s">
        <v>15</v>
      </c>
      <c r="B15" s="12" t="s">
        <v>9</v>
      </c>
      <c r="C15" s="13">
        <v>10374509</v>
      </c>
      <c r="D15" s="13">
        <v>6966956</v>
      </c>
      <c r="E15" s="13">
        <v>492785</v>
      </c>
      <c r="F15" s="13">
        <v>2400000</v>
      </c>
      <c r="G15" s="14">
        <f t="shared" si="0"/>
        <v>0.23133624926249521</v>
      </c>
    </row>
    <row r="16" spans="1:7" x14ac:dyDescent="0.25">
      <c r="A16" s="11"/>
      <c r="B16" s="12" t="s">
        <v>10</v>
      </c>
      <c r="C16" s="13">
        <v>53811277</v>
      </c>
      <c r="D16" s="13">
        <v>27853078</v>
      </c>
      <c r="E16" s="13">
        <v>2904746</v>
      </c>
      <c r="F16" s="13">
        <v>21800000</v>
      </c>
      <c r="G16" s="14">
        <f t="shared" si="0"/>
        <v>0.40511954399446792</v>
      </c>
    </row>
    <row r="17" spans="1:7" x14ac:dyDescent="0.25">
      <c r="A17" s="11"/>
      <c r="B17" s="12" t="s">
        <v>11</v>
      </c>
      <c r="C17" s="13">
        <v>105858579</v>
      </c>
      <c r="D17" s="13">
        <v>52954867</v>
      </c>
      <c r="E17" s="13">
        <v>5244059</v>
      </c>
      <c r="F17" s="13">
        <v>46800000</v>
      </c>
      <c r="G17" s="14">
        <f t="shared" si="0"/>
        <v>0.44209926528486654</v>
      </c>
    </row>
    <row r="18" spans="1:7" x14ac:dyDescent="0.25">
      <c r="A18" s="15"/>
      <c r="B18" s="16" t="s">
        <v>12</v>
      </c>
      <c r="C18" s="17">
        <f>SUM(C15:C17)</f>
        <v>170044365</v>
      </c>
      <c r="D18" s="17">
        <f>SUM(D15:D17)</f>
        <v>87774901</v>
      </c>
      <c r="E18" s="17">
        <f>SUM(E15:E17)</f>
        <v>8641590</v>
      </c>
      <c r="F18" s="17">
        <f>SUM(F15:F17)</f>
        <v>71000000</v>
      </c>
      <c r="G18" s="18">
        <f t="shared" si="0"/>
        <v>0.41753809366161587</v>
      </c>
    </row>
    <row r="19" spans="1:7" x14ac:dyDescent="0.25">
      <c r="A19" s="11" t="s">
        <v>16</v>
      </c>
      <c r="B19" s="12" t="s">
        <v>9</v>
      </c>
      <c r="C19" s="13">
        <v>14169658</v>
      </c>
      <c r="D19" s="13">
        <v>8441000</v>
      </c>
      <c r="E19" s="13">
        <v>670000</v>
      </c>
      <c r="F19" s="13">
        <v>4100000</v>
      </c>
      <c r="G19" s="14">
        <f t="shared" si="0"/>
        <v>0.28935066746141652</v>
      </c>
    </row>
    <row r="20" spans="1:7" x14ac:dyDescent="0.25">
      <c r="A20" s="11"/>
      <c r="B20" s="12" t="s">
        <v>10</v>
      </c>
      <c r="C20" s="13">
        <v>56039768</v>
      </c>
      <c r="D20" s="13">
        <v>28882000</v>
      </c>
      <c r="E20" s="13">
        <v>3014000</v>
      </c>
      <c r="F20" s="13">
        <v>22825000</v>
      </c>
      <c r="G20" s="14">
        <f t="shared" si="0"/>
        <v>0.40730004449697221</v>
      </c>
    </row>
    <row r="21" spans="1:7" x14ac:dyDescent="0.25">
      <c r="A21" s="11"/>
      <c r="B21" s="12" t="s">
        <v>11</v>
      </c>
      <c r="C21" s="13">
        <v>118462919</v>
      </c>
      <c r="D21" s="13">
        <v>56423000</v>
      </c>
      <c r="E21" s="13">
        <v>5918000</v>
      </c>
      <c r="F21" s="13">
        <v>53575000</v>
      </c>
      <c r="G21" s="14">
        <f t="shared" si="0"/>
        <v>0.45225122301772758</v>
      </c>
    </row>
    <row r="22" spans="1:7" x14ac:dyDescent="0.25">
      <c r="A22" s="15"/>
      <c r="B22" s="16" t="s">
        <v>12</v>
      </c>
      <c r="C22" s="17">
        <f>SUM(C19:C21)</f>
        <v>188672345</v>
      </c>
      <c r="D22" s="17">
        <f>SUM(D19:D21)</f>
        <v>93746000</v>
      </c>
      <c r="E22" s="17">
        <f>SUM(E19:E21)</f>
        <v>9602000</v>
      </c>
      <c r="F22" s="17">
        <f>SUM(F19:F21)</f>
        <v>80500000</v>
      </c>
      <c r="G22" s="18">
        <f t="shared" si="0"/>
        <v>0.42666560380112939</v>
      </c>
    </row>
    <row r="23" spans="1:7" x14ac:dyDescent="0.25">
      <c r="A23" s="11" t="s">
        <v>17</v>
      </c>
      <c r="B23" s="12" t="s">
        <v>9</v>
      </c>
      <c r="C23" s="13">
        <v>11824652</v>
      </c>
      <c r="D23" s="13">
        <v>8417000</v>
      </c>
      <c r="E23" s="13">
        <v>536000</v>
      </c>
      <c r="F23" s="13">
        <v>2975000</v>
      </c>
      <c r="G23" s="14">
        <f t="shared" si="0"/>
        <v>0.25159302785401211</v>
      </c>
    </row>
    <row r="24" spans="1:7" x14ac:dyDescent="0.25">
      <c r="A24" s="11"/>
      <c r="B24" s="12" t="s">
        <v>10</v>
      </c>
      <c r="C24" s="13">
        <v>67029466</v>
      </c>
      <c r="D24" s="13">
        <v>36450000</v>
      </c>
      <c r="E24" s="13">
        <v>3617000</v>
      </c>
      <c r="F24" s="13">
        <v>24700000</v>
      </c>
      <c r="G24" s="14">
        <f t="shared" si="0"/>
        <v>0.36849465576825569</v>
      </c>
    </row>
    <row r="25" spans="1:7" x14ac:dyDescent="0.25">
      <c r="A25" s="11"/>
      <c r="B25" s="12" t="s">
        <v>11</v>
      </c>
      <c r="C25" s="13">
        <v>131497615</v>
      </c>
      <c r="D25" s="13">
        <v>66017000</v>
      </c>
      <c r="E25" s="13">
        <v>6572000</v>
      </c>
      <c r="F25" s="13">
        <v>59000000</v>
      </c>
      <c r="G25" s="14">
        <f t="shared" si="0"/>
        <v>0.44867733912892643</v>
      </c>
    </row>
    <row r="26" spans="1:7" x14ac:dyDescent="0.25">
      <c r="A26" s="11"/>
      <c r="B26" s="12" t="s">
        <v>18</v>
      </c>
      <c r="C26" s="13">
        <v>44062100</v>
      </c>
      <c r="D26" s="13">
        <v>21966000</v>
      </c>
      <c r="E26" s="13">
        <v>2205000</v>
      </c>
      <c r="F26" s="13">
        <v>18750000</v>
      </c>
      <c r="G26" s="14">
        <f t="shared" si="0"/>
        <v>0.42553577791344488</v>
      </c>
    </row>
    <row r="27" spans="1:7" x14ac:dyDescent="0.25">
      <c r="A27" s="15"/>
      <c r="B27" s="16" t="s">
        <v>12</v>
      </c>
      <c r="C27" s="17">
        <f>SUM(C23:C26)</f>
        <v>254413833</v>
      </c>
      <c r="D27" s="17">
        <f>SUM(D23:D26)</f>
        <v>132850000</v>
      </c>
      <c r="E27" s="17">
        <f>SUM(E23:E26)</f>
        <v>12930000</v>
      </c>
      <c r="F27" s="17">
        <f>SUM(F23:F26)</f>
        <v>105425000</v>
      </c>
      <c r="G27" s="18">
        <f t="shared" si="0"/>
        <v>0.41438391441553418</v>
      </c>
    </row>
    <row r="28" spans="1:7" x14ac:dyDescent="0.25">
      <c r="A28" s="11" t="s">
        <v>19</v>
      </c>
      <c r="B28" s="12" t="s">
        <v>9</v>
      </c>
      <c r="C28" s="13">
        <v>7334605</v>
      </c>
      <c r="D28" s="13">
        <v>0</v>
      </c>
      <c r="E28" s="13">
        <v>0</v>
      </c>
      <c r="F28" s="13">
        <v>0</v>
      </c>
      <c r="G28" s="14">
        <f t="shared" si="0"/>
        <v>0</v>
      </c>
    </row>
    <row r="29" spans="1:7" x14ac:dyDescent="0.25">
      <c r="A29" s="11"/>
      <c r="B29" s="12" t="s">
        <v>10</v>
      </c>
      <c r="C29" s="13">
        <v>74473823</v>
      </c>
      <c r="D29" s="13">
        <v>42353000</v>
      </c>
      <c r="E29" s="13">
        <v>4017000</v>
      </c>
      <c r="F29" s="13">
        <v>31300000</v>
      </c>
      <c r="G29" s="14">
        <f t="shared" si="0"/>
        <v>0.42028190227323231</v>
      </c>
    </row>
    <row r="30" spans="1:7" x14ac:dyDescent="0.25">
      <c r="A30" s="11"/>
      <c r="B30" s="12" t="s">
        <v>11</v>
      </c>
      <c r="C30" s="13">
        <v>144166658</v>
      </c>
      <c r="D30" s="13">
        <v>71551000</v>
      </c>
      <c r="E30" s="13">
        <v>7210000</v>
      </c>
      <c r="F30" s="13">
        <v>64500000</v>
      </c>
      <c r="G30" s="14">
        <f t="shared" si="0"/>
        <v>0.44739887082629048</v>
      </c>
    </row>
    <row r="31" spans="1:7" x14ac:dyDescent="0.25">
      <c r="A31" s="11"/>
      <c r="B31" s="12" t="s">
        <v>18</v>
      </c>
      <c r="C31" s="13">
        <v>118481848</v>
      </c>
      <c r="D31" s="13">
        <v>58920000</v>
      </c>
      <c r="E31" s="13">
        <v>5936000</v>
      </c>
      <c r="F31" s="13">
        <v>53000000</v>
      </c>
      <c r="G31" s="14">
        <f t="shared" si="0"/>
        <v>0.44732590599025768</v>
      </c>
    </row>
    <row r="32" spans="1:7" x14ac:dyDescent="0.25">
      <c r="A32" s="15"/>
      <c r="B32" s="16" t="s">
        <v>12</v>
      </c>
      <c r="C32" s="17">
        <f>SUM(C28:C31)</f>
        <v>344456934</v>
      </c>
      <c r="D32" s="17">
        <f>SUM(D28:D31)</f>
        <v>172824000</v>
      </c>
      <c r="E32" s="17">
        <f>SUM(E28:E31)</f>
        <v>17163000</v>
      </c>
      <c r="F32" s="17">
        <f>SUM(F29:F31)</f>
        <v>148800000</v>
      </c>
      <c r="G32" s="18">
        <f t="shared" si="0"/>
        <v>0.43198433624796767</v>
      </c>
    </row>
    <row r="33" spans="1:7" x14ac:dyDescent="0.25">
      <c r="A33" s="11" t="s">
        <v>20</v>
      </c>
      <c r="B33" s="12" t="s">
        <v>10</v>
      </c>
      <c r="C33" s="13">
        <v>75370000</v>
      </c>
      <c r="D33" s="13">
        <v>40411000</v>
      </c>
      <c r="E33" s="13">
        <v>4065000</v>
      </c>
      <c r="F33" s="13">
        <v>30500000</v>
      </c>
      <c r="G33" s="14">
        <f t="shared" si="0"/>
        <v>0.40467029322011411</v>
      </c>
    </row>
    <row r="34" spans="1:7" x14ac:dyDescent="0.25">
      <c r="A34" s="11"/>
      <c r="B34" s="12" t="s">
        <v>11</v>
      </c>
      <c r="C34" s="13">
        <v>152562000</v>
      </c>
      <c r="D34" s="13">
        <v>74735000</v>
      </c>
      <c r="E34" s="13">
        <v>7632000</v>
      </c>
      <c r="F34" s="13">
        <v>67700000</v>
      </c>
      <c r="G34" s="14">
        <f t="shared" si="0"/>
        <v>0.44375401476121185</v>
      </c>
    </row>
    <row r="35" spans="1:7" x14ac:dyDescent="0.25">
      <c r="A35" s="11"/>
      <c r="B35" s="12" t="s">
        <v>18</v>
      </c>
      <c r="C35" s="13">
        <v>201180000</v>
      </c>
      <c r="D35" s="13">
        <v>98144000</v>
      </c>
      <c r="E35" s="13">
        <v>10080000</v>
      </c>
      <c r="F35" s="13">
        <v>92650000</v>
      </c>
      <c r="G35" s="14">
        <f t="shared" si="0"/>
        <v>0.46053285614872252</v>
      </c>
    </row>
    <row r="36" spans="1:7" x14ac:dyDescent="0.25">
      <c r="A36" s="15"/>
      <c r="B36" s="16" t="s">
        <v>12</v>
      </c>
      <c r="C36" s="17">
        <f>SUM(C33:C35)</f>
        <v>429112000</v>
      </c>
      <c r="D36" s="17">
        <f>SUM(D33:D35)</f>
        <v>213290000</v>
      </c>
      <c r="E36" s="17">
        <f>SUM(E33:E35)</f>
        <v>21777000</v>
      </c>
      <c r="F36" s="17">
        <f>SUM(F33:F35)</f>
        <v>190850000</v>
      </c>
      <c r="G36" s="18">
        <f t="shared" si="0"/>
        <v>0.44475568150040085</v>
      </c>
    </row>
    <row r="37" spans="1:7" x14ac:dyDescent="0.25">
      <c r="A37" s="11" t="s">
        <v>21</v>
      </c>
      <c r="B37" s="12" t="s">
        <v>10</v>
      </c>
      <c r="C37" s="13">
        <v>80744000</v>
      </c>
      <c r="D37" s="13">
        <v>43349000</v>
      </c>
      <c r="E37" s="13">
        <v>4356000</v>
      </c>
      <c r="F37" s="13">
        <v>33600000</v>
      </c>
      <c r="G37" s="14">
        <f t="shared" si="0"/>
        <v>0.41612999108292875</v>
      </c>
    </row>
    <row r="38" spans="1:7" x14ac:dyDescent="0.25">
      <c r="A38" s="11"/>
      <c r="B38" s="12" t="s">
        <v>11</v>
      </c>
      <c r="C38" s="13">
        <v>162070000</v>
      </c>
      <c r="D38" s="13">
        <v>83598000</v>
      </c>
      <c r="E38" s="13">
        <v>8102000</v>
      </c>
      <c r="F38" s="13">
        <v>73100000</v>
      </c>
      <c r="G38" s="14">
        <f t="shared" si="0"/>
        <v>0.45103967421484542</v>
      </c>
    </row>
    <row r="39" spans="1:7" x14ac:dyDescent="0.25">
      <c r="A39" s="11"/>
      <c r="B39" s="12" t="s">
        <v>18</v>
      </c>
      <c r="C39" s="13">
        <v>246470000</v>
      </c>
      <c r="D39" s="13">
        <v>124142000</v>
      </c>
      <c r="E39" s="13">
        <v>12300000</v>
      </c>
      <c r="F39" s="13">
        <v>109400000</v>
      </c>
      <c r="G39" s="14">
        <f t="shared" si="0"/>
        <v>0.44386740779810929</v>
      </c>
    </row>
    <row r="40" spans="1:7" x14ac:dyDescent="0.25">
      <c r="A40" s="15"/>
      <c r="B40" s="16" t="s">
        <v>12</v>
      </c>
      <c r="C40" s="17">
        <f>SUM(C37:C39)</f>
        <v>489284000</v>
      </c>
      <c r="D40" s="17">
        <f>SUM(D37:D39)</f>
        <v>251089000</v>
      </c>
      <c r="E40" s="17">
        <f>SUM(E37:E39)</f>
        <v>24758000</v>
      </c>
      <c r="F40" s="17">
        <f>SUM(F37:F39)</f>
        <v>216100000</v>
      </c>
      <c r="G40" s="18">
        <f t="shared" si="0"/>
        <v>0.44166578101879483</v>
      </c>
    </row>
    <row r="41" spans="1:7" x14ac:dyDescent="0.25">
      <c r="A41" s="11" t="s">
        <v>22</v>
      </c>
      <c r="B41" s="12" t="s">
        <v>10</v>
      </c>
      <c r="C41" s="13">
        <v>79961000</v>
      </c>
      <c r="D41" s="13">
        <v>43528000</v>
      </c>
      <c r="E41" s="13">
        <v>4313000</v>
      </c>
      <c r="F41" s="13">
        <v>31000000</v>
      </c>
      <c r="G41" s="14">
        <f t="shared" si="0"/>
        <v>0.3876889983867135</v>
      </c>
    </row>
    <row r="42" spans="1:7" x14ac:dyDescent="0.25">
      <c r="A42" s="11"/>
      <c r="B42" s="12" t="s">
        <v>11</v>
      </c>
      <c r="C42" s="13">
        <v>175289000</v>
      </c>
      <c r="D42" s="13">
        <v>92054000</v>
      </c>
      <c r="E42" s="13">
        <v>8764000</v>
      </c>
      <c r="F42" s="13">
        <v>78900000</v>
      </c>
      <c r="G42" s="14">
        <f t="shared" si="0"/>
        <v>0.45011381204753292</v>
      </c>
    </row>
    <row r="43" spans="1:7" x14ac:dyDescent="0.25">
      <c r="A43" s="11"/>
      <c r="B43" s="12" t="s">
        <v>18</v>
      </c>
      <c r="C43" s="13">
        <v>259347000</v>
      </c>
      <c r="D43" s="13">
        <v>128539000</v>
      </c>
      <c r="E43" s="13">
        <v>12967000</v>
      </c>
      <c r="F43" s="13">
        <v>115100000</v>
      </c>
      <c r="G43" s="14">
        <f t="shared" si="0"/>
        <v>0.44380694590644965</v>
      </c>
    </row>
    <row r="44" spans="1:7" x14ac:dyDescent="0.25">
      <c r="A44" s="15"/>
      <c r="B44" s="16" t="s">
        <v>12</v>
      </c>
      <c r="C44" s="17">
        <f>SUM(C41:C43)</f>
        <v>514597000</v>
      </c>
      <c r="D44" s="17">
        <f>SUM(D41:D43)</f>
        <v>264121000</v>
      </c>
      <c r="E44" s="17">
        <f>SUM(E41:E43)</f>
        <v>26044000</v>
      </c>
      <c r="F44" s="17">
        <f>SUM(F41:F43)</f>
        <v>225000000</v>
      </c>
      <c r="G44" s="18">
        <f t="shared" si="0"/>
        <v>0.43723535115828505</v>
      </c>
    </row>
    <row r="45" spans="1:7" x14ac:dyDescent="0.25">
      <c r="A45" s="11" t="s">
        <v>23</v>
      </c>
      <c r="B45" s="12" t="s">
        <v>10</v>
      </c>
      <c r="C45" s="13">
        <v>72326000</v>
      </c>
      <c r="D45" s="13">
        <v>39021000</v>
      </c>
      <c r="E45" s="13">
        <v>3971000</v>
      </c>
      <c r="F45" s="13">
        <v>30100000</v>
      </c>
      <c r="G45" s="14">
        <f t="shared" si="0"/>
        <v>0.41617122473246138</v>
      </c>
    </row>
    <row r="46" spans="1:7" x14ac:dyDescent="0.25">
      <c r="A46" s="11"/>
      <c r="B46" s="12" t="s">
        <v>11</v>
      </c>
      <c r="C46" s="13">
        <v>186187000</v>
      </c>
      <c r="D46" s="13">
        <v>95358000</v>
      </c>
      <c r="E46" s="13">
        <v>9309000</v>
      </c>
      <c r="F46" s="13">
        <v>84150000</v>
      </c>
      <c r="G46" s="14">
        <f t="shared" si="0"/>
        <v>0.4519649599596105</v>
      </c>
    </row>
    <row r="47" spans="1:7" x14ac:dyDescent="0.25">
      <c r="A47" s="11"/>
      <c r="B47" s="12" t="s">
        <v>18</v>
      </c>
      <c r="C47" s="13">
        <v>236011000</v>
      </c>
      <c r="D47" s="13">
        <v>119474000</v>
      </c>
      <c r="E47" s="13">
        <v>11764000</v>
      </c>
      <c r="F47" s="13">
        <v>105400000</v>
      </c>
      <c r="G47" s="14">
        <f t="shared" si="0"/>
        <v>0.4465893538860477</v>
      </c>
    </row>
    <row r="48" spans="1:7" x14ac:dyDescent="0.25">
      <c r="A48" s="15"/>
      <c r="B48" s="16" t="s">
        <v>12</v>
      </c>
      <c r="C48" s="17">
        <f>SUM(C45:C47)</f>
        <v>494524000</v>
      </c>
      <c r="D48" s="17">
        <f>SUM(D45:D47)</f>
        <v>253853000</v>
      </c>
      <c r="E48" s="17">
        <f>SUM(E45:E47)</f>
        <v>25044000</v>
      </c>
      <c r="F48" s="17">
        <f>SUM(F45:F47)</f>
        <v>219650000</v>
      </c>
      <c r="G48" s="18">
        <f t="shared" si="0"/>
        <v>0.44416448948888226</v>
      </c>
    </row>
    <row r="49" spans="1:7" x14ac:dyDescent="0.25">
      <c r="A49" s="11" t="s">
        <v>24</v>
      </c>
      <c r="B49" s="12" t="s">
        <v>10</v>
      </c>
      <c r="C49" s="13">
        <v>94695000</v>
      </c>
      <c r="D49" s="13">
        <v>50382000</v>
      </c>
      <c r="E49" s="13">
        <v>5095000</v>
      </c>
      <c r="F49" s="13">
        <v>38950000</v>
      </c>
      <c r="G49" s="14">
        <f t="shared" si="0"/>
        <v>0.41132055546755375</v>
      </c>
    </row>
    <row r="50" spans="1:7" x14ac:dyDescent="0.25">
      <c r="A50" s="11"/>
      <c r="B50" s="12" t="s">
        <v>11</v>
      </c>
      <c r="C50" s="13">
        <v>197783000</v>
      </c>
      <c r="D50" s="13">
        <v>94197000</v>
      </c>
      <c r="E50" s="13">
        <v>9890000</v>
      </c>
      <c r="F50" s="13">
        <v>90000000</v>
      </c>
      <c r="G50" s="14">
        <f t="shared" si="0"/>
        <v>0.45504416456419411</v>
      </c>
    </row>
    <row r="51" spans="1:7" x14ac:dyDescent="0.25">
      <c r="A51" s="11"/>
      <c r="B51" s="12" t="s">
        <v>18</v>
      </c>
      <c r="C51" s="13">
        <v>232880000</v>
      </c>
      <c r="D51" s="13">
        <v>113769000</v>
      </c>
      <c r="E51" s="13">
        <v>11651000</v>
      </c>
      <c r="F51" s="13">
        <v>98700000</v>
      </c>
      <c r="G51" s="14">
        <f t="shared" si="0"/>
        <v>0.42382342837512882</v>
      </c>
    </row>
    <row r="52" spans="1:7" x14ac:dyDescent="0.25">
      <c r="A52" s="15"/>
      <c r="B52" s="16" t="s">
        <v>12</v>
      </c>
      <c r="C52" s="17">
        <f>SUM(C49:C51)</f>
        <v>525358000</v>
      </c>
      <c r="D52" s="17">
        <f>SUM(D49:D51)</f>
        <v>258348000</v>
      </c>
      <c r="E52" s="17">
        <f>SUM(E49:E51)</f>
        <v>26636000</v>
      </c>
      <c r="F52" s="17">
        <f>SUM(F49:F51)</f>
        <v>227650000</v>
      </c>
      <c r="G52" s="18">
        <f t="shared" si="0"/>
        <v>0.43332356221852525</v>
      </c>
    </row>
    <row r="53" spans="1:7" x14ac:dyDescent="0.25">
      <c r="A53" s="11" t="s">
        <v>25</v>
      </c>
      <c r="B53" s="12" t="s">
        <v>10</v>
      </c>
      <c r="C53" s="13">
        <v>120006000</v>
      </c>
      <c r="D53" s="13">
        <v>64745000</v>
      </c>
      <c r="E53" s="13">
        <v>6664000</v>
      </c>
      <c r="F53" s="13">
        <v>47900000</v>
      </c>
      <c r="G53" s="14">
        <f t="shared" si="0"/>
        <v>0.39914670933120011</v>
      </c>
    </row>
    <row r="54" spans="1:7" x14ac:dyDescent="0.25">
      <c r="A54" s="11"/>
      <c r="B54" s="12" t="s">
        <v>11</v>
      </c>
      <c r="C54" s="13">
        <v>191625000</v>
      </c>
      <c r="D54" s="13">
        <v>98470000</v>
      </c>
      <c r="E54" s="13">
        <v>9577000</v>
      </c>
      <c r="F54" s="13">
        <v>85500000</v>
      </c>
      <c r="G54" s="14">
        <f t="shared" si="0"/>
        <v>0.44618395303326808</v>
      </c>
    </row>
    <row r="55" spans="1:7" x14ac:dyDescent="0.25">
      <c r="A55" s="11"/>
      <c r="B55" s="12" t="s">
        <v>18</v>
      </c>
      <c r="C55" s="13">
        <v>219541000</v>
      </c>
      <c r="D55" s="13">
        <v>118082000</v>
      </c>
      <c r="E55" s="13">
        <v>10973000</v>
      </c>
      <c r="F55" s="13">
        <v>95200000</v>
      </c>
      <c r="G55" s="14">
        <f t="shared" si="0"/>
        <v>0.43363198673596276</v>
      </c>
    </row>
    <row r="56" spans="1:7" x14ac:dyDescent="0.25">
      <c r="A56" s="15"/>
      <c r="B56" s="16" t="s">
        <v>12</v>
      </c>
      <c r="C56" s="17">
        <f>SUM(C53:C55)</f>
        <v>531172000</v>
      </c>
      <c r="D56" s="17">
        <f>SUM(D53:D55)</f>
        <v>281297000</v>
      </c>
      <c r="E56" s="17">
        <f>SUM(E53:E55)</f>
        <v>27214000</v>
      </c>
      <c r="F56" s="17">
        <f>SUM(F53:F55)</f>
        <v>228600000</v>
      </c>
      <c r="G56" s="18">
        <f t="shared" si="0"/>
        <v>0.43036907065884494</v>
      </c>
    </row>
    <row r="57" spans="1:7" x14ac:dyDescent="0.25">
      <c r="A57" s="11" t="s">
        <v>26</v>
      </c>
      <c r="B57" s="12" t="s">
        <v>10</v>
      </c>
      <c r="C57" s="13">
        <v>119752000</v>
      </c>
      <c r="D57" s="13">
        <v>72314000</v>
      </c>
      <c r="E57" s="13">
        <v>6873000</v>
      </c>
      <c r="F57" s="13">
        <v>38750000</v>
      </c>
      <c r="G57" s="14">
        <f t="shared" si="0"/>
        <v>0.32358540984701717</v>
      </c>
    </row>
    <row r="58" spans="1:7" x14ac:dyDescent="0.25">
      <c r="A58" s="11"/>
      <c r="B58" s="12" t="s">
        <v>11</v>
      </c>
      <c r="C58" s="13">
        <v>195228000</v>
      </c>
      <c r="D58" s="13">
        <v>93301000</v>
      </c>
      <c r="E58" s="13">
        <v>9763000</v>
      </c>
      <c r="F58" s="13">
        <v>88200000</v>
      </c>
      <c r="G58" s="14">
        <f t="shared" si="0"/>
        <v>0.45177945786465057</v>
      </c>
    </row>
    <row r="59" spans="1:7" x14ac:dyDescent="0.25">
      <c r="A59" s="11"/>
      <c r="B59" s="12" t="s">
        <v>18</v>
      </c>
      <c r="C59" s="13">
        <v>219794000</v>
      </c>
      <c r="D59" s="13">
        <v>116221000</v>
      </c>
      <c r="E59" s="13">
        <v>10982000</v>
      </c>
      <c r="F59" s="13">
        <v>93150000</v>
      </c>
      <c r="G59" s="14">
        <f t="shared" si="0"/>
        <v>0.42380592736835399</v>
      </c>
    </row>
    <row r="60" spans="1:7" x14ac:dyDescent="0.25">
      <c r="A60" s="11"/>
      <c r="B60" s="12" t="s">
        <v>27</v>
      </c>
      <c r="C60" s="13">
        <v>8911000</v>
      </c>
      <c r="D60" s="13">
        <v>6777000</v>
      </c>
      <c r="E60" s="13">
        <v>446000</v>
      </c>
      <c r="F60" s="13">
        <v>1200000</v>
      </c>
      <c r="G60" s="14">
        <f t="shared" si="0"/>
        <v>0.13466502076085737</v>
      </c>
    </row>
    <row r="61" spans="1:7" x14ac:dyDescent="0.25">
      <c r="A61" s="15"/>
      <c r="B61" s="16" t="s">
        <v>12</v>
      </c>
      <c r="C61" s="17">
        <f>SUM(C57:C60)</f>
        <v>543685000</v>
      </c>
      <c r="D61" s="17">
        <f>SUM(D57:D60)</f>
        <v>288613000</v>
      </c>
      <c r="E61" s="17">
        <f>SUM(E57:E60)</f>
        <v>28064000</v>
      </c>
      <c r="F61" s="17">
        <f>SUM(F57:F60)</f>
        <v>221300000</v>
      </c>
      <c r="G61" s="18">
        <f t="shared" si="0"/>
        <v>0.40703716306317078</v>
      </c>
    </row>
    <row r="62" spans="1:7" x14ac:dyDescent="0.25">
      <c r="A62" s="11" t="s">
        <v>28</v>
      </c>
      <c r="B62" s="12" t="s">
        <v>10</v>
      </c>
      <c r="C62" s="13">
        <v>110270096</v>
      </c>
      <c r="D62" s="13">
        <v>69359000</v>
      </c>
      <c r="E62" s="13">
        <v>6426000</v>
      </c>
      <c r="F62" s="13">
        <v>33200000</v>
      </c>
      <c r="G62" s="14">
        <f t="shared" si="0"/>
        <v>0.30107890719529257</v>
      </c>
    </row>
    <row r="63" spans="1:7" x14ac:dyDescent="0.25">
      <c r="A63" s="11"/>
      <c r="B63" s="12" t="s">
        <v>11</v>
      </c>
      <c r="C63" s="13">
        <v>206512689</v>
      </c>
      <c r="D63" s="13">
        <v>116833000</v>
      </c>
      <c r="E63" s="13">
        <v>10324000</v>
      </c>
      <c r="F63" s="13">
        <v>93450000</v>
      </c>
      <c r="G63" s="14">
        <f t="shared" si="0"/>
        <v>0.45251456679255192</v>
      </c>
    </row>
    <row r="64" spans="1:7" x14ac:dyDescent="0.25">
      <c r="A64" s="11"/>
      <c r="B64" s="12" t="s">
        <v>18</v>
      </c>
      <c r="C64" s="13">
        <v>202473626</v>
      </c>
      <c r="D64" s="13">
        <v>106505000</v>
      </c>
      <c r="E64" s="13">
        <v>1013000</v>
      </c>
      <c r="F64" s="13">
        <v>84200000</v>
      </c>
      <c r="G64" s="14">
        <f t="shared" si="0"/>
        <v>0.41585663112488536</v>
      </c>
    </row>
    <row r="65" spans="1:7" x14ac:dyDescent="0.25">
      <c r="A65" s="11"/>
      <c r="B65" s="12" t="s">
        <v>27</v>
      </c>
      <c r="C65" s="13">
        <v>33289095</v>
      </c>
      <c r="D65" s="13">
        <v>21103000</v>
      </c>
      <c r="E65" s="13">
        <v>1664000</v>
      </c>
      <c r="F65" s="13">
        <v>10850000</v>
      </c>
      <c r="G65" s="14">
        <f t="shared" si="0"/>
        <v>0.32593256139886051</v>
      </c>
    </row>
    <row r="66" spans="1:7" x14ac:dyDescent="0.25">
      <c r="A66" s="15"/>
      <c r="B66" s="16" t="s">
        <v>12</v>
      </c>
      <c r="C66" s="17">
        <f>SUM(C62:C65)</f>
        <v>552545506</v>
      </c>
      <c r="D66" s="17">
        <f>SUM(D62:D65)</f>
        <v>313800000</v>
      </c>
      <c r="E66" s="17">
        <f>SUM(E62:E65)</f>
        <v>19427000</v>
      </c>
      <c r="F66" s="17">
        <f>SUM(F62:F65)</f>
        <v>221700000</v>
      </c>
      <c r="G66" s="18">
        <f t="shared" si="0"/>
        <v>0.40123392117499185</v>
      </c>
    </row>
    <row r="67" spans="1:7" x14ac:dyDescent="0.25">
      <c r="A67" s="11" t="s">
        <v>29</v>
      </c>
      <c r="B67" s="12" t="s">
        <v>10</v>
      </c>
      <c r="C67" s="13">
        <v>163424175</v>
      </c>
      <c r="D67" s="13">
        <v>106100000</v>
      </c>
      <c r="E67" s="13">
        <v>9135000</v>
      </c>
      <c r="F67" s="13">
        <v>49450000</v>
      </c>
      <c r="G67" s="14">
        <f t="shared" si="0"/>
        <v>0.3025868112841934</v>
      </c>
    </row>
    <row r="68" spans="1:7" x14ac:dyDescent="0.25">
      <c r="A68" s="11"/>
      <c r="B68" s="12" t="s">
        <v>11</v>
      </c>
      <c r="C68" s="13">
        <v>204435016</v>
      </c>
      <c r="D68" s="13">
        <v>102979000</v>
      </c>
      <c r="E68" s="13">
        <v>10221000</v>
      </c>
      <c r="F68" s="13">
        <v>91050000</v>
      </c>
      <c r="G68" s="14">
        <f t="shared" ref="G68:G87" si="1">SUM(F68/C68)</f>
        <v>0.44537380034739255</v>
      </c>
    </row>
    <row r="69" spans="1:7" x14ac:dyDescent="0.25">
      <c r="A69" s="11"/>
      <c r="B69" s="12" t="s">
        <v>18</v>
      </c>
      <c r="C69" s="13">
        <v>153699391</v>
      </c>
      <c r="D69" s="13">
        <v>82702000</v>
      </c>
      <c r="E69" s="13">
        <v>7693000</v>
      </c>
      <c r="F69" s="13">
        <v>64750000</v>
      </c>
      <c r="G69" s="14">
        <f t="shared" si="1"/>
        <v>0.4212768806611602</v>
      </c>
    </row>
    <row r="70" spans="1:7" x14ac:dyDescent="0.25">
      <c r="A70" s="11"/>
      <c r="B70" s="12" t="s">
        <v>27</v>
      </c>
      <c r="C70" s="13">
        <v>30688193</v>
      </c>
      <c r="D70" s="13">
        <v>17344000</v>
      </c>
      <c r="E70" s="13">
        <v>1536000</v>
      </c>
      <c r="F70" s="13">
        <v>12000000</v>
      </c>
      <c r="G70" s="14">
        <f t="shared" si="1"/>
        <v>0.39102986611169971</v>
      </c>
    </row>
    <row r="71" spans="1:7" x14ac:dyDescent="0.25">
      <c r="A71" s="15"/>
      <c r="B71" s="16" t="s">
        <v>12</v>
      </c>
      <c r="C71" s="17">
        <f>SUM(C67:C70)</f>
        <v>552246775</v>
      </c>
      <c r="D71" s="17">
        <f>SUM(D67:D70)</f>
        <v>309125000</v>
      </c>
      <c r="E71" s="17">
        <f>SUM(E67:E70)</f>
        <v>28585000</v>
      </c>
      <c r="F71" s="17">
        <f>SUM(F67:F70)</f>
        <v>217250000</v>
      </c>
      <c r="G71" s="18">
        <f t="shared" si="1"/>
        <v>0.39339297182858152</v>
      </c>
    </row>
    <row r="72" spans="1:7" x14ac:dyDescent="0.25">
      <c r="A72" s="11" t="s">
        <v>30</v>
      </c>
      <c r="B72" s="12" t="s">
        <v>10</v>
      </c>
      <c r="C72" s="13">
        <v>260133000</v>
      </c>
      <c r="D72" s="13">
        <v>169576000</v>
      </c>
      <c r="E72" s="13">
        <v>14424000</v>
      </c>
      <c r="F72" s="13">
        <v>76350000</v>
      </c>
      <c r="G72" s="14">
        <f t="shared" si="1"/>
        <v>0.2935037077187439</v>
      </c>
    </row>
    <row r="73" spans="1:7" x14ac:dyDescent="0.25">
      <c r="A73" s="11"/>
      <c r="B73" s="12" t="s">
        <v>11</v>
      </c>
      <c r="C73" s="13">
        <v>195027213</v>
      </c>
      <c r="D73" s="13">
        <v>97406000</v>
      </c>
      <c r="E73" s="13">
        <v>9752000</v>
      </c>
      <c r="F73" s="13">
        <v>88000000</v>
      </c>
      <c r="G73" s="14">
        <f t="shared" si="1"/>
        <v>0.4512190819237108</v>
      </c>
    </row>
    <row r="74" spans="1:7" x14ac:dyDescent="0.25">
      <c r="A74" s="11"/>
      <c r="B74" s="12" t="s">
        <v>18</v>
      </c>
      <c r="C74" s="13">
        <v>170456205</v>
      </c>
      <c r="D74" s="13">
        <v>89430000</v>
      </c>
      <c r="E74" s="13">
        <v>8505000</v>
      </c>
      <c r="F74" s="13">
        <v>70850000</v>
      </c>
      <c r="G74" s="14">
        <f t="shared" si="1"/>
        <v>0.41564928657187927</v>
      </c>
    </row>
    <row r="75" spans="1:7" x14ac:dyDescent="0.25">
      <c r="A75" s="11"/>
      <c r="B75" s="12" t="s">
        <v>27</v>
      </c>
      <c r="C75" s="13">
        <v>45198122</v>
      </c>
      <c r="D75" s="13">
        <v>29351000</v>
      </c>
      <c r="E75" s="13">
        <v>2262000</v>
      </c>
      <c r="F75" s="13">
        <v>14450000</v>
      </c>
      <c r="G75" s="14">
        <f t="shared" si="1"/>
        <v>0.31970354874479079</v>
      </c>
    </row>
    <row r="76" spans="1:7" x14ac:dyDescent="0.25">
      <c r="A76" s="15"/>
      <c r="B76" s="16" t="s">
        <v>12</v>
      </c>
      <c r="C76" s="17">
        <f>SUM(C72:C75)</f>
        <v>670814540</v>
      </c>
      <c r="D76" s="17">
        <f>SUM(D72:D75)</f>
        <v>385763000</v>
      </c>
      <c r="E76" s="17">
        <f>SUM(E72:E75)</f>
        <v>34943000</v>
      </c>
      <c r="F76" s="17">
        <f>SUM(F72:F75)</f>
        <v>249650000</v>
      </c>
      <c r="G76" s="18">
        <f t="shared" si="1"/>
        <v>0.37215949433654194</v>
      </c>
    </row>
    <row r="77" spans="1:7" x14ac:dyDescent="0.25">
      <c r="A77" s="11" t="s">
        <v>31</v>
      </c>
      <c r="B77" s="12" t="s">
        <v>10</v>
      </c>
      <c r="C77" s="13">
        <v>296131624</v>
      </c>
      <c r="D77" s="13">
        <v>194429000</v>
      </c>
      <c r="E77" s="13">
        <v>14808000</v>
      </c>
      <c r="F77" s="13">
        <v>86750000</v>
      </c>
      <c r="G77" s="14">
        <f t="shared" si="1"/>
        <v>0.29294405922685246</v>
      </c>
    </row>
    <row r="78" spans="1:7" x14ac:dyDescent="0.25">
      <c r="A78" s="11"/>
      <c r="B78" s="12" t="s">
        <v>11</v>
      </c>
      <c r="C78" s="13">
        <v>181286172</v>
      </c>
      <c r="D78" s="13">
        <v>84769000</v>
      </c>
      <c r="E78" s="13">
        <v>9065000</v>
      </c>
      <c r="F78" s="13">
        <v>81600000</v>
      </c>
      <c r="G78" s="14">
        <f t="shared" si="1"/>
        <v>0.4501170668439069</v>
      </c>
    </row>
    <row r="79" spans="1:7" x14ac:dyDescent="0.25">
      <c r="A79" s="11"/>
      <c r="B79" s="12" t="s">
        <v>18</v>
      </c>
      <c r="C79" s="13">
        <v>139506779</v>
      </c>
      <c r="D79" s="13">
        <v>74886000</v>
      </c>
      <c r="E79" s="13">
        <v>6976000</v>
      </c>
      <c r="F79" s="13">
        <v>59000000</v>
      </c>
      <c r="G79" s="14">
        <f t="shared" si="1"/>
        <v>0.422918516382634</v>
      </c>
    </row>
    <row r="80" spans="1:7" x14ac:dyDescent="0.25">
      <c r="A80" s="11"/>
      <c r="B80" s="12" t="s">
        <v>32</v>
      </c>
      <c r="C80" s="13">
        <v>48453225</v>
      </c>
      <c r="D80" s="13">
        <v>26768000</v>
      </c>
      <c r="E80" s="13">
        <v>2423000</v>
      </c>
      <c r="F80" s="13">
        <v>17300000</v>
      </c>
      <c r="G80" s="14">
        <f t="shared" si="1"/>
        <v>0.35704537726848934</v>
      </c>
    </row>
    <row r="81" spans="1:7" x14ac:dyDescent="0.25">
      <c r="A81" s="11"/>
      <c r="B81" s="12" t="s">
        <v>33</v>
      </c>
      <c r="C81" s="13">
        <v>41529699</v>
      </c>
      <c r="D81" s="13">
        <v>20765000</v>
      </c>
      <c r="E81" s="13">
        <v>2077000</v>
      </c>
      <c r="F81" s="13">
        <v>17400000</v>
      </c>
      <c r="G81" s="14">
        <f t="shared" si="1"/>
        <v>0.41897727214444774</v>
      </c>
    </row>
    <row r="82" spans="1:7" x14ac:dyDescent="0.25">
      <c r="A82" s="15"/>
      <c r="B82" s="16" t="s">
        <v>12</v>
      </c>
      <c r="C82" s="17">
        <f>SUM(C77:C81)</f>
        <v>706907499</v>
      </c>
      <c r="D82" s="17">
        <f>SUM(D77:D81)</f>
        <v>401617000</v>
      </c>
      <c r="E82" s="17">
        <f>SUM(E77:E81)</f>
        <v>35349000</v>
      </c>
      <c r="F82" s="17">
        <f>SUM(F77:F81)</f>
        <v>262050000</v>
      </c>
      <c r="G82" s="18">
        <f t="shared" si="1"/>
        <v>0.37069913725727782</v>
      </c>
    </row>
    <row r="83" spans="1:7" x14ac:dyDescent="0.25">
      <c r="A83" s="11" t="s">
        <v>34</v>
      </c>
      <c r="B83" s="12" t="s">
        <v>10</v>
      </c>
      <c r="C83" s="13">
        <v>395985000</v>
      </c>
      <c r="D83" s="13">
        <v>267101000</v>
      </c>
      <c r="E83" s="13">
        <v>21004000</v>
      </c>
      <c r="F83" s="13">
        <v>98155254</v>
      </c>
      <c r="G83" s="14">
        <f t="shared" si="1"/>
        <v>0.24787619228001059</v>
      </c>
    </row>
    <row r="84" spans="1:7" x14ac:dyDescent="0.25">
      <c r="A84" s="11"/>
      <c r="B84" s="12" t="s">
        <v>11</v>
      </c>
      <c r="C84" s="13">
        <v>187365000</v>
      </c>
      <c r="D84" s="13">
        <v>95751000</v>
      </c>
      <c r="E84" s="13">
        <v>9408000</v>
      </c>
      <c r="F84" s="13">
        <v>77182543</v>
      </c>
      <c r="G84" s="14">
        <f t="shared" si="1"/>
        <v>0.41193682384650282</v>
      </c>
    </row>
    <row r="85" spans="1:7" x14ac:dyDescent="0.25">
      <c r="A85" s="11"/>
      <c r="B85" s="12" t="s">
        <v>18</v>
      </c>
      <c r="C85" s="13">
        <v>90125000</v>
      </c>
      <c r="D85" s="13">
        <v>47884000</v>
      </c>
      <c r="E85" s="13">
        <v>4534000</v>
      </c>
      <c r="F85" s="13">
        <v>37636792</v>
      </c>
      <c r="G85" s="14">
        <f t="shared" si="1"/>
        <v>0.41760656865464635</v>
      </c>
    </row>
    <row r="86" spans="1:7" x14ac:dyDescent="0.25">
      <c r="A86" s="11"/>
      <c r="B86" s="12" t="s">
        <v>32</v>
      </c>
      <c r="C86" s="13">
        <v>47301000</v>
      </c>
      <c r="D86" s="13">
        <v>27544000</v>
      </c>
      <c r="E86" s="13">
        <v>2395000</v>
      </c>
      <c r="F86" s="13">
        <v>16875819</v>
      </c>
      <c r="G86" s="14">
        <f t="shared" si="1"/>
        <v>0.35677509989217987</v>
      </c>
    </row>
    <row r="87" spans="1:7" x14ac:dyDescent="0.25">
      <c r="A87" s="11"/>
      <c r="B87" s="12" t="s">
        <v>33</v>
      </c>
      <c r="C87" s="13">
        <v>49013000</v>
      </c>
      <c r="D87" s="13">
        <v>24691000</v>
      </c>
      <c r="E87" s="13">
        <v>2472000</v>
      </c>
      <c r="F87" s="13">
        <v>21670460</v>
      </c>
      <c r="G87" s="14">
        <f t="shared" si="1"/>
        <v>0.44213698406545204</v>
      </c>
    </row>
    <row r="88" spans="1:7" x14ac:dyDescent="0.25">
      <c r="A88" s="15"/>
      <c r="B88" s="16" t="s">
        <v>12</v>
      </c>
      <c r="C88" s="17">
        <f>SUM(C83:C87)</f>
        <v>769789000</v>
      </c>
      <c r="D88" s="17">
        <f>SUM(D83:D87)</f>
        <v>462971000</v>
      </c>
      <c r="E88" s="17">
        <f>SUM(E83:E87)</f>
        <v>39813000</v>
      </c>
      <c r="F88" s="17">
        <f>SUM(F83:F87)</f>
        <v>251520868</v>
      </c>
      <c r="G88" s="18">
        <f t="shared" ref="G88:G100" si="2">SUM(F88/C88)</f>
        <v>0.32674001317244078</v>
      </c>
    </row>
    <row r="89" spans="1:7" x14ac:dyDescent="0.25">
      <c r="A89" s="11" t="s">
        <v>35</v>
      </c>
      <c r="B89" s="12" t="s">
        <v>10</v>
      </c>
      <c r="C89" s="13">
        <v>429274577</v>
      </c>
      <c r="D89" s="13">
        <v>291358445</v>
      </c>
      <c r="E89" s="13">
        <v>23735051</v>
      </c>
      <c r="F89" s="13">
        <v>108220124</v>
      </c>
      <c r="G89" s="14">
        <f t="shared" si="2"/>
        <v>0.25210000731070548</v>
      </c>
    </row>
    <row r="90" spans="1:7" x14ac:dyDescent="0.25">
      <c r="A90" s="11"/>
      <c r="B90" s="12" t="s">
        <v>11</v>
      </c>
      <c r="C90" s="13">
        <v>175273722</v>
      </c>
      <c r="D90" s="13">
        <v>87435892</v>
      </c>
      <c r="E90" s="13">
        <v>9081148</v>
      </c>
      <c r="F90" s="13">
        <v>72917038</v>
      </c>
      <c r="G90" s="14">
        <f t="shared" si="2"/>
        <v>0.41601808398865403</v>
      </c>
    </row>
    <row r="91" spans="1:7" x14ac:dyDescent="0.25">
      <c r="A91" s="11"/>
      <c r="B91" s="12" t="s">
        <v>18</v>
      </c>
      <c r="C91" s="13">
        <v>81294438</v>
      </c>
      <c r="D91" s="13">
        <v>42365869</v>
      </c>
      <c r="E91" s="13">
        <v>4161384</v>
      </c>
      <c r="F91" s="13">
        <v>37215983</v>
      </c>
      <c r="G91" s="14">
        <f t="shared" si="2"/>
        <v>0.45779248759921315</v>
      </c>
    </row>
    <row r="92" spans="1:7" x14ac:dyDescent="0.25">
      <c r="A92" s="11"/>
      <c r="B92" s="12" t="s">
        <v>32</v>
      </c>
      <c r="C92" s="13">
        <v>58485186</v>
      </c>
      <c r="D92" s="13">
        <v>34623760</v>
      </c>
      <c r="E92" s="13">
        <v>3018427</v>
      </c>
      <c r="F92" s="13">
        <v>20283614</v>
      </c>
      <c r="G92" s="14">
        <f t="shared" si="2"/>
        <v>0.34681626899502382</v>
      </c>
    </row>
    <row r="93" spans="1:7" x14ac:dyDescent="0.25">
      <c r="A93" s="11"/>
      <c r="B93" s="12" t="s">
        <v>33</v>
      </c>
      <c r="C93" s="13">
        <v>61284746</v>
      </c>
      <c r="D93" s="13">
        <v>31305936</v>
      </c>
      <c r="E93" s="13">
        <v>3247249</v>
      </c>
      <c r="F93" s="13">
        <v>25638071</v>
      </c>
      <c r="G93" s="14">
        <f t="shared" si="2"/>
        <v>0.41834343247502404</v>
      </c>
    </row>
    <row r="94" spans="1:7" x14ac:dyDescent="0.25">
      <c r="A94" s="15"/>
      <c r="B94" s="16" t="s">
        <v>12</v>
      </c>
      <c r="C94" s="17">
        <f>SUM(C89:C93)</f>
        <v>805612669</v>
      </c>
      <c r="D94" s="17">
        <f>SUM(D89:D93)</f>
        <v>487089902</v>
      </c>
      <c r="E94" s="17">
        <f>SUM(E89:E93)</f>
        <v>43243259</v>
      </c>
      <c r="F94" s="17">
        <f>SUM(F89:F93)</f>
        <v>264274830</v>
      </c>
      <c r="G94" s="18">
        <f t="shared" si="2"/>
        <v>0.32804204820666744</v>
      </c>
    </row>
    <row r="95" spans="1:7" x14ac:dyDescent="0.25">
      <c r="A95" s="11" t="s">
        <v>36</v>
      </c>
      <c r="B95" s="12" t="s">
        <v>10</v>
      </c>
      <c r="C95" s="13">
        <v>474031672</v>
      </c>
      <c r="D95" s="13">
        <v>316582554</v>
      </c>
      <c r="E95" s="13">
        <v>26451124</v>
      </c>
      <c r="F95" s="13">
        <v>110334066</v>
      </c>
      <c r="G95" s="14">
        <f t="shared" si="2"/>
        <v>0.23275673866787533</v>
      </c>
    </row>
    <row r="96" spans="1:7" x14ac:dyDescent="0.25">
      <c r="A96" s="11"/>
      <c r="B96" s="12" t="s">
        <v>11</v>
      </c>
      <c r="C96" s="13">
        <v>172719693</v>
      </c>
      <c r="D96" s="13">
        <v>87263872</v>
      </c>
      <c r="E96" s="13">
        <v>9055762</v>
      </c>
      <c r="F96" s="13">
        <v>70417287</v>
      </c>
      <c r="G96" s="14">
        <f t="shared" si="2"/>
        <v>0.40769692081377196</v>
      </c>
    </row>
    <row r="97" spans="1:7" x14ac:dyDescent="0.25">
      <c r="A97" s="11"/>
      <c r="B97" s="12" t="s">
        <v>18</v>
      </c>
      <c r="C97" s="13">
        <v>51307443</v>
      </c>
      <c r="D97" s="13">
        <v>26003187</v>
      </c>
      <c r="E97" s="13">
        <v>2662749</v>
      </c>
      <c r="F97" s="13">
        <v>19256573</v>
      </c>
      <c r="G97" s="14">
        <f t="shared" si="2"/>
        <v>0.37531733943552792</v>
      </c>
    </row>
    <row r="98" spans="1:7" x14ac:dyDescent="0.25">
      <c r="A98" s="11"/>
      <c r="B98" s="12" t="s">
        <v>32</v>
      </c>
      <c r="C98" s="13">
        <v>48359709</v>
      </c>
      <c r="D98" s="13">
        <v>28633957</v>
      </c>
      <c r="E98" s="13">
        <v>2512242</v>
      </c>
      <c r="F98" s="13">
        <v>15708132</v>
      </c>
      <c r="G98" s="14">
        <f t="shared" si="2"/>
        <v>0.32481857986366297</v>
      </c>
    </row>
    <row r="99" spans="1:7" x14ac:dyDescent="0.25">
      <c r="A99" s="11"/>
      <c r="B99" s="12" t="s">
        <v>33</v>
      </c>
      <c r="C99" s="13">
        <v>124498286</v>
      </c>
      <c r="D99" s="13">
        <v>59190516</v>
      </c>
      <c r="E99" s="13">
        <v>6421269</v>
      </c>
      <c r="F99" s="13">
        <v>55591964</v>
      </c>
      <c r="G99" s="14">
        <f t="shared" si="2"/>
        <v>0.44652794657751355</v>
      </c>
    </row>
    <row r="100" spans="1:7" x14ac:dyDescent="0.25">
      <c r="A100" s="15"/>
      <c r="B100" s="16" t="s">
        <v>12</v>
      </c>
      <c r="C100" s="17">
        <f>SUM(C95:C99)</f>
        <v>870916803</v>
      </c>
      <c r="D100" s="17">
        <f>SUM(D95:D99)</f>
        <v>517674086</v>
      </c>
      <c r="E100" s="17">
        <f>SUM(E95:E99)</f>
        <v>47103146</v>
      </c>
      <c r="F100" s="17">
        <f>SUM(F95:F99)</f>
        <v>271308022</v>
      </c>
      <c r="G100" s="18">
        <f t="shared" si="2"/>
        <v>0.31152002242400184</v>
      </c>
    </row>
    <row r="101" spans="1:7" x14ac:dyDescent="0.25">
      <c r="A101" s="11" t="s">
        <v>37</v>
      </c>
      <c r="B101" s="12" t="s">
        <v>10</v>
      </c>
      <c r="C101" s="13">
        <v>516624983</v>
      </c>
      <c r="D101" s="13">
        <v>348981816</v>
      </c>
      <c r="E101" s="13">
        <v>28889678</v>
      </c>
      <c r="F101" s="13">
        <v>116081749</v>
      </c>
      <c r="G101" s="14">
        <f t="shared" ref="G101:G160" si="3">SUM(F101/C101)</f>
        <v>0.22469248065767661</v>
      </c>
    </row>
    <row r="102" spans="1:7" x14ac:dyDescent="0.25">
      <c r="A102" s="11"/>
      <c r="B102" s="12" t="s">
        <v>11</v>
      </c>
      <c r="C102" s="13">
        <v>172549679</v>
      </c>
      <c r="D102" s="13">
        <v>85562805</v>
      </c>
      <c r="E102" s="13">
        <v>9070858</v>
      </c>
      <c r="F102" s="13">
        <v>71385563</v>
      </c>
      <c r="G102" s="14">
        <f t="shared" si="3"/>
        <v>0.41371020458403751</v>
      </c>
    </row>
    <row r="103" spans="1:7" x14ac:dyDescent="0.25">
      <c r="A103" s="11"/>
      <c r="B103" s="12" t="s">
        <v>18</v>
      </c>
      <c r="C103" s="13">
        <v>47331909</v>
      </c>
      <c r="D103" s="13">
        <v>23587195</v>
      </c>
      <c r="E103" s="13">
        <v>2471981</v>
      </c>
      <c r="F103" s="13">
        <v>18605436</v>
      </c>
      <c r="G103" s="14">
        <f t="shared" si="3"/>
        <v>0.39308442006849964</v>
      </c>
    </row>
    <row r="104" spans="1:7" x14ac:dyDescent="0.25">
      <c r="A104" s="11"/>
      <c r="B104" s="12" t="s">
        <v>32</v>
      </c>
      <c r="C104" s="13">
        <v>44521398</v>
      </c>
      <c r="D104" s="13">
        <v>23217645</v>
      </c>
      <c r="E104" s="13">
        <v>2315984</v>
      </c>
      <c r="F104" s="13">
        <v>17078458</v>
      </c>
      <c r="G104" s="14">
        <f t="shared" si="3"/>
        <v>0.38360111692808929</v>
      </c>
    </row>
    <row r="105" spans="1:7" x14ac:dyDescent="0.25">
      <c r="A105" s="11"/>
      <c r="B105" s="12" t="s">
        <v>33</v>
      </c>
      <c r="C105" s="13">
        <v>56481537</v>
      </c>
      <c r="D105" s="13">
        <v>21144814</v>
      </c>
      <c r="E105" s="13">
        <v>2916714</v>
      </c>
      <c r="F105" s="13">
        <v>30446841</v>
      </c>
      <c r="G105" s="14">
        <f t="shared" si="3"/>
        <v>0.5390582943945027</v>
      </c>
    </row>
    <row r="106" spans="1:7" x14ac:dyDescent="0.25">
      <c r="A106" s="15"/>
      <c r="B106" s="16" t="s">
        <v>12</v>
      </c>
      <c r="C106" s="17">
        <f>SUM(C101:C105)</f>
        <v>837509506</v>
      </c>
      <c r="D106" s="17">
        <f>SUM(D101:D105)</f>
        <v>502494275</v>
      </c>
      <c r="E106" s="17">
        <f>SUM(E101:E105)</f>
        <v>45665215</v>
      </c>
      <c r="F106" s="17">
        <f>SUM(F101:F105)</f>
        <v>253598047</v>
      </c>
      <c r="G106" s="18">
        <f>SUM(F106/C106)</f>
        <v>0.30280020129108837</v>
      </c>
    </row>
    <row r="107" spans="1:7" x14ac:dyDescent="0.25">
      <c r="A107" s="11" t="s">
        <v>38</v>
      </c>
      <c r="B107" s="12" t="s">
        <v>10</v>
      </c>
      <c r="C107" s="13">
        <f>522394031+5940774</f>
        <v>528334805</v>
      </c>
      <c r="D107" s="13">
        <f>344014647.88+4867656.37</f>
        <v>348882304.25</v>
      </c>
      <c r="E107" s="13">
        <f>28697285.1+486146.35</f>
        <v>29183431.450000003</v>
      </c>
      <c r="F107" s="13">
        <v>126122855</v>
      </c>
      <c r="G107" s="14">
        <f t="shared" si="3"/>
        <v>0.23871767259399085</v>
      </c>
    </row>
    <row r="108" spans="1:7" x14ac:dyDescent="0.25">
      <c r="A108" s="19"/>
      <c r="B108" s="12" t="s">
        <v>11</v>
      </c>
      <c r="C108" s="13">
        <f>24009740.5+14546603.5+87368600+52089608.5</f>
        <v>178014552.5</v>
      </c>
      <c r="D108" s="13">
        <f>12672054+9758098+44767495.15+24430263.66</f>
        <v>91627910.810000002</v>
      </c>
      <c r="E108" s="13">
        <f>1219526.32+782212.44+4646141.7+2733265.94</f>
        <v>9381146.4000000004</v>
      </c>
      <c r="F108" s="13">
        <v>72478057</v>
      </c>
      <c r="G108" s="14">
        <f t="shared" si="3"/>
        <v>0.40714680896664335</v>
      </c>
    </row>
    <row r="109" spans="1:7" x14ac:dyDescent="0.25">
      <c r="A109" s="19"/>
      <c r="B109" s="12" t="s">
        <v>18</v>
      </c>
      <c r="C109" s="13">
        <v>37219618</v>
      </c>
      <c r="D109" s="13">
        <v>21062069.149999999</v>
      </c>
      <c r="E109" s="13">
        <v>1903268.8</v>
      </c>
      <c r="F109" s="13">
        <v>14854747</v>
      </c>
      <c r="G109" s="14">
        <f t="shared" si="3"/>
        <v>0.39911067867488592</v>
      </c>
    </row>
    <row r="110" spans="1:7" x14ac:dyDescent="0.25">
      <c r="A110" s="19"/>
      <c r="B110" s="12" t="s">
        <v>32</v>
      </c>
      <c r="C110" s="13">
        <v>41820131</v>
      </c>
      <c r="D110" s="13">
        <v>21191429.879999999</v>
      </c>
      <c r="E110" s="13">
        <v>2130076.2599999998</v>
      </c>
      <c r="F110" s="13">
        <v>14778332</v>
      </c>
      <c r="G110" s="14">
        <f t="shared" si="3"/>
        <v>0.35337842437652811</v>
      </c>
    </row>
    <row r="111" spans="1:7" x14ac:dyDescent="0.25">
      <c r="A111" s="19"/>
      <c r="B111" s="12" t="s">
        <v>33</v>
      </c>
      <c r="C111" s="13">
        <f>52343715+1978725</f>
        <v>54322440</v>
      </c>
      <c r="D111" s="13">
        <f>24104747.54+995468</f>
        <v>25100215.539999999</v>
      </c>
      <c r="E111" s="13">
        <f>2659760.91+110084.74</f>
        <v>2769845.6500000004</v>
      </c>
      <c r="F111" s="13">
        <v>23768996</v>
      </c>
      <c r="G111" s="14">
        <f t="shared" si="3"/>
        <v>0.43755390958138113</v>
      </c>
    </row>
    <row r="112" spans="1:7" x14ac:dyDescent="0.25">
      <c r="A112" s="20"/>
      <c r="B112" s="16" t="s">
        <v>12</v>
      </c>
      <c r="C112" s="17">
        <f>SUM(C107:C111)</f>
        <v>839711546.5</v>
      </c>
      <c r="D112" s="17">
        <f>SUM(D107:D111)</f>
        <v>507863929.63</v>
      </c>
      <c r="E112" s="17">
        <f>SUM(E107:E111)</f>
        <v>45367768.559999995</v>
      </c>
      <c r="F112" s="17">
        <f>SUM(F107:F111)</f>
        <v>252002987</v>
      </c>
      <c r="G112" s="18">
        <f>SUM(F112/C112)</f>
        <v>0.30010661166965386</v>
      </c>
    </row>
    <row r="113" spans="1:7" x14ac:dyDescent="0.25">
      <c r="A113" s="11" t="s">
        <v>39</v>
      </c>
      <c r="B113" s="12" t="s">
        <v>10</v>
      </c>
      <c r="C113" s="13">
        <v>543242449</v>
      </c>
      <c r="D113" s="13">
        <v>361794540</v>
      </c>
      <c r="E113" s="13">
        <v>31324450</v>
      </c>
      <c r="F113" s="13">
        <v>126862858</v>
      </c>
      <c r="G113" s="14">
        <f t="shared" si="3"/>
        <v>0.2335289855082735</v>
      </c>
    </row>
    <row r="114" spans="1:7" x14ac:dyDescent="0.25">
      <c r="A114" s="19"/>
      <c r="B114" s="12" t="s">
        <v>11</v>
      </c>
      <c r="C114" s="13">
        <v>179607289</v>
      </c>
      <c r="D114" s="13">
        <v>92103905</v>
      </c>
      <c r="E114" s="13">
        <v>10504786</v>
      </c>
      <c r="F114" s="13">
        <v>69966070</v>
      </c>
      <c r="G114" s="14">
        <f t="shared" si="3"/>
        <v>0.38955028155900734</v>
      </c>
    </row>
    <row r="115" spans="1:7" x14ac:dyDescent="0.25">
      <c r="A115" s="19"/>
      <c r="B115" s="12" t="s">
        <v>18</v>
      </c>
      <c r="C115" s="13">
        <v>54078099</v>
      </c>
      <c r="D115" s="13">
        <v>28254036</v>
      </c>
      <c r="E115" s="13">
        <v>2841793</v>
      </c>
      <c r="F115" s="13">
        <v>20561557</v>
      </c>
      <c r="G115" s="14">
        <f t="shared" si="3"/>
        <v>0.3802196708135025</v>
      </c>
    </row>
    <row r="116" spans="1:7" x14ac:dyDescent="0.25">
      <c r="A116" s="19"/>
      <c r="B116" s="12" t="s">
        <v>32</v>
      </c>
      <c r="C116" s="13">
        <v>42049572</v>
      </c>
      <c r="D116" s="13">
        <v>23012417</v>
      </c>
      <c r="E116" s="13">
        <v>2396210</v>
      </c>
      <c r="F116" s="13">
        <v>14922839</v>
      </c>
      <c r="G116" s="14">
        <f t="shared" si="3"/>
        <v>0.35488682262925292</v>
      </c>
    </row>
    <row r="117" spans="1:7" x14ac:dyDescent="0.25">
      <c r="A117" s="19"/>
      <c r="B117" s="12" t="s">
        <v>33</v>
      </c>
      <c r="C117" s="13">
        <v>88925859</v>
      </c>
      <c r="D117" s="13">
        <v>42843007</v>
      </c>
      <c r="E117" s="13">
        <v>4616590</v>
      </c>
      <c r="F117" s="13">
        <v>39196356</v>
      </c>
      <c r="G117" s="14">
        <f t="shared" si="3"/>
        <v>0.44077568033388353</v>
      </c>
    </row>
    <row r="118" spans="1:7" x14ac:dyDescent="0.25">
      <c r="A118" s="20"/>
      <c r="B118" s="16" t="s">
        <v>12</v>
      </c>
      <c r="C118" s="17">
        <f>SUM(C113:C117)</f>
        <v>907903268</v>
      </c>
      <c r="D118" s="17">
        <f>SUM(D113:D117)</f>
        <v>548007905</v>
      </c>
      <c r="E118" s="17">
        <f>SUM(E113:E117)</f>
        <v>51683829</v>
      </c>
      <c r="F118" s="17">
        <f>SUM(F113:F117)</f>
        <v>271509680</v>
      </c>
      <c r="G118" s="18">
        <f>SUM(F118/C118)</f>
        <v>0.29905133021285701</v>
      </c>
    </row>
    <row r="119" spans="1:7" x14ac:dyDescent="0.25">
      <c r="A119" s="11" t="s">
        <v>40</v>
      </c>
      <c r="B119" s="12" t="s">
        <v>10</v>
      </c>
      <c r="C119" s="13">
        <v>530692944</v>
      </c>
      <c r="D119" s="13">
        <v>353876749</v>
      </c>
      <c r="E119" s="13">
        <v>30191564</v>
      </c>
      <c r="F119" s="13">
        <v>120662229</v>
      </c>
      <c r="G119" s="14">
        <f t="shared" si="3"/>
        <v>0.22736731355523732</v>
      </c>
    </row>
    <row r="120" spans="1:7" x14ac:dyDescent="0.25">
      <c r="A120" s="19"/>
      <c r="B120" s="12" t="s">
        <v>11</v>
      </c>
      <c r="C120" s="13">
        <v>181810755</v>
      </c>
      <c r="D120" s="13">
        <v>90600978</v>
      </c>
      <c r="E120" s="13">
        <v>10006365</v>
      </c>
      <c r="F120" s="13">
        <v>75141864</v>
      </c>
      <c r="G120" s="14">
        <f t="shared" si="3"/>
        <v>0.41329713415468738</v>
      </c>
    </row>
    <row r="121" spans="1:7" x14ac:dyDescent="0.25">
      <c r="A121" s="19"/>
      <c r="B121" s="12" t="s">
        <v>18</v>
      </c>
      <c r="C121" s="13">
        <v>36675347</v>
      </c>
      <c r="D121" s="13">
        <v>24113564</v>
      </c>
      <c r="E121" s="13">
        <v>1914272</v>
      </c>
      <c r="F121" s="13">
        <v>10299120</v>
      </c>
      <c r="G121" s="14">
        <f t="shared" si="3"/>
        <v>0.28081861093229737</v>
      </c>
    </row>
    <row r="122" spans="1:7" x14ac:dyDescent="0.25">
      <c r="A122" s="19"/>
      <c r="B122" s="12" t="s">
        <v>32</v>
      </c>
      <c r="C122" s="13">
        <v>41154669</v>
      </c>
      <c r="D122" s="13">
        <v>23145595</v>
      </c>
      <c r="E122" s="13">
        <v>2209041</v>
      </c>
      <c r="F122" s="13">
        <v>14362949</v>
      </c>
      <c r="G122" s="14">
        <f t="shared" si="3"/>
        <v>0.34899925935499565</v>
      </c>
    </row>
    <row r="123" spans="1:7" x14ac:dyDescent="0.25">
      <c r="A123" s="19"/>
      <c r="B123" s="12" t="s">
        <v>33</v>
      </c>
      <c r="C123" s="13">
        <v>74955932</v>
      </c>
      <c r="D123" s="13">
        <v>32163282</v>
      </c>
      <c r="E123" s="13">
        <v>4038978</v>
      </c>
      <c r="F123" s="13">
        <v>36348697</v>
      </c>
      <c r="G123" s="14">
        <f t="shared" si="3"/>
        <v>0.48493422775398215</v>
      </c>
    </row>
    <row r="124" spans="1:7" x14ac:dyDescent="0.25">
      <c r="A124" s="20"/>
      <c r="B124" s="16" t="s">
        <v>12</v>
      </c>
      <c r="C124" s="17">
        <f>SUM(C119:C123)</f>
        <v>865289647</v>
      </c>
      <c r="D124" s="17">
        <f>SUM(D119:D123)</f>
        <v>523900168</v>
      </c>
      <c r="E124" s="17">
        <f>SUM(E119:E123)</f>
        <v>48360220</v>
      </c>
      <c r="F124" s="17">
        <f>SUM(F119:F123)</f>
        <v>256814859</v>
      </c>
      <c r="G124" s="18">
        <f>SUM(F124/C124)</f>
        <v>0.29679640787381339</v>
      </c>
    </row>
    <row r="125" spans="1:7" x14ac:dyDescent="0.25">
      <c r="A125" s="11" t="s">
        <v>41</v>
      </c>
      <c r="B125" s="12" t="s">
        <v>10</v>
      </c>
      <c r="C125" s="13">
        <v>558013401</v>
      </c>
      <c r="D125" s="13">
        <v>370656270</v>
      </c>
      <c r="E125" s="13">
        <v>31738305</v>
      </c>
      <c r="F125" s="13">
        <v>130041074</v>
      </c>
      <c r="G125" s="14">
        <f t="shared" si="3"/>
        <v>0.23304292292435463</v>
      </c>
    </row>
    <row r="126" spans="1:7" x14ac:dyDescent="0.25">
      <c r="A126" s="19"/>
      <c r="B126" s="12" t="s">
        <v>11</v>
      </c>
      <c r="C126" s="13">
        <v>178304309</v>
      </c>
      <c r="D126" s="13">
        <v>81666881</v>
      </c>
      <c r="E126" s="13">
        <f>1430791.48+977674.73+4364070.43+2952787.65</f>
        <v>9725324.2899999991</v>
      </c>
      <c r="F126" s="13">
        <v>81000000</v>
      </c>
      <c r="G126" s="14">
        <f t="shared" si="3"/>
        <v>0.4542795429582131</v>
      </c>
    </row>
    <row r="127" spans="1:7" x14ac:dyDescent="0.25">
      <c r="A127" s="19"/>
      <c r="B127" s="12" t="s">
        <v>18</v>
      </c>
      <c r="C127" s="13">
        <v>34200305</v>
      </c>
      <c r="D127" s="13">
        <v>18904787</v>
      </c>
      <c r="E127" s="13">
        <v>1850481.31</v>
      </c>
      <c r="F127" s="13">
        <v>11975000</v>
      </c>
      <c r="G127" s="14">
        <f t="shared" si="3"/>
        <v>0.3501430762094081</v>
      </c>
    </row>
    <row r="128" spans="1:7" x14ac:dyDescent="0.25">
      <c r="A128" s="19"/>
      <c r="B128" s="12" t="s">
        <v>32</v>
      </c>
      <c r="C128" s="13">
        <v>41280824</v>
      </c>
      <c r="D128" s="13">
        <v>22046889</v>
      </c>
      <c r="E128" s="13">
        <v>2305668.96</v>
      </c>
      <c r="F128" s="13">
        <v>15500000</v>
      </c>
      <c r="G128" s="14">
        <f t="shared" si="3"/>
        <v>0.37547700113738042</v>
      </c>
    </row>
    <row r="129" spans="1:7" x14ac:dyDescent="0.25">
      <c r="A129" s="19"/>
      <c r="B129" s="12" t="s">
        <v>33</v>
      </c>
      <c r="C129" s="13">
        <v>95857056</v>
      </c>
      <c r="D129" s="13">
        <v>45056263</v>
      </c>
      <c r="E129" s="13">
        <f>4331467.78+547268.03</f>
        <v>4878735.8100000005</v>
      </c>
      <c r="F129" s="13">
        <v>42247000</v>
      </c>
      <c r="G129" s="14">
        <f t="shared" si="3"/>
        <v>0.44072916238946458</v>
      </c>
    </row>
    <row r="130" spans="1:7" x14ac:dyDescent="0.25">
      <c r="A130" s="20"/>
      <c r="B130" s="16" t="s">
        <v>12</v>
      </c>
      <c r="C130" s="17">
        <f>SUM(C125:C129)</f>
        <v>907655895</v>
      </c>
      <c r="D130" s="17">
        <f>SUM(D125:D129)</f>
        <v>538331090</v>
      </c>
      <c r="E130" s="17">
        <f>SUM(E125:E129)</f>
        <v>50498515.370000005</v>
      </c>
      <c r="F130" s="17">
        <f>SUM(F125:F129)</f>
        <v>280763074</v>
      </c>
      <c r="G130" s="18">
        <f>SUM(F130/C130)</f>
        <v>0.30932765990573996</v>
      </c>
    </row>
    <row r="131" spans="1:7" x14ac:dyDescent="0.25">
      <c r="A131" s="11" t="s">
        <v>42</v>
      </c>
      <c r="B131" s="12" t="s">
        <v>10</v>
      </c>
      <c r="C131" s="13">
        <v>592265541</v>
      </c>
      <c r="D131" s="13">
        <v>395131889</v>
      </c>
      <c r="E131" s="13">
        <v>33260206</v>
      </c>
      <c r="F131" s="13">
        <v>135643940</v>
      </c>
      <c r="G131" s="14">
        <f t="shared" si="3"/>
        <v>0.22902554784965956</v>
      </c>
    </row>
    <row r="132" spans="1:7" x14ac:dyDescent="0.25">
      <c r="A132" s="19"/>
      <c r="B132" s="12" t="s">
        <v>11</v>
      </c>
      <c r="C132" s="13">
        <v>184713023</v>
      </c>
      <c r="D132" s="13">
        <v>99970218</v>
      </c>
      <c r="E132" s="13">
        <v>10074901</v>
      </c>
      <c r="F132" s="13">
        <v>69923046</v>
      </c>
      <c r="G132" s="14">
        <f t="shared" si="3"/>
        <v>0.37854962722363111</v>
      </c>
    </row>
    <row r="133" spans="1:7" x14ac:dyDescent="0.25">
      <c r="A133" s="19"/>
      <c r="B133" s="12" t="s">
        <v>18</v>
      </c>
      <c r="C133" s="13">
        <v>35614156</v>
      </c>
      <c r="D133" s="13">
        <v>18785690</v>
      </c>
      <c r="E133" s="13">
        <v>1868318</v>
      </c>
      <c r="F133" s="13">
        <v>13270070</v>
      </c>
      <c r="G133" s="14">
        <f t="shared" si="3"/>
        <v>0.37260661182031102</v>
      </c>
    </row>
    <row r="134" spans="1:7" x14ac:dyDescent="0.25">
      <c r="A134" s="19"/>
      <c r="B134" s="12" t="s">
        <v>32</v>
      </c>
      <c r="C134" s="13">
        <v>40780953</v>
      </c>
      <c r="D134" s="13">
        <v>22295780</v>
      </c>
      <c r="E134" s="13">
        <v>2268807</v>
      </c>
      <c r="F134" s="13">
        <v>14421872</v>
      </c>
      <c r="G134" s="14">
        <f t="shared" si="3"/>
        <v>0.35364234867194005</v>
      </c>
    </row>
    <row r="135" spans="1:7" x14ac:dyDescent="0.25">
      <c r="A135" s="19"/>
      <c r="B135" s="12" t="s">
        <v>33</v>
      </c>
      <c r="C135" s="13">
        <v>79560269</v>
      </c>
      <c r="D135" s="13">
        <v>36816645</v>
      </c>
      <c r="E135" s="13">
        <v>4218558</v>
      </c>
      <c r="F135" s="13">
        <v>35256072</v>
      </c>
      <c r="G135" s="14">
        <f t="shared" si="3"/>
        <v>0.44313666159172993</v>
      </c>
    </row>
    <row r="136" spans="1:7" x14ac:dyDescent="0.25">
      <c r="A136" s="20"/>
      <c r="B136" s="16" t="s">
        <v>12</v>
      </c>
      <c r="C136" s="17">
        <f>SUM(C131:C135)</f>
        <v>932933942</v>
      </c>
      <c r="D136" s="17">
        <f>SUM(D131:D135)</f>
        <v>573000222</v>
      </c>
      <c r="E136" s="17">
        <f>SUM(E131:E135)</f>
        <v>51690790</v>
      </c>
      <c r="F136" s="17">
        <f>SUM(F131:F135)</f>
        <v>268515000</v>
      </c>
      <c r="G136" s="18">
        <f>SUM(F136/C136)</f>
        <v>0.28781780564695114</v>
      </c>
    </row>
    <row r="137" spans="1:7" x14ac:dyDescent="0.25">
      <c r="A137" s="11" t="s">
        <v>43</v>
      </c>
      <c r="B137" s="12" t="s">
        <v>10</v>
      </c>
      <c r="C137" s="13">
        <v>587558948</v>
      </c>
      <c r="D137" s="13">
        <v>392077963</v>
      </c>
      <c r="E137" s="13">
        <v>33468530</v>
      </c>
      <c r="F137" s="13">
        <v>132623359</v>
      </c>
      <c r="G137" s="14">
        <f t="shared" si="3"/>
        <v>0.22571923966342183</v>
      </c>
    </row>
    <row r="138" spans="1:7" x14ac:dyDescent="0.25">
      <c r="A138" s="19"/>
      <c r="B138" s="12" t="s">
        <v>11</v>
      </c>
      <c r="C138" s="13">
        <v>187222868</v>
      </c>
      <c r="D138" s="13">
        <f>37047275+29117432+14255988.5+15926364</f>
        <v>96347059.5</v>
      </c>
      <c r="E138" s="13">
        <f>4342412+3198384+1543792+1159911</f>
        <v>10244499</v>
      </c>
      <c r="F138" s="13">
        <v>74681488</v>
      </c>
      <c r="G138" s="14">
        <f t="shared" si="3"/>
        <v>0.39889084489401155</v>
      </c>
    </row>
    <row r="139" spans="1:7" x14ac:dyDescent="0.25">
      <c r="A139" s="19"/>
      <c r="B139" s="12" t="s">
        <v>18</v>
      </c>
      <c r="C139" s="13">
        <v>32260541</v>
      </c>
      <c r="D139" s="13">
        <v>16988880</v>
      </c>
      <c r="E139" s="13">
        <v>1708677</v>
      </c>
      <c r="F139" s="13">
        <v>11157143</v>
      </c>
      <c r="G139" s="14">
        <f t="shared" si="3"/>
        <v>0.34584488214255305</v>
      </c>
    </row>
    <row r="140" spans="1:7" x14ac:dyDescent="0.25">
      <c r="A140" s="19"/>
      <c r="B140" s="12" t="s">
        <v>32</v>
      </c>
      <c r="C140" s="13">
        <v>41351503</v>
      </c>
      <c r="D140" s="13">
        <v>23578663</v>
      </c>
      <c r="E140" s="13">
        <v>2310713</v>
      </c>
      <c r="F140" s="13">
        <v>13603051</v>
      </c>
      <c r="G140" s="14">
        <f t="shared" si="3"/>
        <v>0.32896146483478483</v>
      </c>
    </row>
    <row r="141" spans="1:7" x14ac:dyDescent="0.25">
      <c r="A141" s="19"/>
      <c r="B141" s="12" t="s">
        <v>33</v>
      </c>
      <c r="C141" s="13">
        <v>121932928</v>
      </c>
      <c r="D141" s="13">
        <v>58312309</v>
      </c>
      <c r="E141" s="13">
        <v>6318278</v>
      </c>
      <c r="F141" s="13">
        <v>52799959</v>
      </c>
      <c r="G141" s="14">
        <f t="shared" si="3"/>
        <v>0.43302461333496395</v>
      </c>
    </row>
    <row r="142" spans="1:7" x14ac:dyDescent="0.25">
      <c r="A142" s="20"/>
      <c r="B142" s="16" t="s">
        <v>12</v>
      </c>
      <c r="C142" s="17">
        <f>SUM(C137:C141)</f>
        <v>970326788</v>
      </c>
      <c r="D142" s="17">
        <f>SUM(D137:D141)</f>
        <v>587304874.5</v>
      </c>
      <c r="E142" s="17">
        <f>SUM(E137:E141)</f>
        <v>54050697</v>
      </c>
      <c r="F142" s="17">
        <f>SUM(F137:F141)</f>
        <v>284865000</v>
      </c>
      <c r="G142" s="18">
        <f>SUM(F142/C142)</f>
        <v>0.293576353371788</v>
      </c>
    </row>
    <row r="143" spans="1:7" x14ac:dyDescent="0.25">
      <c r="A143" s="11" t="s">
        <v>44</v>
      </c>
      <c r="B143" s="12" t="s">
        <v>10</v>
      </c>
      <c r="C143" s="13">
        <v>594933065</v>
      </c>
      <c r="D143" s="13">
        <v>398300128</v>
      </c>
      <c r="E143" s="13">
        <v>34018805</v>
      </c>
      <c r="F143" s="13">
        <v>131695380</v>
      </c>
      <c r="G143" s="14">
        <f t="shared" si="3"/>
        <v>0.22136167536763149</v>
      </c>
    </row>
    <row r="144" spans="1:7" x14ac:dyDescent="0.25">
      <c r="A144" s="19"/>
      <c r="B144" s="12" t="s">
        <v>11</v>
      </c>
      <c r="C144" s="13">
        <v>197584181</v>
      </c>
      <c r="D144" s="13">
        <v>103082067</v>
      </c>
      <c r="E144" s="13">
        <v>10834124</v>
      </c>
      <c r="F144" s="13">
        <v>76944521</v>
      </c>
      <c r="G144" s="14">
        <f t="shared" si="3"/>
        <v>0.38942652499088476</v>
      </c>
    </row>
    <row r="145" spans="1:7" x14ac:dyDescent="0.25">
      <c r="A145" s="19"/>
      <c r="B145" s="12" t="s">
        <v>18</v>
      </c>
      <c r="C145" s="13">
        <v>30386267</v>
      </c>
      <c r="D145" s="13">
        <v>13909434</v>
      </c>
      <c r="E145" s="13">
        <v>1638392</v>
      </c>
      <c r="F145" s="13">
        <v>12908543</v>
      </c>
      <c r="G145" s="14">
        <f t="shared" si="3"/>
        <v>0.42481503239604917</v>
      </c>
    </row>
    <row r="146" spans="1:7" x14ac:dyDescent="0.25">
      <c r="A146" s="19"/>
      <c r="B146" s="12" t="s">
        <v>32</v>
      </c>
      <c r="C146" s="13">
        <v>41371201</v>
      </c>
      <c r="D146" s="13">
        <v>22306538</v>
      </c>
      <c r="E146" s="13">
        <v>2303378</v>
      </c>
      <c r="F146" s="13">
        <v>15032304</v>
      </c>
      <c r="G146" s="14">
        <f t="shared" si="3"/>
        <v>0.3633518881890811</v>
      </c>
    </row>
    <row r="147" spans="1:7" x14ac:dyDescent="0.25">
      <c r="A147" s="19"/>
      <c r="B147" s="12" t="s">
        <v>33</v>
      </c>
      <c r="C147" s="13">
        <v>92751720</v>
      </c>
      <c r="D147" s="13">
        <v>42256193</v>
      </c>
      <c r="E147" s="13">
        <v>4802545</v>
      </c>
      <c r="F147" s="13">
        <v>42419252</v>
      </c>
      <c r="G147" s="14">
        <f t="shared" si="3"/>
        <v>0.45734194471002804</v>
      </c>
    </row>
    <row r="148" spans="1:7" x14ac:dyDescent="0.25">
      <c r="A148" s="20"/>
      <c r="B148" s="16" t="s">
        <v>12</v>
      </c>
      <c r="C148" s="17">
        <f>SUM(C143:C147)</f>
        <v>957026434</v>
      </c>
      <c r="D148" s="17">
        <f>SUM(D143:D147)</f>
        <v>579854360</v>
      </c>
      <c r="E148" s="17">
        <f>SUM(E143:E147)</f>
        <v>53597244</v>
      </c>
      <c r="F148" s="17">
        <f>SUM(F143:F147)</f>
        <v>279000000</v>
      </c>
      <c r="G148" s="18">
        <f t="shared" ref="G148:G154" si="4">SUM(F148/C148)</f>
        <v>0.29152799764776405</v>
      </c>
    </row>
    <row r="149" spans="1:7" x14ac:dyDescent="0.25">
      <c r="A149" s="21" t="s">
        <v>45</v>
      </c>
      <c r="B149" s="12" t="s">
        <v>10</v>
      </c>
      <c r="C149" s="13">
        <v>618969398</v>
      </c>
      <c r="D149" s="13">
        <v>416045709</v>
      </c>
      <c r="E149" s="13">
        <v>35428740</v>
      </c>
      <c r="F149" s="13">
        <v>132909753</v>
      </c>
      <c r="G149" s="14">
        <f t="shared" si="4"/>
        <v>0.21472750257032902</v>
      </c>
    </row>
    <row r="150" spans="1:7" x14ac:dyDescent="0.25">
      <c r="A150" s="19"/>
      <c r="B150" s="12" t="s">
        <v>11</v>
      </c>
      <c r="C150" s="13">
        <v>207618854</v>
      </c>
      <c r="D150" s="13">
        <v>106745682</v>
      </c>
      <c r="E150" s="13">
        <v>11347768</v>
      </c>
      <c r="F150" s="13">
        <v>81706134</v>
      </c>
      <c r="G150" s="14">
        <f t="shared" si="4"/>
        <v>0.39353908580961533</v>
      </c>
    </row>
    <row r="151" spans="1:7" x14ac:dyDescent="0.25">
      <c r="A151" s="19"/>
      <c r="B151" s="12" t="s">
        <v>18</v>
      </c>
      <c r="C151" s="13">
        <v>32201001</v>
      </c>
      <c r="D151" s="13">
        <v>16740410</v>
      </c>
      <c r="E151" s="13">
        <v>1694567</v>
      </c>
      <c r="F151" s="13">
        <v>11179631</v>
      </c>
      <c r="G151" s="14">
        <f t="shared" si="4"/>
        <v>0.34718271646275839</v>
      </c>
    </row>
    <row r="152" spans="1:7" x14ac:dyDescent="0.25">
      <c r="A152" s="19"/>
      <c r="B152" s="12" t="s">
        <v>32</v>
      </c>
      <c r="C152" s="13">
        <v>41158693</v>
      </c>
      <c r="D152" s="13">
        <v>22064977</v>
      </c>
      <c r="E152" s="13">
        <v>2284323</v>
      </c>
      <c r="F152" s="13">
        <v>14756049</v>
      </c>
      <c r="G152" s="14">
        <f t="shared" si="4"/>
        <v>0.35851597619973014</v>
      </c>
    </row>
    <row r="153" spans="1:7" x14ac:dyDescent="0.25">
      <c r="A153" s="19"/>
      <c r="B153" s="12" t="s">
        <v>33</v>
      </c>
      <c r="C153" s="13">
        <v>98199946</v>
      </c>
      <c r="D153" s="13">
        <v>46620920</v>
      </c>
      <c r="E153" s="13">
        <v>5195017</v>
      </c>
      <c r="F153" s="13">
        <v>42448433</v>
      </c>
      <c r="G153" s="14">
        <f t="shared" si="4"/>
        <v>0.43226533953491175</v>
      </c>
    </row>
    <row r="154" spans="1:7" x14ac:dyDescent="0.25">
      <c r="A154" s="20"/>
      <c r="B154" s="16" t="s">
        <v>12</v>
      </c>
      <c r="C154" s="17">
        <f>SUM(C149:C153)</f>
        <v>998147892</v>
      </c>
      <c r="D154" s="17">
        <f>SUM(D149:D153)</f>
        <v>608217698</v>
      </c>
      <c r="E154" s="17">
        <f>SUM(E149:E153)</f>
        <v>55950415</v>
      </c>
      <c r="F154" s="17">
        <f>SUM(F149:F153)</f>
        <v>283000000</v>
      </c>
      <c r="G154" s="18">
        <f t="shared" si="4"/>
        <v>0.28352511914136269</v>
      </c>
    </row>
    <row r="155" spans="1:7" x14ac:dyDescent="0.25">
      <c r="A155" s="22" t="s">
        <v>46</v>
      </c>
      <c r="B155" s="12" t="s">
        <v>10</v>
      </c>
      <c r="C155" s="13">
        <v>610012538</v>
      </c>
      <c r="D155" s="13">
        <v>411235652</v>
      </c>
      <c r="E155" s="13">
        <v>35068745</v>
      </c>
      <c r="F155" s="13">
        <v>131044072</v>
      </c>
      <c r="G155" s="14">
        <f t="shared" si="3"/>
        <v>0.2148219320698618</v>
      </c>
    </row>
    <row r="156" spans="1:7" x14ac:dyDescent="0.25">
      <c r="A156" s="19"/>
      <c r="B156" s="12" t="s">
        <v>11</v>
      </c>
      <c r="C156" s="13">
        <v>206343277</v>
      </c>
      <c r="D156" s="13">
        <v>104479679</v>
      </c>
      <c r="E156" s="13">
        <v>11283728</v>
      </c>
      <c r="F156" s="13">
        <v>83895521</v>
      </c>
      <c r="G156" s="14">
        <f t="shared" si="3"/>
        <v>0.40658228472352892</v>
      </c>
    </row>
    <row r="157" spans="1:7" x14ac:dyDescent="0.25">
      <c r="A157" s="19"/>
      <c r="B157" s="12" t="s">
        <v>18</v>
      </c>
      <c r="C157" s="13">
        <v>32942176</v>
      </c>
      <c r="D157" s="13">
        <v>17260197</v>
      </c>
      <c r="E157" s="13">
        <v>1751660</v>
      </c>
      <c r="F157" s="13">
        <v>11852955</v>
      </c>
      <c r="G157" s="14">
        <f t="shared" si="3"/>
        <v>0.35981093052262242</v>
      </c>
    </row>
    <row r="158" spans="1:7" x14ac:dyDescent="0.25">
      <c r="A158" s="19"/>
      <c r="B158" s="12" t="s">
        <v>32</v>
      </c>
      <c r="C158" s="13">
        <v>40419912</v>
      </c>
      <c r="D158" s="13">
        <v>22710790</v>
      </c>
      <c r="E158" s="13">
        <v>2260747</v>
      </c>
      <c r="F158" s="13">
        <v>13741750</v>
      </c>
      <c r="G158" s="14">
        <f t="shared" si="3"/>
        <v>0.33997476293367485</v>
      </c>
    </row>
    <row r="159" spans="1:7" x14ac:dyDescent="0.25">
      <c r="A159" s="19"/>
      <c r="B159" s="12" t="s">
        <v>33</v>
      </c>
      <c r="C159" s="13">
        <v>92133639</v>
      </c>
      <c r="D159" s="13">
        <v>43702841</v>
      </c>
      <c r="E159" s="13">
        <v>4884335</v>
      </c>
      <c r="F159" s="13">
        <v>39607028</v>
      </c>
      <c r="G159" s="14">
        <f t="shared" si="3"/>
        <v>0.42988672139607986</v>
      </c>
    </row>
    <row r="160" spans="1:7" x14ac:dyDescent="0.25">
      <c r="A160" s="19"/>
      <c r="B160" s="23" t="s">
        <v>47</v>
      </c>
      <c r="C160" s="13">
        <v>9451502</v>
      </c>
      <c r="D160" s="13">
        <v>5323052</v>
      </c>
      <c r="E160" s="13">
        <v>521500</v>
      </c>
      <c r="F160" s="13">
        <v>2858674</v>
      </c>
      <c r="G160" s="14">
        <f t="shared" si="3"/>
        <v>0.30245711210768406</v>
      </c>
    </row>
    <row r="161" spans="1:7" x14ac:dyDescent="0.25">
      <c r="A161" s="20"/>
      <c r="B161" s="16" t="s">
        <v>12</v>
      </c>
      <c r="C161" s="17">
        <f>SUM(C155:C160)</f>
        <v>991303044</v>
      </c>
      <c r="D161" s="17">
        <f>SUM(D155:D160)</f>
        <v>604712211</v>
      </c>
      <c r="E161" s="17">
        <f>SUM(E155:E160)</f>
        <v>55770715</v>
      </c>
      <c r="F161" s="17">
        <f>SUM(F155:F160)</f>
        <v>283000000</v>
      </c>
      <c r="G161" s="18">
        <f t="shared" ref="G161:G218" si="5">SUM(F161/C161)</f>
        <v>0.2854828316254015</v>
      </c>
    </row>
    <row r="162" spans="1:7" x14ac:dyDescent="0.25">
      <c r="A162" s="19"/>
      <c r="B162" s="12"/>
      <c r="C162" s="13"/>
      <c r="D162" s="13"/>
      <c r="E162" s="13"/>
      <c r="F162" s="13"/>
      <c r="G162" s="14"/>
    </row>
    <row r="163" spans="1:7" x14ac:dyDescent="0.25">
      <c r="A163" s="21" t="s">
        <v>48</v>
      </c>
      <c r="B163" s="12" t="s">
        <v>10</v>
      </c>
      <c r="C163" s="13">
        <v>593374212</v>
      </c>
      <c r="D163" s="13">
        <v>404355377</v>
      </c>
      <c r="E163" s="13">
        <v>34136809</v>
      </c>
      <c r="F163" s="13">
        <v>124573554</v>
      </c>
      <c r="G163" s="14">
        <f t="shared" si="5"/>
        <v>0.20994096386514349</v>
      </c>
    </row>
    <row r="164" spans="1:7" x14ac:dyDescent="0.25">
      <c r="A164" s="19"/>
      <c r="B164" s="12" t="s">
        <v>11</v>
      </c>
      <c r="C164" s="13">
        <v>211315945</v>
      </c>
      <c r="D164" s="13">
        <v>107795980</v>
      </c>
      <c r="E164" s="13">
        <v>11549635</v>
      </c>
      <c r="F164" s="13">
        <v>85279639</v>
      </c>
      <c r="G164" s="14">
        <f t="shared" si="5"/>
        <v>0.40356461979241559</v>
      </c>
    </row>
    <row r="165" spans="1:7" x14ac:dyDescent="0.25">
      <c r="A165" s="19"/>
      <c r="B165" s="12" t="s">
        <v>18</v>
      </c>
      <c r="C165" s="13">
        <v>29904367</v>
      </c>
      <c r="D165" s="13">
        <v>15589157</v>
      </c>
      <c r="E165" s="13">
        <v>1577009</v>
      </c>
      <c r="F165" s="13">
        <v>10997520</v>
      </c>
      <c r="G165" s="14">
        <f t="shared" si="5"/>
        <v>0.36775632134263198</v>
      </c>
    </row>
    <row r="166" spans="1:7" x14ac:dyDescent="0.25">
      <c r="A166" s="19"/>
      <c r="B166" s="12" t="s">
        <v>32</v>
      </c>
      <c r="C166" s="13">
        <v>35041315</v>
      </c>
      <c r="D166" s="13">
        <v>18807556</v>
      </c>
      <c r="E166" s="13">
        <v>1953204</v>
      </c>
      <c r="F166" s="13">
        <v>12731898</v>
      </c>
      <c r="G166" s="14">
        <f t="shared" si="5"/>
        <v>0.36333961781970797</v>
      </c>
    </row>
    <row r="167" spans="1:7" x14ac:dyDescent="0.25">
      <c r="A167" s="19"/>
      <c r="B167" s="12" t="s">
        <v>33</v>
      </c>
      <c r="C167" s="13">
        <v>85282260</v>
      </c>
      <c r="D167" s="13">
        <v>40007359</v>
      </c>
      <c r="E167" s="13">
        <v>4378879</v>
      </c>
      <c r="F167" s="13">
        <v>37426507</v>
      </c>
      <c r="G167" s="14">
        <f t="shared" si="5"/>
        <v>0.43885454020566528</v>
      </c>
    </row>
    <row r="168" spans="1:7" x14ac:dyDescent="0.25">
      <c r="A168" s="19"/>
      <c r="B168" s="23" t="s">
        <v>47</v>
      </c>
      <c r="C168" s="13">
        <v>30698268</v>
      </c>
      <c r="D168" s="13">
        <v>16347174</v>
      </c>
      <c r="E168" s="13">
        <v>1704912</v>
      </c>
      <c r="F168" s="13">
        <v>10899087</v>
      </c>
      <c r="G168" s="14">
        <f t="shared" si="5"/>
        <v>0.35503915074296699</v>
      </c>
    </row>
    <row r="169" spans="1:7" x14ac:dyDescent="0.25">
      <c r="A169" s="19"/>
      <c r="B169" s="23" t="s">
        <v>49</v>
      </c>
      <c r="C169" s="13">
        <v>11230441</v>
      </c>
      <c r="D169" s="13">
        <v>5852184</v>
      </c>
      <c r="E169" s="13">
        <v>584486</v>
      </c>
      <c r="F169" s="13">
        <v>3591795</v>
      </c>
      <c r="G169" s="14">
        <f t="shared" si="5"/>
        <v>0.31982671027789561</v>
      </c>
    </row>
    <row r="170" spans="1:7" x14ac:dyDescent="0.25">
      <c r="A170" s="20"/>
      <c r="B170" s="16" t="s">
        <v>12</v>
      </c>
      <c r="C170" s="24">
        <f>SUM(C163:C169)</f>
        <v>996846808</v>
      </c>
      <c r="D170" s="24">
        <f>SUM(D163:D169)</f>
        <v>608754787</v>
      </c>
      <c r="E170" s="24">
        <f>SUM(E163:E169)</f>
        <v>55884934</v>
      </c>
      <c r="F170" s="24">
        <f>SUM(F163:F169)</f>
        <v>285500000</v>
      </c>
      <c r="G170" s="18">
        <f>SUM(F170/C170)</f>
        <v>0.2864030839129697</v>
      </c>
    </row>
    <row r="171" spans="1:7" x14ac:dyDescent="0.25">
      <c r="A171" s="25" t="s">
        <v>50</v>
      </c>
      <c r="B171" s="12" t="s">
        <v>10</v>
      </c>
      <c r="C171" s="26">
        <v>610567984</v>
      </c>
      <c r="D171" s="27">
        <v>415512551.69</v>
      </c>
      <c r="E171" s="27">
        <v>35051324.210000001</v>
      </c>
      <c r="F171" s="27">
        <v>127819253.22</v>
      </c>
      <c r="G171" s="14">
        <f t="shared" si="5"/>
        <v>0.2093448339407197</v>
      </c>
    </row>
    <row r="172" spans="1:7" x14ac:dyDescent="0.25">
      <c r="A172" s="11"/>
      <c r="B172" s="12" t="s">
        <v>11</v>
      </c>
      <c r="C172" s="26">
        <v>225380463</v>
      </c>
      <c r="D172" s="28">
        <f>41838424.5+29407547+23912088.5+20347799</f>
        <v>115505859</v>
      </c>
      <c r="E172" s="28">
        <f>4272813.97+3375808.78+2654167.65+2048618</f>
        <v>12351408.4</v>
      </c>
      <c r="F172" s="28">
        <f>28770528.66+28085721.64+20003444.99+13774217.63</f>
        <v>90633912.919999987</v>
      </c>
      <c r="G172" s="14">
        <f t="shared" si="5"/>
        <v>0.40213739786309688</v>
      </c>
    </row>
    <row r="173" spans="1:7" x14ac:dyDescent="0.25">
      <c r="A173" s="11"/>
      <c r="B173" s="12" t="s">
        <v>18</v>
      </c>
      <c r="C173" s="26">
        <v>24341107</v>
      </c>
      <c r="D173" s="28">
        <v>13759788.85</v>
      </c>
      <c r="E173" s="28">
        <v>1309095.03</v>
      </c>
      <c r="F173" s="28">
        <v>7815828.9000000004</v>
      </c>
      <c r="G173" s="14">
        <f t="shared" si="5"/>
        <v>0.32109586881155405</v>
      </c>
    </row>
    <row r="174" spans="1:7" x14ac:dyDescent="0.25">
      <c r="A174" s="11"/>
      <c r="B174" s="12" t="s">
        <v>32</v>
      </c>
      <c r="C174" s="26">
        <v>34243204</v>
      </c>
      <c r="D174" s="28">
        <v>18793329</v>
      </c>
      <c r="E174" s="28">
        <v>1897007.57</v>
      </c>
      <c r="F174" s="28">
        <v>12025354.59</v>
      </c>
      <c r="G174" s="14">
        <f t="shared" si="5"/>
        <v>0.3511749248113582</v>
      </c>
    </row>
    <row r="175" spans="1:7" x14ac:dyDescent="0.25">
      <c r="A175" s="11"/>
      <c r="B175" s="12" t="s">
        <v>33</v>
      </c>
      <c r="C175" s="26">
        <v>60280232</v>
      </c>
      <c r="D175" s="28">
        <v>28920895</v>
      </c>
      <c r="E175" s="28">
        <v>3137058.87</v>
      </c>
      <c r="F175" s="28">
        <v>25365447.559999999</v>
      </c>
      <c r="G175" s="14">
        <f t="shared" si="5"/>
        <v>0.42079213563743417</v>
      </c>
    </row>
    <row r="176" spans="1:7" x14ac:dyDescent="0.25">
      <c r="A176" s="11"/>
      <c r="B176" s="23" t="s">
        <v>47</v>
      </c>
      <c r="C176" s="26">
        <v>23815216</v>
      </c>
      <c r="D176" s="28">
        <v>8516599.7599999998</v>
      </c>
      <c r="E176" s="28">
        <v>1247962.28</v>
      </c>
      <c r="F176" s="28">
        <v>12381827.66</v>
      </c>
      <c r="G176" s="14">
        <f t="shared" si="5"/>
        <v>0.51991246520711798</v>
      </c>
    </row>
    <row r="177" spans="1:7" x14ac:dyDescent="0.25">
      <c r="A177" s="11"/>
      <c r="B177" s="23" t="s">
        <v>49</v>
      </c>
      <c r="C177" s="26">
        <v>33184547</v>
      </c>
      <c r="D177" s="28">
        <v>16688469.359999999</v>
      </c>
      <c r="E177" s="28">
        <v>1716137.17</v>
      </c>
      <c r="F177" s="28">
        <v>12212923.4</v>
      </c>
      <c r="G177" s="14">
        <f t="shared" si="5"/>
        <v>0.3680304389871587</v>
      </c>
    </row>
    <row r="178" spans="1:7" x14ac:dyDescent="0.25">
      <c r="A178" s="11"/>
      <c r="B178" s="23" t="s">
        <v>51</v>
      </c>
      <c r="C178" s="26">
        <v>4801260</v>
      </c>
      <c r="D178" s="28">
        <v>2436098</v>
      </c>
      <c r="E178" s="28">
        <v>253650.28</v>
      </c>
      <c r="F178" s="28">
        <v>1045451.75</v>
      </c>
      <c r="G178" s="14">
        <f t="shared" si="5"/>
        <v>0.21774528977809993</v>
      </c>
    </row>
    <row r="179" spans="1:7" x14ac:dyDescent="0.25">
      <c r="A179" s="15"/>
      <c r="B179" s="16" t="s">
        <v>12</v>
      </c>
      <c r="C179" s="29">
        <f>SUM(C171:C178)</f>
        <v>1016614013</v>
      </c>
      <c r="D179" s="28">
        <f>SUM(D171:D178)</f>
        <v>620133590.65999997</v>
      </c>
      <c r="E179" s="30">
        <f>SUM(E171:E178)</f>
        <v>56963643.810000002</v>
      </c>
      <c r="F179" s="30">
        <f>SUM(F171:F178)</f>
        <v>289300000</v>
      </c>
      <c r="G179" s="18">
        <f t="shared" si="5"/>
        <v>0.28457211517897896</v>
      </c>
    </row>
    <row r="180" spans="1:7" x14ac:dyDescent="0.25">
      <c r="A180" s="25" t="s">
        <v>52</v>
      </c>
      <c r="B180" s="12" t="s">
        <v>10</v>
      </c>
      <c r="C180" s="27">
        <v>653310309</v>
      </c>
      <c r="D180" s="31">
        <v>444692080.88999999</v>
      </c>
      <c r="E180" s="32">
        <v>37568545.600000001</v>
      </c>
      <c r="F180" s="27">
        <v>138263262.36000001</v>
      </c>
      <c r="G180" s="14">
        <f t="shared" si="5"/>
        <v>0.21163490068239535</v>
      </c>
    </row>
    <row r="181" spans="1:7" x14ac:dyDescent="0.25">
      <c r="A181" s="11"/>
      <c r="B181" s="12" t="s">
        <v>11</v>
      </c>
      <c r="C181" s="26">
        <v>220060261</v>
      </c>
      <c r="D181" s="28">
        <f>34185345.5+30479326+22268529+14339898</f>
        <v>101273098.5</v>
      </c>
      <c r="E181" s="28">
        <f>4036290.74+3288576.45+2605053.51+1990107.77</f>
        <v>11920028.469999999</v>
      </c>
      <c r="F181" s="28">
        <f>33288062.56+25201218.59+20909505.75+19344623.77</f>
        <v>98743410.670000002</v>
      </c>
      <c r="G181" s="14">
        <f t="shared" si="5"/>
        <v>0.44871077686307026</v>
      </c>
    </row>
    <row r="182" spans="1:7" x14ac:dyDescent="0.25">
      <c r="A182" s="11"/>
      <c r="B182" s="12" t="s">
        <v>18</v>
      </c>
      <c r="C182" s="26">
        <v>27372269</v>
      </c>
      <c r="D182" s="28">
        <v>16187954.439999999</v>
      </c>
      <c r="E182" s="28">
        <v>1473296.56</v>
      </c>
      <c r="F182" s="28">
        <v>8037180.79</v>
      </c>
      <c r="G182" s="14">
        <f t="shared" si="5"/>
        <v>0.29362493807144741</v>
      </c>
    </row>
    <row r="183" spans="1:7" x14ac:dyDescent="0.25">
      <c r="A183" s="11"/>
      <c r="B183" s="12" t="s">
        <v>32</v>
      </c>
      <c r="C183" s="26">
        <v>33780509</v>
      </c>
      <c r="D183" s="28">
        <v>17747250</v>
      </c>
      <c r="E183" s="28">
        <v>1866184.34</v>
      </c>
      <c r="F183" s="28">
        <v>12508299.310000001</v>
      </c>
      <c r="G183" s="14">
        <f t="shared" si="5"/>
        <v>0.37028155229987803</v>
      </c>
    </row>
    <row r="184" spans="1:7" x14ac:dyDescent="0.25">
      <c r="A184" s="11"/>
      <c r="B184" s="12" t="s">
        <v>33</v>
      </c>
      <c r="C184" s="26">
        <v>74281049</v>
      </c>
      <c r="D184" s="28">
        <v>34969809.82</v>
      </c>
      <c r="E184" s="28">
        <v>4005613.76</v>
      </c>
      <c r="F184" s="28">
        <v>31118463.82</v>
      </c>
      <c r="G184" s="14">
        <f t="shared" si="5"/>
        <v>0.41892870710536145</v>
      </c>
    </row>
    <row r="185" spans="1:7" x14ac:dyDescent="0.25">
      <c r="A185" s="11"/>
      <c r="B185" s="23" t="s">
        <v>47</v>
      </c>
      <c r="C185" s="26">
        <v>26871458</v>
      </c>
      <c r="D185" s="28">
        <v>22269606.940000001</v>
      </c>
      <c r="E185" s="28">
        <v>1517719.93</v>
      </c>
      <c r="F185" s="28">
        <v>4465932.03</v>
      </c>
      <c r="G185" s="14">
        <f t="shared" si="5"/>
        <v>0.16619611894523922</v>
      </c>
    </row>
    <row r="186" spans="1:7" x14ac:dyDescent="0.25">
      <c r="A186" s="11"/>
      <c r="B186" s="23" t="s">
        <v>49</v>
      </c>
      <c r="C186" s="26">
        <v>40628351</v>
      </c>
      <c r="D186" s="28">
        <v>20075204.57</v>
      </c>
      <c r="E186" s="28">
        <v>2087077.37</v>
      </c>
      <c r="F186" s="28">
        <v>15602137.699999999</v>
      </c>
      <c r="G186" s="14">
        <f t="shared" si="5"/>
        <v>0.38402094389703384</v>
      </c>
    </row>
    <row r="187" spans="1:7" x14ac:dyDescent="0.25">
      <c r="A187" s="11"/>
      <c r="B187" s="23" t="s">
        <v>51</v>
      </c>
      <c r="C187" s="26">
        <v>5435860</v>
      </c>
      <c r="D187" s="28">
        <v>2682811.3199999998</v>
      </c>
      <c r="E187" s="28">
        <v>301722.68</v>
      </c>
      <c r="F187" s="28">
        <v>1261313.32</v>
      </c>
      <c r="G187" s="14">
        <f t="shared" si="5"/>
        <v>0.2320356521323213</v>
      </c>
    </row>
    <row r="188" spans="1:7" x14ac:dyDescent="0.25">
      <c r="A188" s="15"/>
      <c r="B188" s="16" t="s">
        <v>12</v>
      </c>
      <c r="C188" s="29">
        <f>SUM(C180:C187)</f>
        <v>1081740066</v>
      </c>
      <c r="D188" s="30">
        <f>SUM(D180:D187)</f>
        <v>659897816.48000026</v>
      </c>
      <c r="E188" s="30">
        <f>SUM(E180:E187)</f>
        <v>60740188.710000001</v>
      </c>
      <c r="F188" s="30">
        <f>SUM(F180:F187)</f>
        <v>310000000</v>
      </c>
      <c r="G188" s="18">
        <f t="shared" si="5"/>
        <v>0.28657531485017584</v>
      </c>
    </row>
    <row r="189" spans="1:7" x14ac:dyDescent="0.25">
      <c r="A189" s="22" t="s">
        <v>53</v>
      </c>
      <c r="B189" s="12" t="s">
        <v>10</v>
      </c>
      <c r="C189" s="27">
        <v>667255859</v>
      </c>
      <c r="D189" s="31">
        <v>455121779.44999999</v>
      </c>
      <c r="E189" s="32">
        <v>38088114.200000003</v>
      </c>
      <c r="F189" s="27">
        <f>142064516.83+2552319.04</f>
        <v>144616835.87</v>
      </c>
      <c r="G189" s="14">
        <f t="shared" si="5"/>
        <v>0.21673370704714937</v>
      </c>
    </row>
    <row r="190" spans="1:7" x14ac:dyDescent="0.25">
      <c r="A190" s="11"/>
      <c r="B190" s="12" t="s">
        <v>11</v>
      </c>
      <c r="C190" s="26">
        <v>233618407</v>
      </c>
      <c r="D190" s="28">
        <f>38134366.5+46450472+27518961+22143178</f>
        <v>134246977.5</v>
      </c>
      <c r="E190" s="28">
        <f>4183296.27+3602276.56+2855003.27+2249652.6</f>
        <v>12890228.699999999</v>
      </c>
      <c r="F190" s="28">
        <f>30827635.53+610423.3+13330167.18+482701.25+19032704.18+343532.57+15802695.96+294602.75</f>
        <v>80724462.719999999</v>
      </c>
      <c r="G190" s="14">
        <f t="shared" si="5"/>
        <v>0.34553982178296422</v>
      </c>
    </row>
    <row r="191" spans="1:7" x14ac:dyDescent="0.25">
      <c r="A191" s="11"/>
      <c r="B191" s="12" t="s">
        <v>18</v>
      </c>
      <c r="C191" s="26">
        <v>22149929</v>
      </c>
      <c r="D191" s="28">
        <v>13634741.25</v>
      </c>
      <c r="E191" s="28">
        <v>1281486.19</v>
      </c>
      <c r="F191" s="28">
        <f>4833287.47+189522.87</f>
        <v>5022810.34</v>
      </c>
      <c r="G191" s="14">
        <f t="shared" si="5"/>
        <v>0.22676417337500268</v>
      </c>
    </row>
    <row r="192" spans="1:7" x14ac:dyDescent="0.25">
      <c r="A192" s="11"/>
      <c r="B192" s="12" t="s">
        <v>32</v>
      </c>
      <c r="C192" s="26">
        <v>32564213</v>
      </c>
      <c r="D192" s="28">
        <v>18217271</v>
      </c>
      <c r="E192" s="28">
        <v>1812913.62</v>
      </c>
      <c r="F192" s="28">
        <f>10934147.22+258548.67</f>
        <v>11192695.890000001</v>
      </c>
      <c r="G192" s="14">
        <f t="shared" si="5"/>
        <v>0.34371154279085453</v>
      </c>
    </row>
    <row r="193" spans="1:7" x14ac:dyDescent="0.25">
      <c r="A193" s="11"/>
      <c r="B193" s="12" t="s">
        <v>33</v>
      </c>
      <c r="C193" s="26">
        <v>107382701</v>
      </c>
      <c r="D193" s="28">
        <v>52395196.579999998</v>
      </c>
      <c r="E193" s="28">
        <v>5474194.9500000002</v>
      </c>
      <c r="F193" s="28">
        <f>45087666.95+691745.12</f>
        <v>45779412.07</v>
      </c>
      <c r="G193" s="14">
        <f t="shared" si="5"/>
        <v>0.42632017674802203</v>
      </c>
    </row>
    <row r="194" spans="1:7" x14ac:dyDescent="0.25">
      <c r="A194" s="11"/>
      <c r="B194" s="23" t="s">
        <v>47</v>
      </c>
      <c r="C194" s="26">
        <v>30432202</v>
      </c>
      <c r="D194" s="28">
        <v>11480814</v>
      </c>
      <c r="E194" s="28">
        <v>1668275.16</v>
      </c>
      <c r="F194" s="28">
        <f>14411607.83+0</f>
        <v>14411607.83</v>
      </c>
      <c r="G194" s="14">
        <f t="shared" si="5"/>
        <v>0.47356441147439809</v>
      </c>
    </row>
    <row r="195" spans="1:7" x14ac:dyDescent="0.25">
      <c r="A195" s="11"/>
      <c r="B195" s="23" t="s">
        <v>49</v>
      </c>
      <c r="C195" s="26">
        <v>23727284</v>
      </c>
      <c r="D195" s="28">
        <v>11186370.08</v>
      </c>
      <c r="E195" s="28">
        <v>1222354.9099999999</v>
      </c>
      <c r="F195" s="28">
        <f>8989327.21+157125.02</f>
        <v>9146452.2300000004</v>
      </c>
      <c r="G195" s="14">
        <f t="shared" si="5"/>
        <v>0.38548247789338219</v>
      </c>
    </row>
    <row r="196" spans="1:7" x14ac:dyDescent="0.25">
      <c r="A196" s="11"/>
      <c r="B196" s="23" t="s">
        <v>51</v>
      </c>
      <c r="C196" s="26">
        <v>5564355</v>
      </c>
      <c r="D196" s="28">
        <v>2779763.7</v>
      </c>
      <c r="E196" s="28">
        <v>327653.51</v>
      </c>
      <c r="F196" s="28">
        <f>1205723.05+0</f>
        <v>1205723.05</v>
      </c>
      <c r="G196" s="14">
        <f t="shared" si="5"/>
        <v>0.21668693855801796</v>
      </c>
    </row>
    <row r="197" spans="1:7" x14ac:dyDescent="0.25">
      <c r="A197" s="15"/>
      <c r="B197" s="16" t="s">
        <v>12</v>
      </c>
      <c r="C197" s="29">
        <f>SUM(C189:C196)</f>
        <v>1122694950</v>
      </c>
      <c r="D197" s="30">
        <f>SUM(D189:D196)</f>
        <v>699062913.56000018</v>
      </c>
      <c r="E197" s="30">
        <f>SUM(E189:E196)</f>
        <v>62765221.239999995</v>
      </c>
      <c r="F197" s="30">
        <f>SUM(F189:F196)</f>
        <v>312100000</v>
      </c>
      <c r="G197" s="18">
        <f t="shared" si="5"/>
        <v>0.2779918089058831</v>
      </c>
    </row>
    <row r="198" spans="1:7" x14ac:dyDescent="0.25">
      <c r="A198" s="33" t="s">
        <v>54</v>
      </c>
      <c r="B198" s="12" t="s">
        <v>10</v>
      </c>
      <c r="C198" s="31">
        <v>660230167</v>
      </c>
      <c r="D198" s="31">
        <v>449299386.38</v>
      </c>
      <c r="E198" s="31">
        <v>37696145.549999997</v>
      </c>
      <c r="F198" s="34">
        <v>137085414.99000001</v>
      </c>
      <c r="G198" s="14">
        <v>0.2076327648173035</v>
      </c>
    </row>
    <row r="199" spans="1:7" x14ac:dyDescent="0.25">
      <c r="A199" s="35"/>
      <c r="B199" s="12" t="s">
        <v>11</v>
      </c>
      <c r="C199" s="36">
        <v>235882739.5</v>
      </c>
      <c r="D199" s="36">
        <v>109225612</v>
      </c>
      <c r="E199" s="36">
        <v>12903693.57</v>
      </c>
      <c r="F199" s="37">
        <v>102665138.28</v>
      </c>
      <c r="G199" s="14">
        <v>0.43523802757937702</v>
      </c>
    </row>
    <row r="200" spans="1:7" x14ac:dyDescent="0.25">
      <c r="A200" s="35"/>
      <c r="B200" s="12" t="s">
        <v>18</v>
      </c>
      <c r="C200" s="36">
        <v>21591029</v>
      </c>
      <c r="D200" s="36">
        <v>11213844.060000001</v>
      </c>
      <c r="E200" s="36">
        <v>1133765.48</v>
      </c>
      <c r="F200" s="37">
        <v>7423066.3499999996</v>
      </c>
      <c r="G200" s="14">
        <v>0.34380326894100321</v>
      </c>
    </row>
    <row r="201" spans="1:7" x14ac:dyDescent="0.25">
      <c r="A201" s="35"/>
      <c r="B201" s="12" t="s">
        <v>32</v>
      </c>
      <c r="C201" s="36">
        <v>32317850</v>
      </c>
      <c r="D201" s="36">
        <v>17442201</v>
      </c>
      <c r="E201" s="36">
        <v>1791792.1</v>
      </c>
      <c r="F201" s="37">
        <v>11085040.210000001</v>
      </c>
      <c r="G201" s="14">
        <v>0.34300054644724204</v>
      </c>
    </row>
    <row r="202" spans="1:7" x14ac:dyDescent="0.25">
      <c r="A202" s="35"/>
      <c r="B202" s="12" t="s">
        <v>33</v>
      </c>
      <c r="C202" s="36">
        <v>82724850</v>
      </c>
      <c r="D202" s="36">
        <v>39913036.689999998</v>
      </c>
      <c r="E202" s="36">
        <v>4231524.8599999994</v>
      </c>
      <c r="F202" s="37">
        <v>33949091.060000002</v>
      </c>
      <c r="G202" s="14">
        <v>0.41038564663459653</v>
      </c>
    </row>
    <row r="203" spans="1:7" x14ac:dyDescent="0.25">
      <c r="A203" s="35"/>
      <c r="B203" s="23" t="s">
        <v>55</v>
      </c>
      <c r="C203" s="36">
        <v>25095112</v>
      </c>
      <c r="D203" s="36">
        <v>10995785.24</v>
      </c>
      <c r="E203" s="36">
        <v>1371384.07</v>
      </c>
      <c r="F203" s="37">
        <v>10619094.779999999</v>
      </c>
      <c r="G203" s="14">
        <v>0.42315391061016183</v>
      </c>
    </row>
    <row r="204" spans="1:7" x14ac:dyDescent="0.25">
      <c r="A204" s="35"/>
      <c r="B204" s="23" t="s">
        <v>49</v>
      </c>
      <c r="C204" s="36">
        <v>37567044</v>
      </c>
      <c r="D204" s="36">
        <v>18275336.789999999</v>
      </c>
      <c r="E204" s="36">
        <v>1935832.54</v>
      </c>
      <c r="F204" s="37">
        <v>14337803.18</v>
      </c>
      <c r="G204" s="14">
        <v>0.38165907277666028</v>
      </c>
    </row>
    <row r="205" spans="1:7" x14ac:dyDescent="0.25">
      <c r="A205" s="35"/>
      <c r="B205" s="23" t="s">
        <v>51</v>
      </c>
      <c r="C205" s="36">
        <v>4355130</v>
      </c>
      <c r="D205" s="36">
        <v>2506145</v>
      </c>
      <c r="E205" s="36">
        <v>270392.77</v>
      </c>
      <c r="F205" s="37">
        <v>1107871.27</v>
      </c>
      <c r="G205" s="14">
        <v>0.25438305400757266</v>
      </c>
    </row>
    <row r="206" spans="1:7" x14ac:dyDescent="0.25">
      <c r="A206" s="35"/>
      <c r="B206" s="12" t="s">
        <v>56</v>
      </c>
      <c r="C206" s="36">
        <v>12640612</v>
      </c>
      <c r="D206" s="36">
        <v>9920512</v>
      </c>
      <c r="E206" s="36">
        <v>742563.67</v>
      </c>
      <c r="F206" s="37">
        <v>1227479.8799999999</v>
      </c>
      <c r="G206" s="14">
        <v>9.7106048346393345E-2</v>
      </c>
    </row>
    <row r="207" spans="1:7" x14ac:dyDescent="0.25">
      <c r="A207" s="15"/>
      <c r="B207" s="16" t="s">
        <v>12</v>
      </c>
      <c r="C207" s="24">
        <v>1112404533.5</v>
      </c>
      <c r="D207" s="24">
        <v>668791859.15999985</v>
      </c>
      <c r="E207" s="24">
        <v>62077094.609999999</v>
      </c>
      <c r="F207" s="38">
        <v>319499999.99999994</v>
      </c>
      <c r="G207" s="18">
        <v>0.28721565795380671</v>
      </c>
    </row>
    <row r="208" spans="1:7" x14ac:dyDescent="0.25">
      <c r="A208" s="39" t="s">
        <v>57</v>
      </c>
      <c r="B208" s="12" t="s">
        <v>10</v>
      </c>
      <c r="C208" s="26">
        <v>687966813</v>
      </c>
      <c r="D208" s="40">
        <v>473504247.18000001</v>
      </c>
      <c r="E208" s="31">
        <v>39504837.950000003</v>
      </c>
      <c r="F208" s="26">
        <v>142939771.53</v>
      </c>
      <c r="G208" s="14">
        <f t="shared" si="5"/>
        <v>0.20777131807664681</v>
      </c>
    </row>
    <row r="209" spans="1:7" x14ac:dyDescent="0.25">
      <c r="A209" s="35"/>
      <c r="B209" s="12" t="s">
        <v>11</v>
      </c>
      <c r="C209" s="26">
        <v>231754969</v>
      </c>
      <c r="D209" s="41">
        <v>110244793.5</v>
      </c>
      <c r="E209" s="36">
        <v>12660308.720000001</v>
      </c>
      <c r="F209" s="26">
        <v>101041829.73</v>
      </c>
      <c r="G209" s="14">
        <f t="shared" si="5"/>
        <v>0.4359856022331931</v>
      </c>
    </row>
    <row r="210" spans="1:7" x14ac:dyDescent="0.25">
      <c r="A210" s="35"/>
      <c r="B210" s="12" t="s">
        <v>18</v>
      </c>
      <c r="C210" s="26">
        <v>20142906</v>
      </c>
      <c r="D210" s="41">
        <v>10463826.33</v>
      </c>
      <c r="E210" s="36">
        <v>1059355.8799999999</v>
      </c>
      <c r="F210" s="26">
        <v>7178948.9400000004</v>
      </c>
      <c r="G210" s="14">
        <f t="shared" si="5"/>
        <v>0.35640085596388132</v>
      </c>
    </row>
    <row r="211" spans="1:7" x14ac:dyDescent="0.25">
      <c r="A211" s="35"/>
      <c r="B211" s="12" t="s">
        <v>32</v>
      </c>
      <c r="C211" s="26">
        <v>31219560.5</v>
      </c>
      <c r="D211" s="41">
        <v>15898052</v>
      </c>
      <c r="E211" s="36">
        <v>1727269.81</v>
      </c>
      <c r="F211" s="26">
        <v>12034509.84</v>
      </c>
      <c r="G211" s="14">
        <f t="shared" si="5"/>
        <v>0.38547979687286116</v>
      </c>
    </row>
    <row r="212" spans="1:7" x14ac:dyDescent="0.25">
      <c r="A212" s="35"/>
      <c r="B212" s="12" t="s">
        <v>33</v>
      </c>
      <c r="C212" s="26">
        <v>66501582</v>
      </c>
      <c r="D212" s="41">
        <v>32591450</v>
      </c>
      <c r="E212" s="36">
        <v>3423184.53</v>
      </c>
      <c r="F212" s="26">
        <v>27550890.719999999</v>
      </c>
      <c r="G212" s="14">
        <f t="shared" si="5"/>
        <v>0.41428925284815027</v>
      </c>
    </row>
    <row r="213" spans="1:7" x14ac:dyDescent="0.25">
      <c r="A213" s="35"/>
      <c r="B213" s="23" t="s">
        <v>55</v>
      </c>
      <c r="C213" s="26">
        <v>21523384</v>
      </c>
      <c r="D213" s="41">
        <v>9463524.3499999996</v>
      </c>
      <c r="E213" s="36">
        <v>1170193.24</v>
      </c>
      <c r="F213" s="26">
        <v>9072984</v>
      </c>
      <c r="G213" s="14">
        <f t="shared" si="5"/>
        <v>0.4215407763017191</v>
      </c>
    </row>
    <row r="214" spans="1:7" x14ac:dyDescent="0.25">
      <c r="A214" s="35"/>
      <c r="B214" s="23" t="s">
        <v>49</v>
      </c>
      <c r="C214" s="26">
        <v>32370230</v>
      </c>
      <c r="D214" s="41">
        <v>15715775.5</v>
      </c>
      <c r="E214" s="36">
        <v>1672090.58</v>
      </c>
      <c r="F214" s="26">
        <v>12615906.85</v>
      </c>
      <c r="G214" s="14">
        <f t="shared" si="5"/>
        <v>0.3897379428567545</v>
      </c>
    </row>
    <row r="215" spans="1:7" x14ac:dyDescent="0.25">
      <c r="A215" s="35"/>
      <c r="B215" s="23" t="s">
        <v>51</v>
      </c>
      <c r="C215" s="26">
        <v>2896205</v>
      </c>
      <c r="D215" s="41">
        <v>2557302.5</v>
      </c>
      <c r="E215" s="36">
        <v>172589.33</v>
      </c>
      <c r="F215" s="26">
        <v>408541.02</v>
      </c>
      <c r="G215" s="14">
        <f t="shared" si="5"/>
        <v>0.14106080888611131</v>
      </c>
    </row>
    <row r="216" spans="1:7" x14ac:dyDescent="0.25">
      <c r="A216" s="35"/>
      <c r="B216" s="12" t="s">
        <v>56</v>
      </c>
      <c r="C216" s="26">
        <v>46322136</v>
      </c>
      <c r="D216" s="41">
        <v>35253639</v>
      </c>
      <c r="E216" s="36">
        <v>2675992.7400000002</v>
      </c>
      <c r="F216" s="26">
        <v>6276560.5499999998</v>
      </c>
      <c r="G216" s="14">
        <f t="shared" si="5"/>
        <v>0.1354980813060952</v>
      </c>
    </row>
    <row r="217" spans="1:7" x14ac:dyDescent="0.25">
      <c r="A217" s="35"/>
      <c r="B217" s="12" t="s">
        <v>58</v>
      </c>
      <c r="C217" s="26">
        <v>3275658</v>
      </c>
      <c r="D217" s="41">
        <v>2043180</v>
      </c>
      <c r="E217" s="36">
        <v>203762.58</v>
      </c>
      <c r="F217" s="26">
        <v>580056.81999999995</v>
      </c>
      <c r="G217" s="14">
        <f t="shared" si="5"/>
        <v>0.17708100784636246</v>
      </c>
    </row>
    <row r="218" spans="1:7" x14ac:dyDescent="0.25">
      <c r="A218" s="15"/>
      <c r="B218" s="16" t="s">
        <v>12</v>
      </c>
      <c r="C218" s="24">
        <f>SUM(C208:C217)</f>
        <v>1143973443.5</v>
      </c>
      <c r="D218" s="24">
        <f>SUM(D208:D217)</f>
        <v>707735790.36000013</v>
      </c>
      <c r="E218" s="24">
        <f>SUM(E208:E217)</f>
        <v>64269585.360000007</v>
      </c>
      <c r="F218" s="38">
        <f>SUM(F208:F217)</f>
        <v>319700000</v>
      </c>
      <c r="G218" s="18">
        <f t="shared" si="5"/>
        <v>0.27946452937043204</v>
      </c>
    </row>
    <row r="219" spans="1:7" x14ac:dyDescent="0.25">
      <c r="A219" s="42"/>
      <c r="B219" s="43"/>
      <c r="C219" s="26"/>
      <c r="D219" s="26"/>
      <c r="E219" s="26"/>
      <c r="F219" s="26"/>
      <c r="G219" s="44"/>
    </row>
    <row r="220" spans="1:7" x14ac:dyDescent="0.25">
      <c r="A220" s="45" t="s">
        <v>59</v>
      </c>
      <c r="B220" s="46" t="s">
        <v>10</v>
      </c>
      <c r="C220" s="32">
        <v>742295783</v>
      </c>
      <c r="D220" s="32">
        <v>511441349</v>
      </c>
      <c r="E220" s="32">
        <v>42364571</v>
      </c>
      <c r="F220" s="32">
        <v>150310809</v>
      </c>
      <c r="G220" s="47">
        <f>F220/C220</f>
        <v>0.20249449403109435</v>
      </c>
    </row>
    <row r="221" spans="1:7" x14ac:dyDescent="0.25">
      <c r="A221" s="48"/>
      <c r="B221" s="49" t="s">
        <v>11</v>
      </c>
      <c r="C221" s="26">
        <f>74016052+69493322+54197727+47354853</f>
        <v>245061954</v>
      </c>
      <c r="D221" s="26">
        <f>32430355+29712314+30532194+26205632</f>
        <v>118880495</v>
      </c>
      <c r="E221" s="26">
        <f>4029406+3715815+3021455+2579434</f>
        <v>13346110</v>
      </c>
      <c r="F221" s="26">
        <f>34457376+32907294+18433978+16364666</f>
        <v>102163314</v>
      </c>
      <c r="G221" s="14">
        <f t="shared" ref="G221:G231" si="6">F221/C221</f>
        <v>0.41688769852867491</v>
      </c>
    </row>
    <row r="222" spans="1:7" x14ac:dyDescent="0.25">
      <c r="A222" s="48"/>
      <c r="B222" s="49" t="s">
        <v>18</v>
      </c>
      <c r="C222" s="26">
        <v>19428940</v>
      </c>
      <c r="D222" s="26">
        <v>10629598</v>
      </c>
      <c r="E222" s="26">
        <v>1034619</v>
      </c>
      <c r="F222" s="26">
        <v>6478502</v>
      </c>
      <c r="G222" s="14">
        <f t="shared" si="6"/>
        <v>0.33344598315708424</v>
      </c>
    </row>
    <row r="223" spans="1:7" x14ac:dyDescent="0.25">
      <c r="A223" s="48"/>
      <c r="B223" s="49" t="s">
        <v>32</v>
      </c>
      <c r="C223" s="26">
        <v>30993510</v>
      </c>
      <c r="D223" s="26">
        <v>16665973</v>
      </c>
      <c r="E223" s="26">
        <v>1719509</v>
      </c>
      <c r="F223" s="26">
        <v>10977415</v>
      </c>
      <c r="G223" s="14">
        <f t="shared" si="6"/>
        <v>0.35418431148972801</v>
      </c>
    </row>
    <row r="224" spans="1:7" x14ac:dyDescent="0.25">
      <c r="A224" s="48"/>
      <c r="B224" s="49" t="s">
        <v>33</v>
      </c>
      <c r="C224" s="26">
        <v>106270797</v>
      </c>
      <c r="D224" s="26">
        <v>51351684</v>
      </c>
      <c r="E224" s="26">
        <v>5444137</v>
      </c>
      <c r="F224" s="26">
        <v>44745722</v>
      </c>
      <c r="G224" s="14">
        <f t="shared" si="6"/>
        <v>0.42105379147575228</v>
      </c>
    </row>
    <row r="225" spans="1:7" x14ac:dyDescent="0.25">
      <c r="A225" s="48"/>
      <c r="B225" s="50" t="s">
        <v>55</v>
      </c>
      <c r="C225" s="26">
        <v>21709046</v>
      </c>
      <c r="D225" s="26">
        <v>11998051</v>
      </c>
      <c r="E225" s="26">
        <v>1175611</v>
      </c>
      <c r="F225" s="26">
        <v>6812807</v>
      </c>
      <c r="G225" s="14">
        <f t="shared" si="6"/>
        <v>0.31382341720589657</v>
      </c>
    </row>
    <row r="226" spans="1:7" x14ac:dyDescent="0.25">
      <c r="A226" s="48"/>
      <c r="B226" s="50" t="s">
        <v>49</v>
      </c>
      <c r="C226" s="26">
        <v>29405675</v>
      </c>
      <c r="D226" s="26">
        <v>14367011</v>
      </c>
      <c r="E226" s="26">
        <v>1538960</v>
      </c>
      <c r="F226" s="26">
        <v>11426808</v>
      </c>
      <c r="G226" s="14">
        <f t="shared" si="6"/>
        <v>0.38859192995909803</v>
      </c>
    </row>
    <row r="227" spans="1:7" x14ac:dyDescent="0.25">
      <c r="A227" s="48"/>
      <c r="B227" s="50" t="s">
        <v>51</v>
      </c>
      <c r="C227" s="26">
        <v>0</v>
      </c>
      <c r="D227" s="26">
        <v>0</v>
      </c>
      <c r="E227" s="26">
        <v>0</v>
      </c>
      <c r="F227" s="26">
        <v>0</v>
      </c>
      <c r="G227" s="14">
        <v>0</v>
      </c>
    </row>
    <row r="228" spans="1:7" x14ac:dyDescent="0.25">
      <c r="A228" s="48"/>
      <c r="B228" s="49" t="s">
        <v>56</v>
      </c>
      <c r="C228" s="26">
        <v>13107090</v>
      </c>
      <c r="D228" s="26">
        <v>10555723</v>
      </c>
      <c r="E228" s="26">
        <v>759847</v>
      </c>
      <c r="F228" s="26">
        <v>923983</v>
      </c>
      <c r="G228" s="14">
        <f t="shared" si="6"/>
        <v>7.0494900088425419E-2</v>
      </c>
    </row>
    <row r="229" spans="1:7" x14ac:dyDescent="0.25">
      <c r="A229" s="48"/>
      <c r="B229" s="49" t="s">
        <v>58</v>
      </c>
      <c r="C229" s="26">
        <v>10053084</v>
      </c>
      <c r="D229" s="26">
        <v>6161495</v>
      </c>
      <c r="E229" s="26">
        <v>607229</v>
      </c>
      <c r="F229" s="26">
        <v>2540489</v>
      </c>
      <c r="G229" s="14">
        <f t="shared" si="6"/>
        <v>0.25270742788978984</v>
      </c>
    </row>
    <row r="230" spans="1:7" x14ac:dyDescent="0.25">
      <c r="A230" s="48"/>
      <c r="B230" s="50" t="s">
        <v>60</v>
      </c>
      <c r="C230" s="26">
        <v>12443520</v>
      </c>
      <c r="D230" s="26">
        <v>8217284</v>
      </c>
      <c r="E230" s="26">
        <v>696964</v>
      </c>
      <c r="F230" s="26">
        <v>1120151</v>
      </c>
      <c r="G230" s="14">
        <f t="shared" si="6"/>
        <v>9.0018821040991612E-2</v>
      </c>
    </row>
    <row r="231" spans="1:7" x14ac:dyDescent="0.25">
      <c r="A231" s="20"/>
      <c r="B231" s="51" t="s">
        <v>12</v>
      </c>
      <c r="C231" s="29">
        <f>SUM(C220:C230)</f>
        <v>1230769399</v>
      </c>
      <c r="D231" s="29">
        <f>SUM(D220:D230)</f>
        <v>760268663</v>
      </c>
      <c r="E231" s="29">
        <f>SUM(E220:E230)</f>
        <v>68687557</v>
      </c>
      <c r="F231" s="29">
        <f>SUM(F220:F230)</f>
        <v>337500000</v>
      </c>
      <c r="G231" s="18">
        <f t="shared" si="6"/>
        <v>0.27421871251772972</v>
      </c>
    </row>
    <row r="232" spans="1:7" x14ac:dyDescent="0.25">
      <c r="A232" s="52"/>
      <c r="B232" s="43"/>
      <c r="C232" s="53"/>
      <c r="D232" s="53"/>
      <c r="E232" s="53"/>
      <c r="F232" s="53"/>
      <c r="G232" s="44"/>
    </row>
    <row r="233" spans="1:7" x14ac:dyDescent="0.25">
      <c r="A233" s="25" t="s">
        <v>61</v>
      </c>
      <c r="B233" s="54" t="s">
        <v>10</v>
      </c>
      <c r="C233" s="31">
        <v>720623419</v>
      </c>
      <c r="D233" s="31">
        <v>497873541</v>
      </c>
      <c r="E233" s="31">
        <v>41106240</v>
      </c>
      <c r="F233" s="31">
        <v>144232958</v>
      </c>
      <c r="G233" s="47">
        <f>F233/C233</f>
        <v>0.20015025073727169</v>
      </c>
    </row>
    <row r="234" spans="1:7" x14ac:dyDescent="0.25">
      <c r="A234" s="19"/>
      <c r="B234" s="12" t="s">
        <v>11</v>
      </c>
      <c r="C234" s="36">
        <f>70238299+70423398+51521740+47899548</f>
        <v>240082985</v>
      </c>
      <c r="D234" s="36">
        <f>33375413+39664046+24986186+19741526</f>
        <v>117767171</v>
      </c>
      <c r="E234" s="36">
        <f>3862343+3842885+2836907+2567194</f>
        <v>13109329</v>
      </c>
      <c r="F234" s="36">
        <f>30747193+24440148+21894755+23610112</f>
        <v>100692208</v>
      </c>
      <c r="G234" s="14">
        <f t="shared" ref="G234:G244" si="7">F234/C234</f>
        <v>0.41940584835697542</v>
      </c>
    </row>
    <row r="235" spans="1:7" x14ac:dyDescent="0.25">
      <c r="A235" s="19"/>
      <c r="B235" s="12" t="s">
        <v>18</v>
      </c>
      <c r="C235" s="36">
        <v>18305182</v>
      </c>
      <c r="D235" s="36">
        <v>9718792</v>
      </c>
      <c r="E235" s="36">
        <v>962874</v>
      </c>
      <c r="F235" s="36">
        <v>6741923</v>
      </c>
      <c r="G235" s="14">
        <f t="shared" si="7"/>
        <v>0.36830679968109575</v>
      </c>
    </row>
    <row r="236" spans="1:7" x14ac:dyDescent="0.25">
      <c r="A236" s="19"/>
      <c r="B236" s="12" t="s">
        <v>32</v>
      </c>
      <c r="C236" s="36">
        <v>30079455</v>
      </c>
      <c r="D236" s="36">
        <v>17727111</v>
      </c>
      <c r="E236" s="36">
        <v>1691730</v>
      </c>
      <c r="F236" s="36">
        <v>8641153</v>
      </c>
      <c r="G236" s="14">
        <f t="shared" si="7"/>
        <v>0.28727757866623582</v>
      </c>
    </row>
    <row r="237" spans="1:7" x14ac:dyDescent="0.25">
      <c r="A237" s="19"/>
      <c r="B237" s="12" t="s">
        <v>33</v>
      </c>
      <c r="C237" s="36">
        <v>78619022</v>
      </c>
      <c r="D237" s="36">
        <v>35506055</v>
      </c>
      <c r="E237" s="36">
        <v>4038225</v>
      </c>
      <c r="F237" s="36">
        <v>35967528</v>
      </c>
      <c r="G237" s="14">
        <f t="shared" si="7"/>
        <v>0.45749141982458136</v>
      </c>
    </row>
    <row r="238" spans="1:7" x14ac:dyDescent="0.25">
      <c r="A238" s="19"/>
      <c r="B238" s="12" t="s">
        <v>55</v>
      </c>
      <c r="C238" s="36">
        <v>20405410</v>
      </c>
      <c r="D238" s="36">
        <v>12747168</v>
      </c>
      <c r="E238" s="36">
        <v>1116058</v>
      </c>
      <c r="F238" s="36">
        <v>5257971</v>
      </c>
      <c r="G238" s="14">
        <f t="shared" si="7"/>
        <v>0.25767534198038655</v>
      </c>
    </row>
    <row r="239" spans="1:7" x14ac:dyDescent="0.25">
      <c r="A239" s="19"/>
      <c r="B239" s="12" t="s">
        <v>49</v>
      </c>
      <c r="C239" s="36">
        <v>29106586</v>
      </c>
      <c r="D239" s="36">
        <v>14289230</v>
      </c>
      <c r="E239" s="36">
        <v>1487259</v>
      </c>
      <c r="F239" s="36">
        <v>11286005</v>
      </c>
      <c r="G239" s="14">
        <f t="shared" si="7"/>
        <v>0.38774746718835384</v>
      </c>
    </row>
    <row r="240" spans="1:7" x14ac:dyDescent="0.25">
      <c r="A240" s="19"/>
      <c r="B240" s="12" t="s">
        <v>51</v>
      </c>
      <c r="C240" s="36">
        <v>0</v>
      </c>
      <c r="D240" s="36">
        <v>0</v>
      </c>
      <c r="E240" s="36">
        <v>0</v>
      </c>
      <c r="F240" s="36">
        <v>0</v>
      </c>
      <c r="G240" s="14">
        <v>0</v>
      </c>
    </row>
    <row r="241" spans="1:7" x14ac:dyDescent="0.25">
      <c r="A241" s="19"/>
      <c r="B241" s="12" t="s">
        <v>56</v>
      </c>
      <c r="C241" s="36">
        <v>0</v>
      </c>
      <c r="D241" s="36">
        <v>-31633</v>
      </c>
      <c r="E241" s="36">
        <v>750</v>
      </c>
      <c r="F241" s="36">
        <v>0</v>
      </c>
      <c r="G241" s="14">
        <v>0</v>
      </c>
    </row>
    <row r="242" spans="1:7" x14ac:dyDescent="0.25">
      <c r="A242" s="19"/>
      <c r="B242" s="12" t="s">
        <v>58</v>
      </c>
      <c r="C242" s="36">
        <v>6857556</v>
      </c>
      <c r="D242" s="36">
        <v>4314430</v>
      </c>
      <c r="E242" s="36">
        <v>384862</v>
      </c>
      <c r="F242" s="36">
        <v>1423890</v>
      </c>
      <c r="G242" s="14">
        <f t="shared" si="7"/>
        <v>0.20763811480358307</v>
      </c>
    </row>
    <row r="243" spans="1:7" x14ac:dyDescent="0.25">
      <c r="A243" s="19"/>
      <c r="B243" s="12" t="s">
        <v>60</v>
      </c>
      <c r="C243" s="36">
        <v>72182406</v>
      </c>
      <c r="D243" s="36">
        <v>46377002</v>
      </c>
      <c r="E243" s="36">
        <v>4086202</v>
      </c>
      <c r="F243" s="36">
        <v>16026364</v>
      </c>
      <c r="G243" s="14">
        <f t="shared" si="7"/>
        <v>0.22202590476133477</v>
      </c>
    </row>
    <row r="244" spans="1:7" x14ac:dyDescent="0.25">
      <c r="A244" s="20"/>
      <c r="B244" s="16" t="s">
        <v>12</v>
      </c>
      <c r="C244" s="24">
        <f>SUM(C233:C243)</f>
        <v>1216262021</v>
      </c>
      <c r="D244" s="24">
        <f>SUM(D233:D243)</f>
        <v>756288867</v>
      </c>
      <c r="E244" s="24">
        <f>SUM(E233:E243)</f>
        <v>67983529</v>
      </c>
      <c r="F244" s="24">
        <f>SUM(F233:F243)</f>
        <v>330270000</v>
      </c>
      <c r="G244" s="18">
        <f t="shared" si="7"/>
        <v>0.27154510647997943</v>
      </c>
    </row>
    <row r="245" spans="1:7" x14ac:dyDescent="0.25">
      <c r="A245" s="52"/>
      <c r="B245" s="43"/>
      <c r="C245" s="26"/>
      <c r="D245" s="26"/>
      <c r="E245" s="26"/>
      <c r="F245" s="26"/>
      <c r="G245" s="55"/>
    </row>
    <row r="246" spans="1:7" x14ac:dyDescent="0.25">
      <c r="A246" s="25" t="s">
        <v>62</v>
      </c>
      <c r="B246" s="54" t="s">
        <v>10</v>
      </c>
      <c r="C246" s="31">
        <v>730691892</v>
      </c>
      <c r="D246" s="31">
        <v>506086734</v>
      </c>
      <c r="E246" s="31">
        <v>41692173</v>
      </c>
      <c r="F246" s="31">
        <v>145042497</v>
      </c>
      <c r="G246" s="47">
        <f>F246/C246</f>
        <v>0.19850021409571081</v>
      </c>
    </row>
    <row r="247" spans="1:7" x14ac:dyDescent="0.25">
      <c r="A247" s="19"/>
      <c r="B247" s="12" t="s">
        <v>11</v>
      </c>
      <c r="C247" s="36">
        <f>51693123+49031005+69923174+71837973</f>
        <v>242485275</v>
      </c>
      <c r="D247" s="36">
        <f>26725438+20381232+34483664+39272684</f>
        <v>120863018</v>
      </c>
      <c r="E247" s="36">
        <f>2857006+2628063+3851593+3908167</f>
        <v>13244829</v>
      </c>
      <c r="F247" s="36">
        <f>20399717+24479048+29901019+26786306</f>
        <v>101566090</v>
      </c>
      <c r="G247" s="14">
        <f t="shared" ref="G247:G258" si="8">F247/C247</f>
        <v>0.41885467065989884</v>
      </c>
    </row>
    <row r="248" spans="1:7" x14ac:dyDescent="0.25">
      <c r="A248" s="19"/>
      <c r="B248" s="12" t="s">
        <v>18</v>
      </c>
      <c r="C248" s="36">
        <v>18814671</v>
      </c>
      <c r="D248" s="36">
        <v>11004245</v>
      </c>
      <c r="E248" s="36">
        <v>1013134</v>
      </c>
      <c r="F248" s="36">
        <v>5740453</v>
      </c>
      <c r="G248" s="14">
        <f t="shared" si="8"/>
        <v>0.30510514906160197</v>
      </c>
    </row>
    <row r="249" spans="1:7" x14ac:dyDescent="0.25">
      <c r="A249" s="19"/>
      <c r="B249" s="12" t="s">
        <v>32</v>
      </c>
      <c r="C249" s="36">
        <v>31214064</v>
      </c>
      <c r="D249" s="36">
        <v>18085907</v>
      </c>
      <c r="E249" s="36">
        <v>1794948</v>
      </c>
      <c r="F249" s="36">
        <v>9995750</v>
      </c>
      <c r="G249" s="14">
        <f t="shared" si="8"/>
        <v>0.32023225171832798</v>
      </c>
    </row>
    <row r="250" spans="1:7" x14ac:dyDescent="0.25">
      <c r="A250" s="19"/>
      <c r="B250" s="12" t="s">
        <v>33</v>
      </c>
      <c r="C250" s="36">
        <v>88134827</v>
      </c>
      <c r="D250" s="36">
        <v>42508410</v>
      </c>
      <c r="E250" s="36">
        <v>4508310</v>
      </c>
      <c r="F250" s="36">
        <v>37923567</v>
      </c>
      <c r="G250" s="14">
        <f t="shared" si="8"/>
        <v>0.43029036637242163</v>
      </c>
    </row>
    <row r="251" spans="1:7" x14ac:dyDescent="0.25">
      <c r="A251" s="19"/>
      <c r="B251" s="12" t="s">
        <v>55</v>
      </c>
      <c r="C251" s="36">
        <v>19577098</v>
      </c>
      <c r="D251" s="36">
        <v>11256753</v>
      </c>
      <c r="E251" s="36">
        <v>1070929</v>
      </c>
      <c r="F251" s="36">
        <v>5813739</v>
      </c>
      <c r="G251" s="14">
        <f t="shared" si="8"/>
        <v>0.296966332803769</v>
      </c>
    </row>
    <row r="252" spans="1:7" x14ac:dyDescent="0.25">
      <c r="A252" s="19"/>
      <c r="B252" s="12" t="s">
        <v>49</v>
      </c>
      <c r="C252" s="36">
        <v>42157718</v>
      </c>
      <c r="D252" s="36">
        <v>20774708</v>
      </c>
      <c r="E252" s="36">
        <v>2170035</v>
      </c>
      <c r="F252" s="36">
        <v>17128484</v>
      </c>
      <c r="G252" s="14">
        <f t="shared" si="8"/>
        <v>0.40629533126057726</v>
      </c>
    </row>
    <row r="253" spans="1:7" x14ac:dyDescent="0.25">
      <c r="A253" s="19"/>
      <c r="B253" s="12" t="s">
        <v>51</v>
      </c>
      <c r="C253" s="36">
        <v>0</v>
      </c>
      <c r="D253" s="36">
        <v>0</v>
      </c>
      <c r="E253" s="36">
        <v>0</v>
      </c>
      <c r="F253" s="36">
        <v>0</v>
      </c>
      <c r="G253" s="14">
        <v>0</v>
      </c>
    </row>
    <row r="254" spans="1:7" x14ac:dyDescent="0.25">
      <c r="A254" s="19"/>
      <c r="B254" s="12" t="s">
        <v>56</v>
      </c>
      <c r="C254" s="36">
        <v>0</v>
      </c>
      <c r="D254" s="36">
        <v>-227192</v>
      </c>
      <c r="E254" s="36">
        <v>0</v>
      </c>
      <c r="F254" s="36">
        <v>0</v>
      </c>
      <c r="G254" s="14">
        <v>0</v>
      </c>
    </row>
    <row r="255" spans="1:7" x14ac:dyDescent="0.25">
      <c r="A255" s="19"/>
      <c r="B255" s="12" t="s">
        <v>58</v>
      </c>
      <c r="C255" s="36">
        <v>5941739</v>
      </c>
      <c r="D255" s="36">
        <v>3470350</v>
      </c>
      <c r="E255" s="36">
        <v>330325</v>
      </c>
      <c r="F255" s="36">
        <v>1409659</v>
      </c>
      <c r="G255" s="14">
        <f t="shared" si="8"/>
        <v>0.23724687334802153</v>
      </c>
    </row>
    <row r="256" spans="1:7" x14ac:dyDescent="0.25">
      <c r="A256" s="19"/>
      <c r="B256" s="12" t="s">
        <v>60</v>
      </c>
      <c r="C256" s="36">
        <v>86427989</v>
      </c>
      <c r="D256" s="36">
        <v>55928844</v>
      </c>
      <c r="E256" s="36">
        <v>4868398</v>
      </c>
      <c r="F256" s="36">
        <v>19986693</v>
      </c>
      <c r="G256" s="14">
        <f t="shared" si="8"/>
        <v>0.2312525517630637</v>
      </c>
    </row>
    <row r="257" spans="1:7" x14ac:dyDescent="0.25">
      <c r="A257" s="19"/>
      <c r="B257" s="12" t="s">
        <v>63</v>
      </c>
      <c r="C257" s="36">
        <v>2146010</v>
      </c>
      <c r="D257" s="36">
        <v>2837800</v>
      </c>
      <c r="E257" s="36">
        <v>129808</v>
      </c>
      <c r="F257" s="36">
        <v>393067</v>
      </c>
      <c r="G257" s="14">
        <f t="shared" si="8"/>
        <v>0.18316177464224304</v>
      </c>
    </row>
    <row r="258" spans="1:7" x14ac:dyDescent="0.25">
      <c r="A258" s="20"/>
      <c r="B258" s="16" t="s">
        <v>12</v>
      </c>
      <c r="C258" s="24">
        <f>SUM(C246:C257)</f>
        <v>1267591283</v>
      </c>
      <c r="D258" s="24">
        <f>SUM(D246:D257)</f>
        <v>792589577</v>
      </c>
      <c r="E258" s="24">
        <v>70822890</v>
      </c>
      <c r="F258" s="24">
        <v>345000000</v>
      </c>
      <c r="G258" s="18">
        <f t="shared" si="8"/>
        <v>0.27216974795179305</v>
      </c>
    </row>
    <row r="259" spans="1:7" x14ac:dyDescent="0.25">
      <c r="A259" s="52"/>
      <c r="B259" s="43"/>
      <c r="C259" s="26"/>
      <c r="D259" s="26"/>
      <c r="E259" s="26"/>
      <c r="F259" s="26"/>
      <c r="G259" s="55"/>
    </row>
    <row r="260" spans="1:7" x14ac:dyDescent="0.25">
      <c r="A260" s="25" t="s">
        <v>64</v>
      </c>
      <c r="B260" s="54" t="s">
        <v>10</v>
      </c>
      <c r="C260" s="31">
        <v>736442734</v>
      </c>
      <c r="D260" s="31">
        <v>508651543</v>
      </c>
      <c r="E260" s="31">
        <v>42042723</v>
      </c>
      <c r="F260" s="31">
        <v>147707886</v>
      </c>
      <c r="G260" s="47">
        <f>F260/C260</f>
        <v>0.2005694118234046</v>
      </c>
    </row>
    <row r="261" spans="1:7" x14ac:dyDescent="0.25">
      <c r="A261" s="19"/>
      <c r="B261" s="12" t="s">
        <v>11</v>
      </c>
      <c r="C261" s="36">
        <f>54459727+50328037+72252709+72656042</f>
        <v>249696515</v>
      </c>
      <c r="D261" s="36">
        <f>32044203+23057162+36740111+28941499</f>
        <v>120782975</v>
      </c>
      <c r="E261" s="36">
        <f>3047578+2703540+3981939+3853703</f>
        <v>13586760</v>
      </c>
      <c r="F261" s="36">
        <f>17391953+22183312+29002896+36976565</f>
        <v>105554726</v>
      </c>
      <c r="G261" s="14">
        <f t="shared" ref="G261:G272" si="9">F261/C261</f>
        <v>0.42273207537558144</v>
      </c>
    </row>
    <row r="262" spans="1:7" x14ac:dyDescent="0.25">
      <c r="A262" s="19"/>
      <c r="B262" s="12" t="s">
        <v>18</v>
      </c>
      <c r="C262" s="36">
        <v>35032173</v>
      </c>
      <c r="D262" s="36">
        <v>18332284</v>
      </c>
      <c r="E262" s="36">
        <v>1787209</v>
      </c>
      <c r="F262" s="36">
        <v>13292354</v>
      </c>
      <c r="G262" s="14">
        <f t="shared" si="9"/>
        <v>0.37943275742558136</v>
      </c>
    </row>
    <row r="263" spans="1:7" x14ac:dyDescent="0.25">
      <c r="A263" s="19"/>
      <c r="B263" s="12" t="s">
        <v>32</v>
      </c>
      <c r="C263" s="36">
        <v>31168395</v>
      </c>
      <c r="D263" s="36">
        <v>19237144</v>
      </c>
      <c r="E263" s="36">
        <v>1759048</v>
      </c>
      <c r="F263" s="36">
        <v>8653143</v>
      </c>
      <c r="G263" s="14">
        <f t="shared" si="9"/>
        <v>0.27762555627262808</v>
      </c>
    </row>
    <row r="264" spans="1:7" x14ac:dyDescent="0.25">
      <c r="A264" s="19"/>
      <c r="B264" s="12" t="s">
        <v>33</v>
      </c>
      <c r="C264" s="36">
        <v>81446586</v>
      </c>
      <c r="D264" s="36">
        <v>38085847</v>
      </c>
      <c r="E264" s="36">
        <v>4165506</v>
      </c>
      <c r="F264" s="36">
        <v>35050424</v>
      </c>
      <c r="G264" s="14">
        <f t="shared" si="9"/>
        <v>0.43034859680920207</v>
      </c>
    </row>
    <row r="265" spans="1:7" x14ac:dyDescent="0.25">
      <c r="A265" s="19"/>
      <c r="B265" s="12" t="s">
        <v>55</v>
      </c>
      <c r="C265" s="36">
        <v>18872388</v>
      </c>
      <c r="D265" s="36">
        <v>12504994</v>
      </c>
      <c r="E265" s="36">
        <v>1137271</v>
      </c>
      <c r="F265" s="36">
        <v>3979174</v>
      </c>
      <c r="G265" s="14">
        <f t="shared" si="9"/>
        <v>0.21084634334563279</v>
      </c>
    </row>
    <row r="266" spans="1:7" x14ac:dyDescent="0.25">
      <c r="A266" s="19"/>
      <c r="B266" s="12" t="s">
        <v>49</v>
      </c>
      <c r="C266" s="36">
        <v>72633525</v>
      </c>
      <c r="D266" s="36">
        <v>35468428</v>
      </c>
      <c r="E266" s="36">
        <v>3711603</v>
      </c>
      <c r="F266" s="36">
        <v>29637419</v>
      </c>
      <c r="G266" s="14">
        <f t="shared" si="9"/>
        <v>0.40804048819054284</v>
      </c>
    </row>
    <row r="267" spans="1:7" x14ac:dyDescent="0.25">
      <c r="A267" s="19"/>
      <c r="B267" s="12" t="s">
        <v>51</v>
      </c>
      <c r="C267" s="36">
        <v>0</v>
      </c>
      <c r="D267" s="36">
        <v>0</v>
      </c>
      <c r="E267" s="36">
        <v>0</v>
      </c>
      <c r="F267" s="36">
        <v>0</v>
      </c>
      <c r="G267" s="14">
        <v>0</v>
      </c>
    </row>
    <row r="268" spans="1:7" x14ac:dyDescent="0.25">
      <c r="A268" s="19"/>
      <c r="B268" s="12" t="s">
        <v>56</v>
      </c>
      <c r="C268" s="36">
        <v>0</v>
      </c>
      <c r="D268" s="36">
        <v>-30000</v>
      </c>
      <c r="E268" s="36">
        <v>0</v>
      </c>
      <c r="F268" s="36">
        <v>0</v>
      </c>
      <c r="G268" s="14">
        <v>0</v>
      </c>
    </row>
    <row r="269" spans="1:7" x14ac:dyDescent="0.25">
      <c r="A269" s="19"/>
      <c r="B269" s="12" t="s">
        <v>58</v>
      </c>
      <c r="C269" s="36">
        <v>5696369</v>
      </c>
      <c r="D269" s="36">
        <v>3607800</v>
      </c>
      <c r="E269" s="36">
        <v>317850</v>
      </c>
      <c r="F269" s="36">
        <v>1037022</v>
      </c>
      <c r="G269" s="14">
        <f t="shared" si="9"/>
        <v>0.18204965303336212</v>
      </c>
    </row>
    <row r="270" spans="1:7" x14ac:dyDescent="0.25">
      <c r="A270" s="19"/>
      <c r="B270" s="12" t="s">
        <v>60</v>
      </c>
      <c r="C270" s="36">
        <v>102922601</v>
      </c>
      <c r="D270" s="36">
        <v>66323963</v>
      </c>
      <c r="E270" s="36">
        <v>5786732</v>
      </c>
      <c r="F270" s="36">
        <v>25087854</v>
      </c>
      <c r="G270" s="14">
        <f t="shared" si="9"/>
        <v>0.24375456659903105</v>
      </c>
    </row>
    <row r="271" spans="1:7" x14ac:dyDescent="0.25">
      <c r="A271" s="19"/>
      <c r="B271" s="12" t="s">
        <v>63</v>
      </c>
      <c r="C271" s="36">
        <v>0</v>
      </c>
      <c r="D271" s="36">
        <v>-101800</v>
      </c>
      <c r="E271" s="36">
        <v>3</v>
      </c>
      <c r="F271" s="36">
        <v>0</v>
      </c>
      <c r="G271" s="14">
        <v>0</v>
      </c>
    </row>
    <row r="272" spans="1:7" x14ac:dyDescent="0.25">
      <c r="A272" s="20"/>
      <c r="B272" s="16" t="s">
        <v>12</v>
      </c>
      <c r="C272" s="24">
        <f>SUM(C260:C271)</f>
        <v>1333911286</v>
      </c>
      <c r="D272" s="24">
        <f>SUM(D260:D271)</f>
        <v>822863178</v>
      </c>
      <c r="E272" s="24">
        <f>SUM(E260:E271)</f>
        <v>74294705</v>
      </c>
      <c r="F272" s="24">
        <v>370000000</v>
      </c>
      <c r="G272" s="18">
        <f t="shared" si="9"/>
        <v>0.27737976571854267</v>
      </c>
    </row>
    <row r="273" spans="1:7" x14ac:dyDescent="0.25">
      <c r="A273" s="52"/>
      <c r="B273" s="43"/>
      <c r="C273" s="26"/>
      <c r="D273" s="26"/>
      <c r="E273" s="26"/>
      <c r="F273" s="26"/>
      <c r="G273" s="55"/>
    </row>
    <row r="274" spans="1:7" x14ac:dyDescent="0.25">
      <c r="A274" s="25" t="s">
        <v>65</v>
      </c>
      <c r="B274" s="54" t="s">
        <v>10</v>
      </c>
      <c r="C274" s="56">
        <v>756968375</v>
      </c>
      <c r="D274" s="56">
        <v>521320675</v>
      </c>
      <c r="E274" s="56">
        <v>43038065</v>
      </c>
      <c r="F274" s="56">
        <v>154823091</v>
      </c>
      <c r="G274" s="47">
        <f>F274/C274</f>
        <v>0.20453046139477096</v>
      </c>
    </row>
    <row r="275" spans="1:7" x14ac:dyDescent="0.25">
      <c r="A275" s="19"/>
      <c r="B275" s="12" t="s">
        <v>11</v>
      </c>
      <c r="C275" s="57">
        <v>259252435</v>
      </c>
      <c r="D275" s="57">
        <v>133694791</v>
      </c>
      <c r="E275" s="57">
        <v>14200556</v>
      </c>
      <c r="F275" s="57">
        <v>102455974</v>
      </c>
      <c r="G275" s="14">
        <f t="shared" ref="G275:G280" si="10">F275/C275</f>
        <v>0.39519773073683956</v>
      </c>
    </row>
    <row r="276" spans="1:7" x14ac:dyDescent="0.25">
      <c r="A276" s="19"/>
      <c r="B276" s="12" t="s">
        <v>18</v>
      </c>
      <c r="C276" s="57">
        <v>30976500</v>
      </c>
      <c r="D276" s="57">
        <v>18222635</v>
      </c>
      <c r="E276" s="57">
        <v>1636165</v>
      </c>
      <c r="F276" s="57">
        <v>9259171</v>
      </c>
      <c r="G276" s="14">
        <f t="shared" si="10"/>
        <v>0.29890952819072525</v>
      </c>
    </row>
    <row r="277" spans="1:7" x14ac:dyDescent="0.25">
      <c r="A277" s="19"/>
      <c r="B277" s="12" t="s">
        <v>32</v>
      </c>
      <c r="C277" s="57">
        <v>31214092</v>
      </c>
      <c r="D277" s="57">
        <v>18267874</v>
      </c>
      <c r="E277" s="57">
        <v>1742133</v>
      </c>
      <c r="F277" s="57">
        <v>9743013</v>
      </c>
      <c r="G277" s="14">
        <f t="shared" si="10"/>
        <v>0.31213507668267271</v>
      </c>
    </row>
    <row r="278" spans="1:7" x14ac:dyDescent="0.25">
      <c r="A278" s="19"/>
      <c r="B278" s="12" t="s">
        <v>33</v>
      </c>
      <c r="C278" s="57">
        <v>49532514</v>
      </c>
      <c r="D278" s="57">
        <v>23966899</v>
      </c>
      <c r="E278" s="57">
        <v>2545308</v>
      </c>
      <c r="F278" s="57">
        <v>20438845</v>
      </c>
      <c r="G278" s="14">
        <f>F278/C278</f>
        <v>0.41263492097332272</v>
      </c>
    </row>
    <row r="279" spans="1:7" x14ac:dyDescent="0.25">
      <c r="A279" s="19"/>
      <c r="B279" s="12" t="s">
        <v>55</v>
      </c>
      <c r="C279" s="57">
        <v>17469492</v>
      </c>
      <c r="D279" s="57">
        <v>9172942</v>
      </c>
      <c r="E279" s="57">
        <v>937691</v>
      </c>
      <c r="F279" s="57">
        <v>5700156</v>
      </c>
      <c r="G279" s="14">
        <f t="shared" si="10"/>
        <v>0.32629202955644043</v>
      </c>
    </row>
    <row r="280" spans="1:7" x14ac:dyDescent="0.25">
      <c r="A280" s="19"/>
      <c r="B280" s="12" t="s">
        <v>49</v>
      </c>
      <c r="C280" s="57">
        <v>38549247</v>
      </c>
      <c r="D280" s="57">
        <v>19155375</v>
      </c>
      <c r="E280" s="57">
        <v>1967430</v>
      </c>
      <c r="F280" s="57">
        <v>15775143</v>
      </c>
      <c r="G280" s="14">
        <f t="shared" si="10"/>
        <v>0.40922052251759938</v>
      </c>
    </row>
    <row r="281" spans="1:7" x14ac:dyDescent="0.25">
      <c r="A281" s="19"/>
      <c r="B281" s="12" t="s">
        <v>51</v>
      </c>
      <c r="C281" s="57">
        <v>0</v>
      </c>
      <c r="D281" s="57">
        <v>0</v>
      </c>
      <c r="E281" s="57">
        <v>0</v>
      </c>
      <c r="F281" s="57">
        <v>0</v>
      </c>
      <c r="G281" s="14">
        <v>0</v>
      </c>
    </row>
    <row r="282" spans="1:7" x14ac:dyDescent="0.25">
      <c r="A282" s="19"/>
      <c r="B282" s="12" t="s">
        <v>56</v>
      </c>
      <c r="C282" s="57">
        <v>0</v>
      </c>
      <c r="D282" s="57">
        <v>0</v>
      </c>
      <c r="E282" s="57">
        <v>0</v>
      </c>
      <c r="F282" s="57">
        <v>0</v>
      </c>
      <c r="G282" s="14">
        <v>0</v>
      </c>
    </row>
    <row r="283" spans="1:7" x14ac:dyDescent="0.25">
      <c r="A283" s="19"/>
      <c r="B283" s="12" t="s">
        <v>58</v>
      </c>
      <c r="C283" s="57">
        <v>5871606</v>
      </c>
      <c r="D283" s="57">
        <v>3677065</v>
      </c>
      <c r="E283" s="57">
        <v>328016</v>
      </c>
      <c r="F283" s="57">
        <v>998197</v>
      </c>
      <c r="G283" s="14">
        <f>F283/C283</f>
        <v>0.17000408406149867</v>
      </c>
    </row>
    <row r="284" spans="1:7" x14ac:dyDescent="0.25">
      <c r="A284" s="19"/>
      <c r="B284" s="12" t="s">
        <v>60</v>
      </c>
      <c r="C284" s="57">
        <v>115449897</v>
      </c>
      <c r="D284" s="57">
        <v>74764278</v>
      </c>
      <c r="E284" s="57">
        <v>6500043</v>
      </c>
      <c r="F284" s="57">
        <v>28506411</v>
      </c>
      <c r="G284" s="14">
        <f>F284/C284</f>
        <v>0.24691586342428698</v>
      </c>
    </row>
    <row r="285" spans="1:7" x14ac:dyDescent="0.25">
      <c r="A285" s="19"/>
      <c r="B285" s="12" t="s">
        <v>63</v>
      </c>
      <c r="C285" s="57">
        <v>0</v>
      </c>
      <c r="D285" s="57">
        <v>0</v>
      </c>
      <c r="E285" s="57">
        <v>0</v>
      </c>
      <c r="F285" s="57">
        <v>0</v>
      </c>
      <c r="G285" s="14">
        <v>0</v>
      </c>
    </row>
    <row r="286" spans="1:7" x14ac:dyDescent="0.25">
      <c r="A286" s="20"/>
      <c r="B286" s="16" t="s">
        <v>12</v>
      </c>
      <c r="C286" s="58">
        <v>1305284158</v>
      </c>
      <c r="D286" s="58">
        <v>822242533</v>
      </c>
      <c r="E286" s="58">
        <v>72895409</v>
      </c>
      <c r="F286" s="58">
        <v>347700000</v>
      </c>
      <c r="G286" s="18">
        <f>F286/C286</f>
        <v>0.26637877880381045</v>
      </c>
    </row>
    <row r="287" spans="1:7" x14ac:dyDescent="0.25">
      <c r="A287" s="52"/>
      <c r="B287" s="43"/>
      <c r="C287" s="26"/>
      <c r="D287" s="26"/>
      <c r="E287" s="26"/>
      <c r="F287" s="26"/>
      <c r="G287" s="55"/>
    </row>
    <row r="288" spans="1:7" x14ac:dyDescent="0.25">
      <c r="A288" s="25" t="s">
        <v>66</v>
      </c>
      <c r="B288" s="54" t="s">
        <v>10</v>
      </c>
      <c r="C288" s="56">
        <v>837705062</v>
      </c>
      <c r="D288" s="56">
        <v>582111724</v>
      </c>
      <c r="E288" s="56">
        <v>47684785</v>
      </c>
      <c r="F288" s="56">
        <v>167845934</v>
      </c>
      <c r="G288" s="47">
        <f t="shared" ref="G288:G301" si="11">F288/C288</f>
        <v>0.20036399636797228</v>
      </c>
    </row>
    <row r="289" spans="1:12" x14ac:dyDescent="0.25">
      <c r="A289" s="19"/>
      <c r="B289" s="12" t="s">
        <v>11</v>
      </c>
      <c r="C289" s="57">
        <v>294169511</v>
      </c>
      <c r="D289" s="57">
        <v>132271400</v>
      </c>
      <c r="E289" s="57">
        <v>15932874</v>
      </c>
      <c r="F289" s="57">
        <v>136401362</v>
      </c>
      <c r="G289" s="47">
        <f t="shared" si="11"/>
        <v>0.46368286616895521</v>
      </c>
    </row>
    <row r="290" spans="1:12" x14ac:dyDescent="0.25">
      <c r="A290" s="19"/>
      <c r="B290" s="12" t="s">
        <v>18</v>
      </c>
      <c r="C290" s="57">
        <v>20636501</v>
      </c>
      <c r="D290" s="57">
        <v>11408921</v>
      </c>
      <c r="E290" s="57">
        <v>1084405</v>
      </c>
      <c r="F290" s="57">
        <v>6715302</v>
      </c>
      <c r="G290" s="47">
        <f t="shared" si="11"/>
        <v>0.32540894408407706</v>
      </c>
    </row>
    <row r="291" spans="1:12" x14ac:dyDescent="0.25">
      <c r="A291" s="19"/>
      <c r="B291" s="12" t="s">
        <v>32</v>
      </c>
      <c r="C291" s="57">
        <v>33133296</v>
      </c>
      <c r="D291" s="57">
        <v>18524315</v>
      </c>
      <c r="E291" s="57">
        <v>1847404</v>
      </c>
      <c r="F291" s="57">
        <v>11227932</v>
      </c>
      <c r="G291" s="47">
        <f t="shared" si="11"/>
        <v>0.33887156894985637</v>
      </c>
    </row>
    <row r="292" spans="1:12" x14ac:dyDescent="0.25">
      <c r="A292" s="19"/>
      <c r="B292" s="12" t="s">
        <v>33</v>
      </c>
      <c r="C292" s="57">
        <v>64193249</v>
      </c>
      <c r="D292" s="57">
        <v>31933571</v>
      </c>
      <c r="E292" s="57">
        <v>3290594</v>
      </c>
      <c r="F292" s="57">
        <v>26676879</v>
      </c>
      <c r="G292" s="47">
        <f t="shared" si="11"/>
        <v>0.41557141000917402</v>
      </c>
      <c r="J292" s="66"/>
      <c r="K292" s="66"/>
      <c r="L292" s="66"/>
    </row>
    <row r="293" spans="1:12" x14ac:dyDescent="0.25">
      <c r="A293" s="19"/>
      <c r="B293" s="12" t="s">
        <v>55</v>
      </c>
      <c r="C293" s="57">
        <v>17763896</v>
      </c>
      <c r="D293" s="57">
        <v>11702398</v>
      </c>
      <c r="E293" s="57">
        <v>965320</v>
      </c>
      <c r="F293" s="57">
        <v>3740615</v>
      </c>
      <c r="G293" s="47">
        <f t="shared" si="11"/>
        <v>0.21057402047388704</v>
      </c>
      <c r="J293" s="66"/>
      <c r="K293" s="66"/>
      <c r="L293" s="66"/>
    </row>
    <row r="294" spans="1:12" x14ac:dyDescent="0.25">
      <c r="A294" s="19"/>
      <c r="B294" s="12" t="s">
        <v>49</v>
      </c>
      <c r="C294" s="57">
        <v>57074691</v>
      </c>
      <c r="D294" s="57">
        <v>28233940</v>
      </c>
      <c r="E294" s="57">
        <v>2908559</v>
      </c>
      <c r="F294" s="57">
        <v>23529232</v>
      </c>
      <c r="G294" s="47">
        <f t="shared" si="11"/>
        <v>0.41225334010130688</v>
      </c>
      <c r="J294" s="66"/>
      <c r="K294" s="66"/>
      <c r="L294" s="66"/>
    </row>
    <row r="295" spans="1:12" x14ac:dyDescent="0.25">
      <c r="A295" s="19"/>
      <c r="B295" s="12" t="s">
        <v>51</v>
      </c>
      <c r="C295" s="57">
        <v>0</v>
      </c>
      <c r="D295" s="57">
        <v>0</v>
      </c>
      <c r="E295" s="57">
        <v>0</v>
      </c>
      <c r="F295" s="57">
        <v>0</v>
      </c>
      <c r="G295" s="47">
        <v>0</v>
      </c>
      <c r="J295" s="66"/>
      <c r="K295" s="66"/>
      <c r="L295" s="66"/>
    </row>
    <row r="296" spans="1:12" x14ac:dyDescent="0.25">
      <c r="A296" s="19"/>
      <c r="B296" s="12" t="s">
        <v>56</v>
      </c>
      <c r="C296" s="57">
        <v>0</v>
      </c>
      <c r="D296" s="57">
        <v>0</v>
      </c>
      <c r="E296" s="57">
        <v>0</v>
      </c>
      <c r="F296" s="57">
        <v>0</v>
      </c>
      <c r="G296" s="47">
        <v>0</v>
      </c>
      <c r="J296" s="66"/>
      <c r="K296" s="66"/>
      <c r="L296" s="66"/>
    </row>
    <row r="297" spans="1:12" x14ac:dyDescent="0.25">
      <c r="A297" s="19"/>
      <c r="B297" s="12" t="s">
        <v>58</v>
      </c>
      <c r="C297" s="57">
        <v>0</v>
      </c>
      <c r="D297" s="63">
        <v>-58035</v>
      </c>
      <c r="E297" s="57">
        <v>318</v>
      </c>
      <c r="F297" s="57">
        <v>52588</v>
      </c>
      <c r="G297" s="64" t="s">
        <v>83</v>
      </c>
      <c r="J297" s="66"/>
      <c r="K297" s="66"/>
      <c r="L297" s="66"/>
    </row>
    <row r="298" spans="1:12" x14ac:dyDescent="0.25">
      <c r="A298" s="19"/>
      <c r="B298" s="12" t="s">
        <v>60</v>
      </c>
      <c r="C298" s="57">
        <v>136003968</v>
      </c>
      <c r="D298" s="57">
        <v>87998531</v>
      </c>
      <c r="E298" s="57">
        <v>7682811</v>
      </c>
      <c r="F298" s="57">
        <v>34115641</v>
      </c>
      <c r="G298" s="47">
        <f t="shared" si="11"/>
        <v>0.25084298275767952</v>
      </c>
      <c r="J298" s="66"/>
      <c r="K298" s="66"/>
      <c r="L298" s="66"/>
    </row>
    <row r="299" spans="1:12" x14ac:dyDescent="0.25">
      <c r="A299" s="19"/>
      <c r="B299" s="12" t="s">
        <v>63</v>
      </c>
      <c r="C299" s="57">
        <v>0</v>
      </c>
      <c r="D299" s="57">
        <v>0</v>
      </c>
      <c r="E299" s="57">
        <v>0</v>
      </c>
      <c r="F299" s="57">
        <v>0</v>
      </c>
      <c r="G299" s="47">
        <v>0</v>
      </c>
      <c r="J299" s="66"/>
      <c r="K299" s="66"/>
      <c r="L299" s="66"/>
    </row>
    <row r="300" spans="1:12" x14ac:dyDescent="0.25">
      <c r="A300" s="19"/>
      <c r="B300" s="12" t="s">
        <v>84</v>
      </c>
      <c r="C300" s="57">
        <v>37089907</v>
      </c>
      <c r="D300" s="57">
        <v>25626583</v>
      </c>
      <c r="E300" s="57">
        <v>2209649</v>
      </c>
      <c r="F300" s="57">
        <v>7694515</v>
      </c>
      <c r="G300" s="47">
        <f t="shared" si="11"/>
        <v>0.20745576417864839</v>
      </c>
      <c r="J300" s="66"/>
      <c r="K300" s="66"/>
      <c r="L300" s="66"/>
    </row>
    <row r="301" spans="1:12" x14ac:dyDescent="0.25">
      <c r="A301" s="20"/>
      <c r="B301" s="16" t="s">
        <v>12</v>
      </c>
      <c r="C301" s="58">
        <v>1497770081</v>
      </c>
      <c r="D301" s="58">
        <v>929753348</v>
      </c>
      <c r="E301" s="58">
        <v>83606719</v>
      </c>
      <c r="F301" s="58">
        <v>418000000</v>
      </c>
      <c r="G301" s="65">
        <f t="shared" si="11"/>
        <v>0.27908155283814884</v>
      </c>
      <c r="J301" s="66"/>
      <c r="K301" s="66"/>
      <c r="L301" s="66"/>
    </row>
    <row r="302" spans="1:12" x14ac:dyDescent="0.25">
      <c r="A302" s="52"/>
      <c r="B302" s="43"/>
      <c r="C302" s="26"/>
      <c r="D302" s="26"/>
      <c r="E302" s="26"/>
      <c r="F302" s="26"/>
      <c r="G302" s="55"/>
      <c r="J302" s="66"/>
      <c r="K302" s="66"/>
      <c r="L302" s="66"/>
    </row>
    <row r="303" spans="1:12" x14ac:dyDescent="0.25">
      <c r="A303" s="52"/>
      <c r="B303" s="43"/>
      <c r="C303" s="59"/>
      <c r="D303" s="59"/>
      <c r="E303" s="59"/>
      <c r="F303" s="59"/>
      <c r="G303" s="44"/>
    </row>
    <row r="304" spans="1:12" x14ac:dyDescent="0.25">
      <c r="A304" t="s">
        <v>67</v>
      </c>
      <c r="B304" s="43"/>
      <c r="C304" s="53"/>
      <c r="D304" s="53"/>
      <c r="E304" s="53"/>
      <c r="F304" s="53"/>
      <c r="G304" s="44"/>
    </row>
    <row r="305" spans="1:7" x14ac:dyDescent="0.25">
      <c r="A305" s="60" t="s">
        <v>68</v>
      </c>
      <c r="B305" s="43"/>
      <c r="C305" s="53"/>
      <c r="D305" s="53"/>
      <c r="E305" s="53"/>
      <c r="F305" s="53"/>
      <c r="G305" s="44"/>
    </row>
    <row r="306" spans="1:7" x14ac:dyDescent="0.25">
      <c r="A306" s="60" t="s">
        <v>69</v>
      </c>
      <c r="B306" s="43"/>
      <c r="C306" s="53"/>
      <c r="D306" s="53"/>
      <c r="E306" s="53"/>
      <c r="F306" s="53"/>
      <c r="G306" s="44"/>
    </row>
    <row r="307" spans="1:7" x14ac:dyDescent="0.25">
      <c r="A307" s="60" t="s">
        <v>70</v>
      </c>
      <c r="B307" s="43"/>
      <c r="C307" s="53"/>
      <c r="D307" s="53"/>
      <c r="E307" s="53"/>
      <c r="F307" s="53"/>
      <c r="G307" s="44"/>
    </row>
    <row r="308" spans="1:7" x14ac:dyDescent="0.25">
      <c r="A308" s="60" t="s">
        <v>71</v>
      </c>
      <c r="B308" s="43"/>
      <c r="C308" s="53"/>
      <c r="D308" s="53"/>
      <c r="E308" s="53"/>
      <c r="F308" s="53"/>
      <c r="G308" s="44"/>
    </row>
    <row r="309" spans="1:7" x14ac:dyDescent="0.25">
      <c r="A309" s="60" t="s">
        <v>72</v>
      </c>
      <c r="B309" s="43"/>
      <c r="C309" s="53"/>
      <c r="D309" s="53"/>
      <c r="E309" s="53"/>
      <c r="F309" s="53"/>
      <c r="G309" s="44"/>
    </row>
    <row r="310" spans="1:7" x14ac:dyDescent="0.25">
      <c r="A310" s="60" t="s">
        <v>73</v>
      </c>
      <c r="B310" s="43"/>
      <c r="C310" s="53"/>
      <c r="D310" s="53"/>
      <c r="E310" s="53"/>
      <c r="F310" s="53"/>
      <c r="G310" s="44"/>
    </row>
    <row r="311" spans="1:7" x14ac:dyDescent="0.25">
      <c r="A311" s="60" t="s">
        <v>74</v>
      </c>
      <c r="B311" s="43"/>
      <c r="C311" s="53"/>
      <c r="D311" s="53"/>
      <c r="E311" s="53"/>
      <c r="F311" s="53"/>
      <c r="G311" s="44"/>
    </row>
    <row r="312" spans="1:7" x14ac:dyDescent="0.25">
      <c r="A312" s="60" t="s">
        <v>75</v>
      </c>
      <c r="B312" s="43"/>
      <c r="C312" s="53"/>
      <c r="D312" s="53"/>
      <c r="E312" s="53"/>
      <c r="F312" s="53"/>
      <c r="G312" s="44"/>
    </row>
    <row r="313" spans="1:7" x14ac:dyDescent="0.25">
      <c r="A313" s="60" t="s">
        <v>76</v>
      </c>
      <c r="B313" s="43"/>
      <c r="C313" s="53"/>
      <c r="D313" s="53"/>
      <c r="E313" s="53"/>
      <c r="F313" s="53"/>
      <c r="G313" s="44"/>
    </row>
    <row r="314" spans="1:7" x14ac:dyDescent="0.25">
      <c r="A314" s="60" t="s">
        <v>77</v>
      </c>
      <c r="B314" s="43"/>
      <c r="C314" s="53"/>
      <c r="D314" s="53"/>
      <c r="E314" s="53"/>
      <c r="F314" s="53"/>
      <c r="G314" s="44"/>
    </row>
    <row r="315" spans="1:7" x14ac:dyDescent="0.25">
      <c r="A315" s="60" t="s">
        <v>78</v>
      </c>
      <c r="B315" s="43"/>
      <c r="C315" s="53"/>
      <c r="D315" s="53"/>
      <c r="E315" s="53"/>
      <c r="F315" s="53"/>
      <c r="G315" s="44"/>
    </row>
    <row r="316" spans="1:7" x14ac:dyDescent="0.25">
      <c r="A316" s="60"/>
      <c r="B316" s="43"/>
      <c r="C316" s="53"/>
      <c r="D316" s="53"/>
      <c r="E316" s="53"/>
      <c r="F316" s="53"/>
      <c r="G316" s="44"/>
    </row>
    <row r="317" spans="1:7" x14ac:dyDescent="0.25">
      <c r="A317" s="60" t="s">
        <v>79</v>
      </c>
      <c r="B317" s="43"/>
      <c r="C317" s="53"/>
      <c r="D317" s="53"/>
      <c r="E317" s="53"/>
      <c r="F317" s="53"/>
      <c r="G317" s="44"/>
    </row>
    <row r="318" spans="1:7" x14ac:dyDescent="0.25">
      <c r="A318" s="60" t="s">
        <v>80</v>
      </c>
      <c r="B318" s="43"/>
      <c r="C318" s="53"/>
      <c r="D318" s="53"/>
      <c r="E318" s="53"/>
      <c r="F318" s="53"/>
      <c r="G318" s="44"/>
    </row>
    <row r="319" spans="1:7" x14ac:dyDescent="0.25">
      <c r="A319" s="60" t="s">
        <v>81</v>
      </c>
      <c r="B319" s="43"/>
      <c r="C319" s="53"/>
      <c r="D319" s="53"/>
      <c r="E319" s="53"/>
      <c r="F319" s="53"/>
      <c r="G319" s="44"/>
    </row>
    <row r="320" spans="1:7" x14ac:dyDescent="0.25">
      <c r="A320" s="52"/>
      <c r="B320" s="43"/>
      <c r="C320" s="53"/>
      <c r="D320" s="53"/>
      <c r="E320" s="53"/>
      <c r="F320" s="53"/>
      <c r="G320" s="44"/>
    </row>
    <row r="321" spans="1:5" x14ac:dyDescent="0.25">
      <c r="A321" s="52" t="s">
        <v>82</v>
      </c>
      <c r="B321" s="60"/>
      <c r="C321" s="53"/>
      <c r="D321" s="53"/>
      <c r="E321" s="61"/>
    </row>
    <row r="322" spans="1:5" x14ac:dyDescent="0.25">
      <c r="A322" s="52"/>
      <c r="C322" s="62"/>
      <c r="D322" s="62"/>
      <c r="E322" s="62"/>
    </row>
    <row r="323" spans="1:5" x14ac:dyDescent="0.25">
      <c r="A323" s="52"/>
      <c r="C323" s="62"/>
      <c r="D323" s="62"/>
      <c r="E323" s="6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O'Keefe, Erin</dc:creator>
  <cp:lastModifiedBy>O'Keefe, Erin</cp:lastModifiedBy>
  <dcterms:created xsi:type="dcterms:W3CDTF">2022-07-21T14:04:54Z</dcterms:created>
  <dcterms:modified xsi:type="dcterms:W3CDTF">2022-07-21T18:52:58Z</dcterms:modified>
</cp:coreProperties>
</file>