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6185" windowHeight="10890" tabRatio="846" firstSheet="2" activeTab="2"/>
  </bookViews>
  <sheets>
    <sheet name="Key&amp;ToC" sheetId="38" r:id="rId1"/>
    <sheet name="Project Matrix" sheetId="44" r:id="rId2"/>
    <sheet name="BC Summary" sheetId="45" r:id="rId3"/>
    <sheet name="Cost" sheetId="37" r:id="rId4"/>
    <sheet name="Ben_1" sheetId="40" r:id="rId5"/>
    <sheet name="Ben_2" sheetId="36" r:id="rId6"/>
    <sheet name="Ben_3" sheetId="41" r:id="rId7"/>
    <sheet name="T_1" sheetId="3" r:id="rId8"/>
    <sheet name="T_2" sheetId="10" r:id="rId9"/>
    <sheet name="T_3" sheetId="15" r:id="rId10"/>
  </sheets>
  <definedNames>
    <definedName name="Accident_injuries">Ben_2!$C$9</definedName>
    <definedName name="Alternative_Route_demand">#REF!</definedName>
    <definedName name="AM_PerBiz">T_3!$I$17</definedName>
    <definedName name="AM_PerComm">#REF!</definedName>
    <definedName name="Annual_Days">T_3!$B$5</definedName>
    <definedName name="Const_Speed">T_3!$B$13</definedName>
    <definedName name="Construction_delay">T_3!$B$12</definedName>
    <definedName name="Crash_reduction_factor">Ben_2!$B$5</definedName>
    <definedName name="CT15_AADT_2014">T_3!$B$10</definedName>
    <definedName name="FF_Speed">T_3!$B$11</definedName>
    <definedName name="I91_AADT_2014">T_3!$B$9</definedName>
    <definedName name="MD_PerBiz">T_3!$I$18</definedName>
    <definedName name="MD_PerComm">#REF!</definedName>
    <definedName name="OV_PerBiz">T_3!$I$20</definedName>
    <definedName name="OV_PerComm">#REF!</definedName>
    <definedName name="PDO_crashes">Ben_2!$D$9</definedName>
    <definedName name="Percent_Reduction">T_1!$E$14</definedName>
    <definedName name="PM_PerBiz">T_3!$I$19</definedName>
    <definedName name="PM_PerComm">#REF!</definedName>
    <definedName name="Route_15_diversion">#REF!</definedName>
    <definedName name="Trip_Growth">T_3!$B$8</definedName>
  </definedNames>
  <calcPr calcId="145621"/>
</workbook>
</file>

<file path=xl/calcChain.xml><?xml version="1.0" encoding="utf-8"?>
<calcChain xmlns="http://schemas.openxmlformats.org/spreadsheetml/2006/main">
  <c r="Z40" i="45" l="1"/>
  <c r="Q40" i="45"/>
  <c r="H40" i="45"/>
  <c r="H5" i="45" l="1"/>
  <c r="I6" i="45" l="1"/>
  <c r="J6" i="45" l="1"/>
  <c r="H6" i="45"/>
  <c r="I3" i="45"/>
  <c r="H3" i="45"/>
  <c r="F16" i="36" l="1"/>
  <c r="G16" i="36"/>
  <c r="F17" i="36"/>
  <c r="G17" i="36"/>
  <c r="F18" i="36"/>
  <c r="G18" i="36"/>
  <c r="F19" i="36"/>
  <c r="G19" i="36"/>
  <c r="F20" i="36"/>
  <c r="G20" i="36"/>
  <c r="F21" i="36"/>
  <c r="G21" i="36"/>
  <c r="F22" i="36"/>
  <c r="G22" i="36"/>
  <c r="F23" i="36"/>
  <c r="G23" i="36"/>
  <c r="F24" i="36"/>
  <c r="G24" i="36"/>
  <c r="F25" i="36"/>
  <c r="G25" i="36"/>
  <c r="F26" i="36"/>
  <c r="G26" i="36"/>
  <c r="F27" i="36"/>
  <c r="G27" i="36"/>
  <c r="F28" i="36"/>
  <c r="G28" i="36"/>
  <c r="F29" i="36"/>
  <c r="G29" i="36"/>
  <c r="F30" i="36"/>
  <c r="G30" i="36"/>
  <c r="F31" i="36"/>
  <c r="G31" i="36"/>
  <c r="F32" i="36"/>
  <c r="G32" i="36"/>
  <c r="F33" i="36"/>
  <c r="G33" i="36"/>
  <c r="F34" i="36"/>
  <c r="G34" i="36"/>
  <c r="F35" i="36"/>
  <c r="G35" i="36"/>
  <c r="F36" i="36"/>
  <c r="G36" i="36"/>
  <c r="F37" i="36"/>
  <c r="G37" i="36"/>
  <c r="F38" i="36"/>
  <c r="G38" i="36"/>
  <c r="F39" i="36"/>
  <c r="G39" i="36"/>
  <c r="F40" i="36"/>
  <c r="G40" i="36"/>
  <c r="G15" i="36"/>
  <c r="W13" i="45" s="1"/>
  <c r="F15" i="36"/>
  <c r="N65" i="40"/>
  <c r="O65" i="40"/>
  <c r="P65" i="40"/>
  <c r="Q65" i="40"/>
  <c r="R65" i="40"/>
  <c r="R40" i="40"/>
  <c r="R41" i="40"/>
  <c r="V15" i="45" s="1"/>
  <c r="R42" i="40"/>
  <c r="R43" i="40"/>
  <c r="R44" i="40"/>
  <c r="R45" i="40"/>
  <c r="V19" i="45" s="1"/>
  <c r="R46" i="40"/>
  <c r="R47" i="40"/>
  <c r="R48" i="40"/>
  <c r="R49" i="40"/>
  <c r="V23" i="45" s="1"/>
  <c r="R50" i="40"/>
  <c r="R51" i="40"/>
  <c r="R52" i="40"/>
  <c r="R53" i="40"/>
  <c r="V27" i="45" s="1"/>
  <c r="R54" i="40"/>
  <c r="R55" i="40"/>
  <c r="R56" i="40"/>
  <c r="R57" i="40"/>
  <c r="V31" i="45" s="1"/>
  <c r="R58" i="40"/>
  <c r="R59" i="40"/>
  <c r="R60" i="40"/>
  <c r="R61" i="40"/>
  <c r="V35" i="45" s="1"/>
  <c r="R62" i="40"/>
  <c r="R63" i="40"/>
  <c r="R64" i="40"/>
  <c r="R39" i="40"/>
  <c r="Q40" i="40"/>
  <c r="Q41" i="40"/>
  <c r="Q42" i="40"/>
  <c r="Q43" i="40"/>
  <c r="Q44" i="40"/>
  <c r="Q45" i="40"/>
  <c r="Q46" i="40"/>
  <c r="Q47" i="40"/>
  <c r="Q48" i="40"/>
  <c r="Q49" i="40"/>
  <c r="Q50" i="40"/>
  <c r="M24" i="45" s="1"/>
  <c r="Q51" i="40"/>
  <c r="Q52" i="40"/>
  <c r="Q53" i="40"/>
  <c r="Q54" i="40"/>
  <c r="Q55" i="40"/>
  <c r="Q56" i="40"/>
  <c r="Q57" i="40"/>
  <c r="Q58" i="40"/>
  <c r="Q59" i="40"/>
  <c r="Q60" i="40"/>
  <c r="Q61" i="40"/>
  <c r="Q62" i="40"/>
  <c r="Q63" i="40"/>
  <c r="Q64" i="40"/>
  <c r="Q39" i="40"/>
  <c r="O40" i="40"/>
  <c r="O41" i="40"/>
  <c r="O42" i="40"/>
  <c r="O43" i="40"/>
  <c r="O44" i="40"/>
  <c r="O45" i="40"/>
  <c r="O46" i="40"/>
  <c r="O47" i="40"/>
  <c r="O48" i="40"/>
  <c r="O49" i="40"/>
  <c r="O50" i="40"/>
  <c r="O51" i="40"/>
  <c r="O52" i="40"/>
  <c r="O53" i="40"/>
  <c r="O54" i="40"/>
  <c r="O55" i="40"/>
  <c r="O56" i="40"/>
  <c r="O57" i="40"/>
  <c r="O58" i="40"/>
  <c r="O59" i="40"/>
  <c r="O60" i="40"/>
  <c r="O61" i="40"/>
  <c r="O62" i="40"/>
  <c r="O63" i="40"/>
  <c r="O64" i="40"/>
  <c r="O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39" i="40"/>
  <c r="Z12" i="45"/>
  <c r="Z11" i="45"/>
  <c r="Z10" i="45"/>
  <c r="V14" i="45"/>
  <c r="W14" i="45"/>
  <c r="W15" i="45"/>
  <c r="V16" i="45"/>
  <c r="W16" i="45"/>
  <c r="V17" i="45"/>
  <c r="W17" i="45"/>
  <c r="V18" i="45"/>
  <c r="W18" i="45"/>
  <c r="W19" i="45"/>
  <c r="V20" i="45"/>
  <c r="W20" i="45"/>
  <c r="V21" i="45"/>
  <c r="W21" i="45"/>
  <c r="V22" i="45"/>
  <c r="W22" i="45"/>
  <c r="W23" i="45"/>
  <c r="V24" i="45"/>
  <c r="W24" i="45"/>
  <c r="V25" i="45"/>
  <c r="W25" i="45"/>
  <c r="V26" i="45"/>
  <c r="W26" i="45"/>
  <c r="W27" i="45"/>
  <c r="V28" i="45"/>
  <c r="W28" i="45"/>
  <c r="V29" i="45"/>
  <c r="W29" i="45"/>
  <c r="V30" i="45"/>
  <c r="W30" i="45"/>
  <c r="W31" i="45"/>
  <c r="V32" i="45"/>
  <c r="W32" i="45"/>
  <c r="V33" i="45"/>
  <c r="W33" i="45"/>
  <c r="V34" i="45"/>
  <c r="W34" i="45"/>
  <c r="W35" i="45"/>
  <c r="V36" i="45"/>
  <c r="W36" i="45"/>
  <c r="V37" i="45"/>
  <c r="W37" i="45"/>
  <c r="V38" i="45"/>
  <c r="W38" i="45"/>
  <c r="V13" i="45"/>
  <c r="Q11" i="45"/>
  <c r="Q12" i="45"/>
  <c r="Q10" i="45"/>
  <c r="M14" i="45"/>
  <c r="N14" i="45"/>
  <c r="M15" i="45"/>
  <c r="N15" i="45"/>
  <c r="M16" i="45"/>
  <c r="N16" i="45"/>
  <c r="M17" i="45"/>
  <c r="N17" i="45"/>
  <c r="M18" i="45"/>
  <c r="N18" i="45"/>
  <c r="M19" i="45"/>
  <c r="N19" i="45"/>
  <c r="M20" i="45"/>
  <c r="N20" i="45"/>
  <c r="M21" i="45"/>
  <c r="N21" i="45"/>
  <c r="M22" i="45"/>
  <c r="N22" i="45"/>
  <c r="M23" i="45"/>
  <c r="N23" i="45"/>
  <c r="N24" i="45"/>
  <c r="M25" i="45"/>
  <c r="N25" i="45"/>
  <c r="M26" i="45"/>
  <c r="N26" i="45"/>
  <c r="M27" i="45"/>
  <c r="N27" i="45"/>
  <c r="M28" i="45"/>
  <c r="N28" i="45"/>
  <c r="M29" i="45"/>
  <c r="N29" i="45"/>
  <c r="M30" i="45"/>
  <c r="N30" i="45"/>
  <c r="M31" i="45"/>
  <c r="N31" i="45"/>
  <c r="M32" i="45"/>
  <c r="N32" i="45"/>
  <c r="M33" i="45"/>
  <c r="N33" i="45"/>
  <c r="M34" i="45"/>
  <c r="N34" i="45"/>
  <c r="M35" i="45"/>
  <c r="N35" i="45"/>
  <c r="M36" i="45"/>
  <c r="N36" i="45"/>
  <c r="M37" i="45"/>
  <c r="N37" i="45"/>
  <c r="M38" i="45"/>
  <c r="N38" i="45"/>
  <c r="N13" i="45"/>
  <c r="M13" i="45"/>
  <c r="H11" i="45"/>
  <c r="H12" i="45"/>
  <c r="H10"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13" i="45"/>
  <c r="P70" i="10"/>
  <c r="O70" i="10"/>
  <c r="N70" i="10"/>
  <c r="M70" i="10"/>
  <c r="L70" i="10"/>
  <c r="K70" i="10"/>
  <c r="J70" i="10"/>
  <c r="H70" i="10"/>
  <c r="G70" i="10"/>
  <c r="F70" i="10"/>
  <c r="E70" i="10"/>
  <c r="D70" i="10"/>
  <c r="C70" i="10"/>
  <c r="B70" i="10"/>
  <c r="P69" i="10"/>
  <c r="O69" i="10"/>
  <c r="N69" i="10"/>
  <c r="M69" i="10"/>
  <c r="L69" i="10"/>
  <c r="K69" i="10"/>
  <c r="J69" i="10"/>
  <c r="H69" i="10"/>
  <c r="G69" i="10"/>
  <c r="F69" i="10"/>
  <c r="E69" i="10"/>
  <c r="D69" i="10"/>
  <c r="C69" i="10"/>
  <c r="B69" i="10"/>
  <c r="P68" i="10"/>
  <c r="O68" i="10"/>
  <c r="N68" i="10"/>
  <c r="M68" i="10"/>
  <c r="L68" i="10"/>
  <c r="K68" i="10"/>
  <c r="J68" i="10"/>
  <c r="H68" i="10"/>
  <c r="G68" i="10"/>
  <c r="F68" i="10"/>
  <c r="E68" i="10"/>
  <c r="D68" i="10"/>
  <c r="C68" i="10"/>
  <c r="B68" i="10"/>
  <c r="P67" i="10"/>
  <c r="O67" i="10"/>
  <c r="N67" i="10"/>
  <c r="M67" i="10"/>
  <c r="L67" i="10"/>
  <c r="K67" i="10"/>
  <c r="J67" i="10"/>
  <c r="H67" i="10"/>
  <c r="G67" i="10"/>
  <c r="F67" i="10"/>
  <c r="E67" i="10"/>
  <c r="D67" i="10"/>
  <c r="C67" i="10"/>
  <c r="B67" i="10"/>
  <c r="P66" i="10"/>
  <c r="O66" i="10"/>
  <c r="N66" i="10"/>
  <c r="M66" i="10"/>
  <c r="L66" i="10"/>
  <c r="K66" i="10"/>
  <c r="J66" i="10"/>
  <c r="H66" i="10"/>
  <c r="G66" i="10"/>
  <c r="F66" i="10"/>
  <c r="E66" i="10"/>
  <c r="D66" i="10"/>
  <c r="C66" i="10"/>
  <c r="B66" i="10"/>
  <c r="P65" i="10"/>
  <c r="O65" i="10"/>
  <c r="N65" i="10"/>
  <c r="M65" i="10"/>
  <c r="L65" i="10"/>
  <c r="K65" i="10"/>
  <c r="J65" i="10"/>
  <c r="H65" i="10"/>
  <c r="G65" i="10"/>
  <c r="F65" i="10"/>
  <c r="E65" i="10"/>
  <c r="D65" i="10"/>
  <c r="C65" i="10"/>
  <c r="B65" i="10"/>
  <c r="P64" i="10"/>
  <c r="O64" i="10"/>
  <c r="N64" i="10"/>
  <c r="M64" i="10"/>
  <c r="L64" i="10"/>
  <c r="K64" i="10"/>
  <c r="J64" i="10"/>
  <c r="H64" i="10"/>
  <c r="G64" i="10"/>
  <c r="F64" i="10"/>
  <c r="E64" i="10"/>
  <c r="D64" i="10"/>
  <c r="C64" i="10"/>
  <c r="B64" i="10"/>
  <c r="P63" i="10"/>
  <c r="O63" i="10"/>
  <c r="N63" i="10"/>
  <c r="M63" i="10"/>
  <c r="L63" i="10"/>
  <c r="K63" i="10"/>
  <c r="J63" i="10"/>
  <c r="H63" i="10"/>
  <c r="G63" i="10"/>
  <c r="F63" i="10"/>
  <c r="E63" i="10"/>
  <c r="D63" i="10"/>
  <c r="C63" i="10"/>
  <c r="B63" i="10"/>
  <c r="P62" i="10"/>
  <c r="O62" i="10"/>
  <c r="N62" i="10"/>
  <c r="M62" i="10"/>
  <c r="L62" i="10"/>
  <c r="K62" i="10"/>
  <c r="J62" i="10"/>
  <c r="H62" i="10"/>
  <c r="G62" i="10"/>
  <c r="F62" i="10"/>
  <c r="E62" i="10"/>
  <c r="D62" i="10"/>
  <c r="C62" i="10"/>
  <c r="B62" i="10"/>
  <c r="P61" i="10"/>
  <c r="O61" i="10"/>
  <c r="N61" i="10"/>
  <c r="M61" i="10"/>
  <c r="L61" i="10"/>
  <c r="K61" i="10"/>
  <c r="J61" i="10"/>
  <c r="H61" i="10"/>
  <c r="G61" i="10"/>
  <c r="F61" i="10"/>
  <c r="E61" i="10"/>
  <c r="D61" i="10"/>
  <c r="C61" i="10"/>
  <c r="B61" i="10"/>
  <c r="P60" i="10"/>
  <c r="O60" i="10"/>
  <c r="N60" i="10"/>
  <c r="M60" i="10"/>
  <c r="L60" i="10"/>
  <c r="K60" i="10"/>
  <c r="J60" i="10"/>
  <c r="H60" i="10"/>
  <c r="G60" i="10"/>
  <c r="F60" i="10"/>
  <c r="E60" i="10"/>
  <c r="D60" i="10"/>
  <c r="C60" i="10"/>
  <c r="B60" i="10"/>
  <c r="P59" i="10"/>
  <c r="O59" i="10"/>
  <c r="N59" i="10"/>
  <c r="M59" i="10"/>
  <c r="L59" i="10"/>
  <c r="K59" i="10"/>
  <c r="J59" i="10"/>
  <c r="H59" i="10"/>
  <c r="G59" i="10"/>
  <c r="F59" i="10"/>
  <c r="E59" i="10"/>
  <c r="D59" i="10"/>
  <c r="C59" i="10"/>
  <c r="B59" i="10"/>
  <c r="P58" i="10"/>
  <c r="O58" i="10"/>
  <c r="N58" i="10"/>
  <c r="M58" i="10"/>
  <c r="L58" i="10"/>
  <c r="K58" i="10"/>
  <c r="J58" i="10"/>
  <c r="H58" i="10"/>
  <c r="G58" i="10"/>
  <c r="F58" i="10"/>
  <c r="E58" i="10"/>
  <c r="D58" i="10"/>
  <c r="C58" i="10"/>
  <c r="B58" i="10"/>
  <c r="P57" i="10"/>
  <c r="O57" i="10"/>
  <c r="N57" i="10"/>
  <c r="M57" i="10"/>
  <c r="L57" i="10"/>
  <c r="K57" i="10"/>
  <c r="J57" i="10"/>
  <c r="H57" i="10"/>
  <c r="G57" i="10"/>
  <c r="F57" i="10"/>
  <c r="E57" i="10"/>
  <c r="D57" i="10"/>
  <c r="C57" i="10"/>
  <c r="B57" i="10"/>
  <c r="P56" i="10"/>
  <c r="O56" i="10"/>
  <c r="N56" i="10"/>
  <c r="M56" i="10"/>
  <c r="L56" i="10"/>
  <c r="K56" i="10"/>
  <c r="J56" i="10"/>
  <c r="H56" i="10"/>
  <c r="G56" i="10"/>
  <c r="F56" i="10"/>
  <c r="E56" i="10"/>
  <c r="D56" i="10"/>
  <c r="C56" i="10"/>
  <c r="B56" i="10"/>
  <c r="P55" i="10"/>
  <c r="O55" i="10"/>
  <c r="N55" i="10"/>
  <c r="M55" i="10"/>
  <c r="L55" i="10"/>
  <c r="K55" i="10"/>
  <c r="J55" i="10"/>
  <c r="H55" i="10"/>
  <c r="G55" i="10"/>
  <c r="F55" i="10"/>
  <c r="E55" i="10"/>
  <c r="D55" i="10"/>
  <c r="C55" i="10"/>
  <c r="B55" i="10"/>
  <c r="P54" i="10"/>
  <c r="O54" i="10"/>
  <c r="N54" i="10"/>
  <c r="M54" i="10"/>
  <c r="L54" i="10"/>
  <c r="K54" i="10"/>
  <c r="J54" i="10"/>
  <c r="H54" i="10"/>
  <c r="G54" i="10"/>
  <c r="F54" i="10"/>
  <c r="E54" i="10"/>
  <c r="D54" i="10"/>
  <c r="C54" i="10"/>
  <c r="B54" i="10"/>
  <c r="P53" i="10"/>
  <c r="O53" i="10"/>
  <c r="N53" i="10"/>
  <c r="M53" i="10"/>
  <c r="L53" i="10"/>
  <c r="K53" i="10"/>
  <c r="J53" i="10"/>
  <c r="H53" i="10"/>
  <c r="G53" i="10"/>
  <c r="F53" i="10"/>
  <c r="E53" i="10"/>
  <c r="D53" i="10"/>
  <c r="C53" i="10"/>
  <c r="B53" i="10"/>
  <c r="P52" i="10"/>
  <c r="O52" i="10"/>
  <c r="N52" i="10"/>
  <c r="M52" i="10"/>
  <c r="L52" i="10"/>
  <c r="K52" i="10"/>
  <c r="J52" i="10"/>
  <c r="H52" i="10"/>
  <c r="G52" i="10"/>
  <c r="F52" i="10"/>
  <c r="E52" i="10"/>
  <c r="D52" i="10"/>
  <c r="C52" i="10"/>
  <c r="B52" i="10"/>
  <c r="P51" i="10"/>
  <c r="O51" i="10"/>
  <c r="N51" i="10"/>
  <c r="M51" i="10"/>
  <c r="L51" i="10"/>
  <c r="K51" i="10"/>
  <c r="J51" i="10"/>
  <c r="H51" i="10"/>
  <c r="G51" i="10"/>
  <c r="F51" i="10"/>
  <c r="E51" i="10"/>
  <c r="D51" i="10"/>
  <c r="C51" i="10"/>
  <c r="B51" i="10"/>
  <c r="P50" i="10"/>
  <c r="O50" i="10"/>
  <c r="N50" i="10"/>
  <c r="M50" i="10"/>
  <c r="L50" i="10"/>
  <c r="K50" i="10"/>
  <c r="J50" i="10"/>
  <c r="H50" i="10"/>
  <c r="G50" i="10"/>
  <c r="F50" i="10"/>
  <c r="E50" i="10"/>
  <c r="D50" i="10"/>
  <c r="C50" i="10"/>
  <c r="B50" i="10"/>
  <c r="P49" i="10"/>
  <c r="O49" i="10"/>
  <c r="N49" i="10"/>
  <c r="M49" i="10"/>
  <c r="L49" i="10"/>
  <c r="K49" i="10"/>
  <c r="J49" i="10"/>
  <c r="H49" i="10"/>
  <c r="G49" i="10"/>
  <c r="F49" i="10"/>
  <c r="E49" i="10"/>
  <c r="D49" i="10"/>
  <c r="C49" i="10"/>
  <c r="B49" i="10"/>
  <c r="P48" i="10"/>
  <c r="O48" i="10"/>
  <c r="N48" i="10"/>
  <c r="M48" i="10"/>
  <c r="L48" i="10"/>
  <c r="K48" i="10"/>
  <c r="J48" i="10"/>
  <c r="H48" i="10"/>
  <c r="G48" i="10"/>
  <c r="F48" i="10"/>
  <c r="E48" i="10"/>
  <c r="D48" i="10"/>
  <c r="C48" i="10"/>
  <c r="B48" i="10"/>
  <c r="P47" i="10"/>
  <c r="O47" i="10"/>
  <c r="N47" i="10"/>
  <c r="M47" i="10"/>
  <c r="L47" i="10"/>
  <c r="K47" i="10"/>
  <c r="J47" i="10"/>
  <c r="H47" i="10"/>
  <c r="G47" i="10"/>
  <c r="F47" i="10"/>
  <c r="E47" i="10"/>
  <c r="D47" i="10"/>
  <c r="C47" i="10"/>
  <c r="B47" i="10"/>
  <c r="C26" i="15"/>
  <c r="D25" i="15" s="1"/>
  <c r="E25" i="15"/>
  <c r="E24" i="15"/>
  <c r="E23" i="15"/>
  <c r="E22" i="15"/>
  <c r="C21" i="15"/>
  <c r="D18" i="15" s="1"/>
  <c r="E20" i="15"/>
  <c r="E19" i="15"/>
  <c r="E18" i="15"/>
  <c r="E17" i="15"/>
  <c r="B8" i="15"/>
  <c r="B10" i="15" s="1"/>
  <c r="C22" i="40"/>
  <c r="C21" i="40"/>
  <c r="C20" i="40"/>
  <c r="B9" i="15" l="1"/>
  <c r="D24" i="15"/>
  <c r="F24" i="15" s="1"/>
  <c r="D22" i="15"/>
  <c r="F22" i="15" s="1"/>
  <c r="F25" i="15"/>
  <c r="D23" i="15"/>
  <c r="F18" i="15"/>
  <c r="D20" i="15"/>
  <c r="F20" i="15" s="1"/>
  <c r="D17" i="15"/>
  <c r="F17" i="15" s="1"/>
  <c r="D19" i="15"/>
  <c r="F19" i="15" s="1"/>
  <c r="D26" i="15" l="1"/>
  <c r="F23" i="15"/>
  <c r="D21" i="15"/>
  <c r="N27" i="37" l="1"/>
  <c r="O27" i="37" s="1"/>
  <c r="P27" i="37" s="1"/>
  <c r="Q27" i="37" s="1"/>
  <c r="R27" i="37" s="1"/>
  <c r="S27" i="37" s="1"/>
  <c r="T27" i="37" s="1"/>
  <c r="N24" i="37"/>
  <c r="O24" i="37" s="1"/>
  <c r="P24" i="37" s="1"/>
  <c r="Q24" i="37" s="1"/>
  <c r="R24" i="37" s="1"/>
  <c r="S24" i="37" s="1"/>
  <c r="T24" i="37" s="1"/>
  <c r="N20" i="37"/>
  <c r="O20" i="37" s="1"/>
  <c r="P20" i="37" s="1"/>
  <c r="Q20" i="37" s="1"/>
  <c r="R20" i="37" s="1"/>
  <c r="S20" i="37" s="1"/>
  <c r="T20" i="37" s="1"/>
  <c r="K7" i="37" l="1"/>
  <c r="T7" i="37" s="1"/>
  <c r="J7" i="37"/>
  <c r="S7" i="37" s="1"/>
  <c r="I7" i="37"/>
  <c r="R7" i="37" s="1"/>
  <c r="H7" i="37"/>
  <c r="Q7" i="37" s="1"/>
  <c r="G7" i="37"/>
  <c r="P7" i="37" s="1"/>
  <c r="F7" i="37"/>
  <c r="O7" i="37" s="1"/>
  <c r="K10" i="37"/>
  <c r="T10" i="37" s="1"/>
  <c r="J10" i="37"/>
  <c r="S10" i="37" s="1"/>
  <c r="I10" i="37"/>
  <c r="R10" i="37" s="1"/>
  <c r="H10" i="37"/>
  <c r="Q10" i="37" s="1"/>
  <c r="G10" i="37"/>
  <c r="P10" i="37" s="1"/>
  <c r="F10" i="37"/>
  <c r="O10" i="37" s="1"/>
  <c r="N3" i="37"/>
  <c r="O3" i="37" s="1"/>
  <c r="P3" i="37" s="1"/>
  <c r="Q3" i="37" s="1"/>
  <c r="R3" i="37" s="1"/>
  <c r="S3" i="37" s="1"/>
  <c r="T3" i="37" s="1"/>
  <c r="B25" i="37"/>
  <c r="B27" i="37" s="1"/>
  <c r="T23" i="37"/>
  <c r="S23" i="37"/>
  <c r="R23" i="37"/>
  <c r="Q23" i="37"/>
  <c r="P23" i="37"/>
  <c r="O23" i="37"/>
  <c r="N23" i="37"/>
  <c r="M23" i="37"/>
  <c r="L23" i="37"/>
  <c r="T22" i="37"/>
  <c r="S22" i="37"/>
  <c r="R22" i="37"/>
  <c r="Q22" i="37"/>
  <c r="P22" i="37"/>
  <c r="O22" i="37"/>
  <c r="N22" i="37"/>
  <c r="M22" i="37"/>
  <c r="L22" i="37"/>
  <c r="T21" i="37"/>
  <c r="S21" i="37"/>
  <c r="R21" i="37"/>
  <c r="Q21" i="37"/>
  <c r="P21" i="37"/>
  <c r="O21" i="37"/>
  <c r="N21" i="37"/>
  <c r="M21" i="37"/>
  <c r="L21" i="37"/>
  <c r="L5" i="37"/>
  <c r="M5" i="37"/>
  <c r="N5" i="37"/>
  <c r="L6" i="37"/>
  <c r="M6" i="37"/>
  <c r="N6" i="37"/>
  <c r="O6" i="37"/>
  <c r="P6" i="37"/>
  <c r="Q6" i="37"/>
  <c r="R6" i="37"/>
  <c r="S6" i="37"/>
  <c r="T6" i="37"/>
  <c r="L7" i="37"/>
  <c r="M7" i="37"/>
  <c r="N7" i="37"/>
  <c r="L8" i="37"/>
  <c r="M8" i="37"/>
  <c r="N8" i="37"/>
  <c r="L9" i="37"/>
  <c r="M9" i="37"/>
  <c r="N9" i="37"/>
  <c r="O9" i="37"/>
  <c r="P9" i="37"/>
  <c r="Q9" i="37"/>
  <c r="R9" i="37"/>
  <c r="S9" i="37"/>
  <c r="T9" i="37"/>
  <c r="L10" i="37"/>
  <c r="M10" i="37"/>
  <c r="N10" i="37"/>
  <c r="L11" i="37"/>
  <c r="M11" i="37"/>
  <c r="N11" i="37"/>
  <c r="O11" i="37"/>
  <c r="P11" i="37"/>
  <c r="Q11" i="37"/>
  <c r="R11" i="37"/>
  <c r="S11" i="37"/>
  <c r="T11" i="37"/>
  <c r="L12" i="37"/>
  <c r="M12" i="37"/>
  <c r="N12" i="37"/>
  <c r="O12" i="37"/>
  <c r="P12" i="37"/>
  <c r="Q12" i="37"/>
  <c r="R12" i="37"/>
  <c r="S12" i="37"/>
  <c r="T12" i="37"/>
  <c r="L13" i="37"/>
  <c r="M13" i="37"/>
  <c r="N13" i="37"/>
  <c r="L14" i="37"/>
  <c r="M14" i="37"/>
  <c r="N14" i="37"/>
  <c r="L15" i="37"/>
  <c r="M15" i="37"/>
  <c r="N15" i="37"/>
  <c r="L16" i="37"/>
  <c r="M16" i="37"/>
  <c r="N16" i="37"/>
  <c r="L17" i="37"/>
  <c r="M17" i="37"/>
  <c r="N17" i="37"/>
  <c r="L18" i="37"/>
  <c r="M18" i="37"/>
  <c r="N18" i="37"/>
  <c r="L19" i="37"/>
  <c r="M19" i="37"/>
  <c r="N19" i="37"/>
  <c r="M4" i="37"/>
  <c r="N4" i="37"/>
  <c r="O4" i="37"/>
  <c r="P4" i="37"/>
  <c r="Q4" i="37"/>
  <c r="R4" i="37"/>
  <c r="S4" i="37"/>
  <c r="T4" i="37"/>
  <c r="L4" i="37"/>
  <c r="K19" i="37"/>
  <c r="T19" i="37" s="1"/>
  <c r="J19" i="37"/>
  <c r="S19" i="37" s="1"/>
  <c r="I19" i="37"/>
  <c r="R19" i="37" s="1"/>
  <c r="H19" i="37"/>
  <c r="Q19" i="37" s="1"/>
  <c r="G19" i="37"/>
  <c r="P19" i="37" s="1"/>
  <c r="F19" i="37"/>
  <c r="O19" i="37" s="1"/>
  <c r="K18" i="37"/>
  <c r="T18" i="37" s="1"/>
  <c r="J18" i="37"/>
  <c r="S18" i="37" s="1"/>
  <c r="I18" i="37"/>
  <c r="R18" i="37" s="1"/>
  <c r="H18" i="37"/>
  <c r="Q18" i="37" s="1"/>
  <c r="G18" i="37"/>
  <c r="P18" i="37" s="1"/>
  <c r="F18" i="37"/>
  <c r="O18" i="37" s="1"/>
  <c r="K8" i="37"/>
  <c r="T8" i="37" s="1"/>
  <c r="J8" i="37"/>
  <c r="S8" i="37" s="1"/>
  <c r="I8" i="37"/>
  <c r="R8" i="37" s="1"/>
  <c r="H8" i="37"/>
  <c r="Q8" i="37" s="1"/>
  <c r="G8" i="37"/>
  <c r="P8" i="37" s="1"/>
  <c r="F8" i="37"/>
  <c r="O8" i="37" s="1"/>
  <c r="K5" i="37"/>
  <c r="T5" i="37" s="1"/>
  <c r="J5" i="37"/>
  <c r="S5" i="37" s="1"/>
  <c r="I5" i="37"/>
  <c r="R5" i="37" s="1"/>
  <c r="H5" i="37"/>
  <c r="Q5" i="37" s="1"/>
  <c r="G5" i="37"/>
  <c r="P5" i="37" s="1"/>
  <c r="F5" i="37"/>
  <c r="O5" i="37" s="1"/>
  <c r="K16" i="37"/>
  <c r="T16" i="37" s="1"/>
  <c r="J16" i="37"/>
  <c r="S16" i="37" s="1"/>
  <c r="I16" i="37"/>
  <c r="R16" i="37" s="1"/>
  <c r="H16" i="37"/>
  <c r="Q16" i="37" s="1"/>
  <c r="G16" i="37"/>
  <c r="P16" i="37" s="1"/>
  <c r="F16" i="37"/>
  <c r="O16" i="37" s="1"/>
  <c r="K15" i="37"/>
  <c r="T15" i="37" s="1"/>
  <c r="J15" i="37"/>
  <c r="S15" i="37" s="1"/>
  <c r="I15" i="37"/>
  <c r="R15" i="37" s="1"/>
  <c r="H15" i="37"/>
  <c r="Q15" i="37" s="1"/>
  <c r="G15" i="37"/>
  <c r="P15" i="37" s="1"/>
  <c r="F15" i="37"/>
  <c r="O15" i="37" s="1"/>
  <c r="K14" i="37"/>
  <c r="T14" i="37" s="1"/>
  <c r="J14" i="37"/>
  <c r="S14" i="37" s="1"/>
  <c r="I14" i="37"/>
  <c r="R14" i="37" s="1"/>
  <c r="H14" i="37"/>
  <c r="Q14" i="37" s="1"/>
  <c r="G14" i="37"/>
  <c r="P14" i="37" s="1"/>
  <c r="F14" i="37"/>
  <c r="O14" i="37" s="1"/>
  <c r="K13" i="37"/>
  <c r="T13" i="37" s="1"/>
  <c r="J13" i="37"/>
  <c r="S13" i="37" s="1"/>
  <c r="I13" i="37"/>
  <c r="R13" i="37" s="1"/>
  <c r="H13" i="37"/>
  <c r="Q13" i="37" s="1"/>
  <c r="G13" i="37"/>
  <c r="P13" i="37" s="1"/>
  <c r="F13" i="37"/>
  <c r="O13" i="37" s="1"/>
  <c r="H17" i="37"/>
  <c r="Q17" i="37" s="1"/>
  <c r="I17" i="37"/>
  <c r="R17" i="37" s="1"/>
  <c r="J17" i="37"/>
  <c r="S17" i="37" s="1"/>
  <c r="K17" i="37"/>
  <c r="T17" i="37" s="1"/>
  <c r="G17" i="37"/>
  <c r="P17" i="37" s="1"/>
  <c r="F17" i="37"/>
  <c r="O17" i="37" s="1"/>
  <c r="E20" i="37"/>
  <c r="F20" i="37" s="1"/>
  <c r="G20" i="37" s="1"/>
  <c r="H20" i="37" s="1"/>
  <c r="I20" i="37" s="1"/>
  <c r="J20" i="37" s="1"/>
  <c r="K20" i="37" s="1"/>
  <c r="E3" i="37"/>
  <c r="F3" i="37" s="1"/>
  <c r="G3" i="37" s="1"/>
  <c r="H3" i="37" s="1"/>
  <c r="I3" i="37" s="1"/>
  <c r="J3" i="37" s="1"/>
  <c r="K3" i="37" s="1"/>
  <c r="P25" i="37" l="1"/>
  <c r="P29" i="37" s="1"/>
  <c r="S25" i="37"/>
  <c r="S29" i="37" s="1"/>
  <c r="M25" i="37"/>
  <c r="M28" i="37" s="1"/>
  <c r="N25" i="37"/>
  <c r="N28" i="37" s="1"/>
  <c r="L25" i="37"/>
  <c r="O25" i="37"/>
  <c r="O29" i="37" s="1"/>
  <c r="T25" i="37"/>
  <c r="T28" i="37" s="1"/>
  <c r="R25" i="37"/>
  <c r="R28" i="37" s="1"/>
  <c r="Q25" i="37"/>
  <c r="Q29" i="37" s="1"/>
  <c r="D19" i="41"/>
  <c r="D18" i="41"/>
  <c r="T29" i="37" l="1"/>
  <c r="R29" i="37"/>
  <c r="L29" i="37"/>
  <c r="C10" i="45" a="1"/>
  <c r="N29" i="37"/>
  <c r="L28" i="37"/>
  <c r="Q28" i="37"/>
  <c r="O28" i="37"/>
  <c r="M29" i="37"/>
  <c r="U25" i="37"/>
  <c r="R26" i="37" s="1"/>
  <c r="P28" i="37"/>
  <c r="S28" i="37"/>
  <c r="U10" i="45" l="1" a="1"/>
  <c r="L10" i="45" a="1"/>
  <c r="U29" i="37"/>
  <c r="C10" i="45"/>
  <c r="C16" i="45"/>
  <c r="C18" i="45"/>
  <c r="C12" i="45"/>
  <c r="C14" i="45"/>
  <c r="C17" i="45"/>
  <c r="C15" i="45"/>
  <c r="C13" i="45"/>
  <c r="C11" i="45"/>
  <c r="U28" i="37"/>
  <c r="M26" i="37"/>
  <c r="Q26" i="37"/>
  <c r="O26" i="37"/>
  <c r="N26" i="37"/>
  <c r="P26" i="37"/>
  <c r="S26" i="37"/>
  <c r="L26" i="37"/>
  <c r="T26" i="37"/>
  <c r="Q7" i="36"/>
  <c r="S7" i="36" s="1"/>
  <c r="Q8" i="36"/>
  <c r="S8" i="36" s="1"/>
  <c r="Q9" i="36"/>
  <c r="S9" i="36" s="1"/>
  <c r="Q10" i="36"/>
  <c r="S10" i="36" s="1"/>
  <c r="Q5" i="36"/>
  <c r="S5" i="36" s="1"/>
  <c r="Q6" i="36"/>
  <c r="S6" i="36" s="1"/>
  <c r="L10" i="45" l="1"/>
  <c r="L16" i="45"/>
  <c r="L18" i="45"/>
  <c r="L12" i="45"/>
  <c r="R12" i="45" s="1"/>
  <c r="L14" i="45"/>
  <c r="L17" i="45"/>
  <c r="L15" i="45"/>
  <c r="L13" i="45"/>
  <c r="L11" i="45"/>
  <c r="R11" i="45" s="1"/>
  <c r="U10" i="45"/>
  <c r="U16" i="45"/>
  <c r="U18" i="45"/>
  <c r="U12" i="45"/>
  <c r="AA12" i="45" s="1"/>
  <c r="U14" i="45"/>
  <c r="U17" i="45"/>
  <c r="U15" i="45"/>
  <c r="U13" i="45"/>
  <c r="U11" i="45"/>
  <c r="AA11" i="45" s="1"/>
  <c r="S11" i="36"/>
  <c r="I9" i="36" s="1"/>
  <c r="M36" i="36" s="1"/>
  <c r="M28" i="36"/>
  <c r="M24" i="36"/>
  <c r="M20" i="36"/>
  <c r="S24" i="36"/>
  <c r="S28" i="36"/>
  <c r="S32" i="36"/>
  <c r="S40" i="36"/>
  <c r="S18" i="36"/>
  <c r="S33" i="36"/>
  <c r="M26" i="36"/>
  <c r="S22" i="36"/>
  <c r="S34" i="36"/>
  <c r="M39" i="36"/>
  <c r="M35" i="36"/>
  <c r="M31" i="36"/>
  <c r="M23" i="36"/>
  <c r="M19" i="36"/>
  <c r="M15" i="36"/>
  <c r="S29" i="36"/>
  <c r="S37" i="36"/>
  <c r="S19" i="36"/>
  <c r="M34" i="36"/>
  <c r="M30" i="36"/>
  <c r="M18" i="36"/>
  <c r="S20" i="36"/>
  <c r="M37" i="36"/>
  <c r="M33" i="36"/>
  <c r="M25" i="36"/>
  <c r="M21" i="36"/>
  <c r="M17" i="36"/>
  <c r="S23" i="36"/>
  <c r="S27" i="36"/>
  <c r="S31" i="36"/>
  <c r="S35" i="36"/>
  <c r="S39" i="36"/>
  <c r="S17" i="36"/>
  <c r="S21" i="36"/>
  <c r="M22" i="36"/>
  <c r="S26" i="36"/>
  <c r="S38" i="36"/>
  <c r="J3" i="45" l="1"/>
  <c r="AA10" i="45"/>
  <c r="R10" i="45"/>
  <c r="M40" i="36"/>
  <c r="M29" i="36"/>
  <c r="S30" i="36"/>
  <c r="M38" i="36"/>
  <c r="S25" i="36"/>
  <c r="M27" i="36"/>
  <c r="S16" i="36"/>
  <c r="S15" i="36"/>
  <c r="S36" i="36"/>
  <c r="M16" i="36"/>
  <c r="M32" i="36"/>
  <c r="E21" i="36"/>
  <c r="T72" i="10"/>
  <c r="U72" i="10"/>
  <c r="S72" i="10"/>
  <c r="C15" i="36" l="1"/>
  <c r="D15" i="36"/>
  <c r="E15" i="36"/>
  <c r="C16" i="36"/>
  <c r="D16" i="36"/>
  <c r="E16" i="36"/>
  <c r="C17" i="36"/>
  <c r="D17" i="36"/>
  <c r="E17" i="36"/>
  <c r="C18" i="36"/>
  <c r="D18" i="36"/>
  <c r="E18" i="36"/>
  <c r="C19" i="36"/>
  <c r="D19" i="36"/>
  <c r="E19" i="36"/>
  <c r="C20" i="36"/>
  <c r="D20" i="36"/>
  <c r="E20" i="36"/>
  <c r="E22" i="36"/>
  <c r="E23" i="36"/>
  <c r="E24" i="36"/>
  <c r="E25" i="36"/>
  <c r="E26" i="36"/>
  <c r="E27" i="36"/>
  <c r="E28" i="36"/>
  <c r="E29" i="36"/>
  <c r="E30" i="36"/>
  <c r="E31" i="36"/>
  <c r="E32" i="36"/>
  <c r="E33" i="36"/>
  <c r="E34" i="36"/>
  <c r="E35" i="36"/>
  <c r="E36" i="36"/>
  <c r="E37" i="36"/>
  <c r="E38" i="36"/>
  <c r="E39" i="36"/>
  <c r="E40" i="36"/>
  <c r="B16" i="36"/>
  <c r="B17" i="36"/>
  <c r="B18" i="36"/>
  <c r="B19" i="36"/>
  <c r="B20" i="36"/>
  <c r="B15" i="36"/>
  <c r="D39" i="40"/>
  <c r="E39" i="40"/>
  <c r="F39" i="40"/>
  <c r="G39" i="40"/>
  <c r="H39" i="40"/>
  <c r="I39" i="40"/>
  <c r="J39" i="40"/>
  <c r="K39" i="40"/>
  <c r="L39" i="40"/>
  <c r="D40" i="40"/>
  <c r="E40" i="40"/>
  <c r="F40" i="40"/>
  <c r="G40" i="40"/>
  <c r="H40" i="40"/>
  <c r="I40" i="40"/>
  <c r="J40" i="40"/>
  <c r="K40" i="40"/>
  <c r="L40" i="40"/>
  <c r="D41" i="40"/>
  <c r="E41" i="40"/>
  <c r="F41" i="40"/>
  <c r="G41" i="40"/>
  <c r="H41" i="40"/>
  <c r="I41" i="40"/>
  <c r="J41" i="40"/>
  <c r="K41" i="40"/>
  <c r="L41" i="40"/>
  <c r="D42" i="40"/>
  <c r="E42" i="40"/>
  <c r="F42" i="40"/>
  <c r="G42" i="40"/>
  <c r="H42" i="40"/>
  <c r="I42" i="40"/>
  <c r="J42" i="40"/>
  <c r="K42" i="40"/>
  <c r="L42" i="40"/>
  <c r="D43" i="40"/>
  <c r="E43" i="40"/>
  <c r="F43" i="40"/>
  <c r="G43" i="40"/>
  <c r="H43" i="40"/>
  <c r="I43" i="40"/>
  <c r="J43" i="40"/>
  <c r="K43" i="40"/>
  <c r="L43" i="40"/>
  <c r="D44" i="40"/>
  <c r="E44" i="40"/>
  <c r="F44" i="40"/>
  <c r="G44" i="40"/>
  <c r="H44" i="40"/>
  <c r="I44" i="40"/>
  <c r="J44" i="40"/>
  <c r="K44" i="40"/>
  <c r="L44" i="40"/>
  <c r="D45" i="40"/>
  <c r="E45" i="40"/>
  <c r="F45" i="40"/>
  <c r="G45" i="40"/>
  <c r="H45" i="40"/>
  <c r="I45" i="40"/>
  <c r="J45" i="40"/>
  <c r="K45" i="40"/>
  <c r="L45" i="40"/>
  <c r="D46" i="40"/>
  <c r="E46" i="40"/>
  <c r="F46" i="40"/>
  <c r="G46" i="40"/>
  <c r="H46" i="40"/>
  <c r="I46" i="40"/>
  <c r="J46" i="40"/>
  <c r="K46" i="40"/>
  <c r="L46" i="40"/>
  <c r="D47" i="40"/>
  <c r="E47" i="40"/>
  <c r="F47" i="40"/>
  <c r="G47" i="40"/>
  <c r="H47" i="40"/>
  <c r="I47" i="40"/>
  <c r="J47" i="40"/>
  <c r="K47" i="40"/>
  <c r="L47" i="40"/>
  <c r="D48" i="40"/>
  <c r="E48" i="40"/>
  <c r="F48" i="40"/>
  <c r="G48" i="40"/>
  <c r="H48" i="40"/>
  <c r="I48" i="40"/>
  <c r="J48" i="40"/>
  <c r="K48" i="40"/>
  <c r="L48" i="40"/>
  <c r="D49" i="40"/>
  <c r="E49" i="40"/>
  <c r="F49" i="40"/>
  <c r="G49" i="40"/>
  <c r="H49" i="40"/>
  <c r="I49" i="40"/>
  <c r="J49" i="40"/>
  <c r="K49" i="40"/>
  <c r="L49" i="40"/>
  <c r="D50" i="40"/>
  <c r="E50" i="40"/>
  <c r="F50" i="40"/>
  <c r="G50" i="40"/>
  <c r="H50" i="40"/>
  <c r="I50" i="40"/>
  <c r="J50" i="40"/>
  <c r="K50" i="40"/>
  <c r="L50" i="40"/>
  <c r="D51" i="40"/>
  <c r="E51" i="40"/>
  <c r="F51" i="40"/>
  <c r="G51" i="40"/>
  <c r="H51" i="40"/>
  <c r="I51" i="40"/>
  <c r="J51" i="40"/>
  <c r="K51" i="40"/>
  <c r="L51" i="40"/>
  <c r="D52" i="40"/>
  <c r="E52" i="40"/>
  <c r="F52" i="40"/>
  <c r="G52" i="40"/>
  <c r="H52" i="40"/>
  <c r="I52" i="40"/>
  <c r="J52" i="40"/>
  <c r="K52" i="40"/>
  <c r="L52" i="40"/>
  <c r="D53" i="40"/>
  <c r="E53" i="40"/>
  <c r="F53" i="40"/>
  <c r="G53" i="40"/>
  <c r="H53" i="40"/>
  <c r="I53" i="40"/>
  <c r="J53" i="40"/>
  <c r="K53" i="40"/>
  <c r="L53" i="40"/>
  <c r="D54" i="40"/>
  <c r="E54" i="40"/>
  <c r="F54" i="40"/>
  <c r="G54" i="40"/>
  <c r="H54" i="40"/>
  <c r="I54" i="40"/>
  <c r="J54" i="40"/>
  <c r="K54" i="40"/>
  <c r="L54" i="40"/>
  <c r="D55" i="40"/>
  <c r="E55" i="40"/>
  <c r="F55" i="40"/>
  <c r="G55" i="40"/>
  <c r="H55" i="40"/>
  <c r="I55" i="40"/>
  <c r="J55" i="40"/>
  <c r="K55" i="40"/>
  <c r="L55" i="40"/>
  <c r="D56" i="40"/>
  <c r="E56" i="40"/>
  <c r="F56" i="40"/>
  <c r="G56" i="40"/>
  <c r="H56" i="40"/>
  <c r="I56" i="40"/>
  <c r="J56" i="40"/>
  <c r="K56" i="40"/>
  <c r="L56" i="40"/>
  <c r="D57" i="40"/>
  <c r="E57" i="40"/>
  <c r="F57" i="40"/>
  <c r="G57" i="40"/>
  <c r="H57" i="40"/>
  <c r="I57" i="40"/>
  <c r="J57" i="40"/>
  <c r="K57" i="40"/>
  <c r="L57" i="40"/>
  <c r="D58" i="40"/>
  <c r="E58" i="40"/>
  <c r="F58" i="40"/>
  <c r="G58" i="40"/>
  <c r="H58" i="40"/>
  <c r="I58" i="40"/>
  <c r="J58" i="40"/>
  <c r="K58" i="40"/>
  <c r="L58" i="40"/>
  <c r="D59" i="40"/>
  <c r="E59" i="40"/>
  <c r="F59" i="40"/>
  <c r="G59" i="40"/>
  <c r="H59" i="40"/>
  <c r="I59" i="40"/>
  <c r="J59" i="40"/>
  <c r="K59" i="40"/>
  <c r="L59" i="40"/>
  <c r="D60" i="40"/>
  <c r="E60" i="40"/>
  <c r="F60" i="40"/>
  <c r="G60" i="40"/>
  <c r="H60" i="40"/>
  <c r="I60" i="40"/>
  <c r="J60" i="40"/>
  <c r="K60" i="40"/>
  <c r="L60" i="40"/>
  <c r="D61" i="40"/>
  <c r="E61" i="40"/>
  <c r="F61" i="40"/>
  <c r="G61" i="40"/>
  <c r="H61" i="40"/>
  <c r="I61" i="40"/>
  <c r="J61" i="40"/>
  <c r="K61" i="40"/>
  <c r="L61" i="40"/>
  <c r="D62" i="40"/>
  <c r="E62" i="40"/>
  <c r="F62" i="40"/>
  <c r="G62" i="40"/>
  <c r="H62" i="40"/>
  <c r="I62" i="40"/>
  <c r="J62" i="40"/>
  <c r="K62" i="40"/>
  <c r="L62" i="40"/>
  <c r="D63" i="40"/>
  <c r="E63" i="40"/>
  <c r="F63" i="40"/>
  <c r="G63" i="40"/>
  <c r="H63" i="40"/>
  <c r="I63" i="40"/>
  <c r="J63" i="40"/>
  <c r="K63" i="40"/>
  <c r="L63" i="40"/>
  <c r="D64" i="40"/>
  <c r="E64" i="40"/>
  <c r="F64" i="40"/>
  <c r="G64" i="40"/>
  <c r="H64" i="40"/>
  <c r="I64" i="40"/>
  <c r="J64" i="40"/>
  <c r="K64" i="40"/>
  <c r="L64"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39" i="40"/>
  <c r="M64" i="40" l="1"/>
  <c r="M56" i="40"/>
  <c r="M48" i="40"/>
  <c r="M40" i="40"/>
  <c r="E41" i="36"/>
  <c r="M63" i="40"/>
  <c r="M55" i="40"/>
  <c r="M47" i="40"/>
  <c r="M62" i="40"/>
  <c r="M54" i="40"/>
  <c r="M46" i="40"/>
  <c r="P63" i="40"/>
  <c r="P59" i="40"/>
  <c r="P55" i="40"/>
  <c r="P51" i="40"/>
  <c r="P47" i="40"/>
  <c r="P43" i="40"/>
  <c r="M61" i="40"/>
  <c r="M53" i="40"/>
  <c r="M45" i="40"/>
  <c r="M60" i="40"/>
  <c r="M52" i="40"/>
  <c r="M44" i="40"/>
  <c r="M59" i="40"/>
  <c r="M51" i="40"/>
  <c r="M43" i="40"/>
  <c r="P39" i="40"/>
  <c r="M58" i="40"/>
  <c r="M50" i="40"/>
  <c r="M42" i="40"/>
  <c r="M57" i="40"/>
  <c r="M49" i="40"/>
  <c r="M41" i="40"/>
  <c r="M39" i="40"/>
  <c r="P62" i="40"/>
  <c r="P58" i="40"/>
  <c r="P54" i="40"/>
  <c r="P50" i="40"/>
  <c r="P46" i="40"/>
  <c r="P42" i="40"/>
  <c r="P61" i="40"/>
  <c r="P57" i="40"/>
  <c r="P53" i="40"/>
  <c r="P49" i="40"/>
  <c r="P45" i="40"/>
  <c r="P41" i="40"/>
  <c r="P64" i="40"/>
  <c r="P60" i="40"/>
  <c r="P56" i="40"/>
  <c r="P52" i="40"/>
  <c r="P48" i="40"/>
  <c r="P44" i="40"/>
  <c r="P40" i="40"/>
  <c r="D70" i="40"/>
  <c r="E70" i="40"/>
  <c r="F70" i="40"/>
  <c r="G70" i="40"/>
  <c r="H70" i="40"/>
  <c r="D71" i="40"/>
  <c r="E71" i="40"/>
  <c r="F71" i="40"/>
  <c r="G71" i="40"/>
  <c r="C28" i="41" s="1"/>
  <c r="H71" i="40"/>
  <c r="D72" i="40"/>
  <c r="E72" i="40"/>
  <c r="F72" i="40"/>
  <c r="G72" i="40"/>
  <c r="C29" i="41" s="1"/>
  <c r="H72" i="40"/>
  <c r="D73" i="40"/>
  <c r="E73" i="40"/>
  <c r="F73" i="40"/>
  <c r="G73" i="40"/>
  <c r="C30" i="41" s="1"/>
  <c r="H73" i="40"/>
  <c r="D74" i="40"/>
  <c r="E74" i="40"/>
  <c r="F74" i="40"/>
  <c r="G74" i="40"/>
  <c r="C31" i="41" s="1"/>
  <c r="H74" i="40"/>
  <c r="D75" i="40"/>
  <c r="E75" i="40"/>
  <c r="F75" i="40"/>
  <c r="G75" i="40"/>
  <c r="C32" i="41" s="1"/>
  <c r="H75" i="40"/>
  <c r="D76" i="40"/>
  <c r="E76" i="40"/>
  <c r="F76" i="40"/>
  <c r="G76" i="40"/>
  <c r="C33" i="41" s="1"/>
  <c r="H76" i="40"/>
  <c r="D77" i="40"/>
  <c r="E77" i="40"/>
  <c r="F77" i="40"/>
  <c r="G77" i="40"/>
  <c r="C34" i="41" s="1"/>
  <c r="H77" i="40"/>
  <c r="D78" i="40"/>
  <c r="E78" i="40"/>
  <c r="F78" i="40"/>
  <c r="G78" i="40"/>
  <c r="C35" i="41" s="1"/>
  <c r="H78" i="40"/>
  <c r="D79" i="40"/>
  <c r="E79" i="40"/>
  <c r="F79" i="40"/>
  <c r="G79" i="40"/>
  <c r="C36" i="41" s="1"/>
  <c r="H79" i="40"/>
  <c r="D80" i="40"/>
  <c r="E80" i="40"/>
  <c r="F80" i="40"/>
  <c r="G80" i="40"/>
  <c r="C37" i="41" s="1"/>
  <c r="H80" i="40"/>
  <c r="D81" i="40"/>
  <c r="E81" i="40"/>
  <c r="F81" i="40"/>
  <c r="G81" i="40"/>
  <c r="C38" i="41" s="1"/>
  <c r="H81" i="40"/>
  <c r="D82" i="40"/>
  <c r="E82" i="40"/>
  <c r="F82" i="40"/>
  <c r="G82" i="40"/>
  <c r="C39" i="41" s="1"/>
  <c r="H82" i="40"/>
  <c r="D83" i="40"/>
  <c r="E83" i="40"/>
  <c r="F83" i="40"/>
  <c r="G83" i="40"/>
  <c r="C40" i="41" s="1"/>
  <c r="H83" i="40"/>
  <c r="D84" i="40"/>
  <c r="E84" i="40"/>
  <c r="F84" i="40"/>
  <c r="G84" i="40"/>
  <c r="C41" i="41" s="1"/>
  <c r="H84" i="40"/>
  <c r="D85" i="40"/>
  <c r="E85" i="40"/>
  <c r="F85" i="40"/>
  <c r="G85" i="40"/>
  <c r="C42" i="41" s="1"/>
  <c r="H85" i="40"/>
  <c r="D86" i="40"/>
  <c r="E86" i="40"/>
  <c r="F86" i="40"/>
  <c r="G86" i="40"/>
  <c r="C43" i="41" s="1"/>
  <c r="H86" i="40"/>
  <c r="D87" i="40"/>
  <c r="E87" i="40"/>
  <c r="F87" i="40"/>
  <c r="G87" i="40"/>
  <c r="C44" i="41" s="1"/>
  <c r="H87" i="40"/>
  <c r="D88" i="40"/>
  <c r="E88" i="40"/>
  <c r="F88" i="40"/>
  <c r="G88" i="40"/>
  <c r="C45" i="41" s="1"/>
  <c r="H88" i="40"/>
  <c r="D89" i="40"/>
  <c r="E89" i="40"/>
  <c r="F89" i="40"/>
  <c r="G89" i="40"/>
  <c r="C46" i="41" s="1"/>
  <c r="H89" i="40"/>
  <c r="D90" i="40"/>
  <c r="E90" i="40"/>
  <c r="F90" i="40"/>
  <c r="G90" i="40"/>
  <c r="C47" i="41" s="1"/>
  <c r="H90" i="40"/>
  <c r="D91" i="40"/>
  <c r="E91" i="40"/>
  <c r="F91" i="40"/>
  <c r="G91" i="40"/>
  <c r="C48" i="41" s="1"/>
  <c r="H91" i="40"/>
  <c r="D92" i="40"/>
  <c r="E92" i="40"/>
  <c r="F92" i="40"/>
  <c r="G92" i="40"/>
  <c r="C49" i="41" s="1"/>
  <c r="H92" i="40"/>
  <c r="D93" i="40"/>
  <c r="E93" i="40"/>
  <c r="F93" i="40"/>
  <c r="G93" i="40"/>
  <c r="C50" i="41" s="1"/>
  <c r="H93" i="40"/>
  <c r="D94" i="40"/>
  <c r="E94" i="40"/>
  <c r="F94" i="40"/>
  <c r="G94" i="40"/>
  <c r="C51" i="41" s="1"/>
  <c r="H94" i="40"/>
  <c r="D95" i="40"/>
  <c r="E95" i="40"/>
  <c r="F95" i="40"/>
  <c r="G95" i="40"/>
  <c r="C52" i="41" s="1"/>
  <c r="H95" i="40"/>
  <c r="C71" i="40"/>
  <c r="B28" i="41" s="1"/>
  <c r="C72" i="40"/>
  <c r="B29" i="41" s="1"/>
  <c r="C73" i="40"/>
  <c r="B30" i="41" s="1"/>
  <c r="C74" i="40"/>
  <c r="B31" i="41" s="1"/>
  <c r="C75" i="40"/>
  <c r="C76" i="40"/>
  <c r="B33" i="41" s="1"/>
  <c r="C77" i="40"/>
  <c r="B34" i="41" s="1"/>
  <c r="C78" i="40"/>
  <c r="B35" i="41" s="1"/>
  <c r="C79" i="40"/>
  <c r="B36" i="41" s="1"/>
  <c r="C80" i="40"/>
  <c r="B37" i="41" s="1"/>
  <c r="C81" i="40"/>
  <c r="B38" i="41" s="1"/>
  <c r="C82" i="40"/>
  <c r="B39" i="41" s="1"/>
  <c r="C83" i="40"/>
  <c r="C84" i="40"/>
  <c r="B41" i="41" s="1"/>
  <c r="C85" i="40"/>
  <c r="B42" i="41" s="1"/>
  <c r="C86" i="40"/>
  <c r="B43" i="41" s="1"/>
  <c r="C87" i="40"/>
  <c r="B44" i="41" s="1"/>
  <c r="C88" i="40"/>
  <c r="B45" i="41" s="1"/>
  <c r="C89" i="40"/>
  <c r="B46" i="41" s="1"/>
  <c r="C90" i="40"/>
  <c r="B47" i="41" s="1"/>
  <c r="C91" i="40"/>
  <c r="C92" i="40"/>
  <c r="B49" i="41" s="1"/>
  <c r="C93" i="40"/>
  <c r="B50" i="41" s="1"/>
  <c r="C94" i="40"/>
  <c r="B51" i="41" s="1"/>
  <c r="C95" i="40"/>
  <c r="B52" i="41" s="1"/>
  <c r="C70" i="40"/>
  <c r="F46" i="41" l="1"/>
  <c r="K46" i="41" s="1"/>
  <c r="F38" i="41"/>
  <c r="K38" i="41" s="1"/>
  <c r="F30" i="41"/>
  <c r="K30" i="41" s="1"/>
  <c r="B27" i="41"/>
  <c r="E52" i="41"/>
  <c r="J52" i="41" s="1"/>
  <c r="F52" i="41"/>
  <c r="K52" i="41" s="1"/>
  <c r="G52" i="41"/>
  <c r="L52" i="41" s="1"/>
  <c r="D52" i="41"/>
  <c r="I52" i="41" s="1"/>
  <c r="H52" i="41"/>
  <c r="M52" i="41" s="1"/>
  <c r="P52" i="41" s="1"/>
  <c r="G38" i="45" s="1"/>
  <c r="E28" i="41"/>
  <c r="J28" i="41" s="1"/>
  <c r="D28" i="41"/>
  <c r="I28" i="41" s="1"/>
  <c r="F28" i="41"/>
  <c r="K28" i="41" s="1"/>
  <c r="G28" i="41"/>
  <c r="L28" i="41" s="1"/>
  <c r="H28" i="41"/>
  <c r="M28" i="41" s="1"/>
  <c r="P28" i="41" s="1"/>
  <c r="G14" i="45" s="1"/>
  <c r="G51" i="41"/>
  <c r="L51" i="41" s="1"/>
  <c r="D51" i="41"/>
  <c r="I51" i="41" s="1"/>
  <c r="E51" i="41"/>
  <c r="J51" i="41" s="1"/>
  <c r="F51" i="41"/>
  <c r="K51" i="41" s="1"/>
  <c r="H51" i="41"/>
  <c r="M51" i="41" s="1"/>
  <c r="P51" i="41" s="1"/>
  <c r="G37" i="45" s="1"/>
  <c r="F43" i="41"/>
  <c r="K43" i="41" s="1"/>
  <c r="G43" i="41"/>
  <c r="L43" i="41" s="1"/>
  <c r="E43" i="41"/>
  <c r="J43" i="41" s="1"/>
  <c r="D43" i="41"/>
  <c r="I43" i="41" s="1"/>
  <c r="H43" i="41"/>
  <c r="M43" i="41" s="1"/>
  <c r="P43" i="41" s="1"/>
  <c r="G29" i="45" s="1"/>
  <c r="F35" i="41"/>
  <c r="K35" i="41" s="1"/>
  <c r="G35" i="41"/>
  <c r="L35" i="41" s="1"/>
  <c r="D35" i="41"/>
  <c r="I35" i="41" s="1"/>
  <c r="E35" i="41"/>
  <c r="J35" i="41" s="1"/>
  <c r="H35" i="41"/>
  <c r="M35" i="41" s="1"/>
  <c r="P35" i="41" s="1"/>
  <c r="G21" i="45" s="1"/>
  <c r="G42" i="41"/>
  <c r="L42" i="41" s="1"/>
  <c r="E42" i="41"/>
  <c r="J42" i="41" s="1"/>
  <c r="D42" i="41"/>
  <c r="I42" i="41" s="1"/>
  <c r="H42" i="41"/>
  <c r="M42" i="41" s="1"/>
  <c r="P42" i="41" s="1"/>
  <c r="G28" i="45" s="1"/>
  <c r="G34" i="41"/>
  <c r="L34" i="41" s="1"/>
  <c r="E34" i="41"/>
  <c r="J34" i="41" s="1"/>
  <c r="D34" i="41"/>
  <c r="I34" i="41" s="1"/>
  <c r="H34" i="41"/>
  <c r="M34" i="41" s="1"/>
  <c r="P34" i="41" s="1"/>
  <c r="G20" i="45" s="1"/>
  <c r="E50" i="41"/>
  <c r="J50" i="41" s="1"/>
  <c r="G50" i="41"/>
  <c r="L50" i="41" s="1"/>
  <c r="D50" i="41"/>
  <c r="I50" i="41" s="1"/>
  <c r="H50" i="41"/>
  <c r="M50" i="41" s="1"/>
  <c r="P50" i="41" s="1"/>
  <c r="G36" i="45" s="1"/>
  <c r="F49" i="41"/>
  <c r="K49" i="41" s="1"/>
  <c r="E49" i="41"/>
  <c r="J49" i="41" s="1"/>
  <c r="G49" i="41"/>
  <c r="L49" i="41" s="1"/>
  <c r="D49" i="41"/>
  <c r="I49" i="41" s="1"/>
  <c r="H49" i="41"/>
  <c r="M49" i="41" s="1"/>
  <c r="P49" i="41" s="1"/>
  <c r="G35" i="45" s="1"/>
  <c r="F41" i="41"/>
  <c r="K41" i="41" s="1"/>
  <c r="G41" i="41"/>
  <c r="L41" i="41" s="1"/>
  <c r="E41" i="41"/>
  <c r="J41" i="41" s="1"/>
  <c r="D41" i="41"/>
  <c r="I41" i="41" s="1"/>
  <c r="H41" i="41"/>
  <c r="M41" i="41" s="1"/>
  <c r="P41" i="41" s="1"/>
  <c r="G27" i="45" s="1"/>
  <c r="F33" i="41"/>
  <c r="K33" i="41" s="1"/>
  <c r="G33" i="41"/>
  <c r="L33" i="41" s="1"/>
  <c r="E33" i="41"/>
  <c r="J33" i="41" s="1"/>
  <c r="D33" i="41"/>
  <c r="I33" i="41" s="1"/>
  <c r="H33" i="41"/>
  <c r="M33" i="41" s="1"/>
  <c r="P33" i="41" s="1"/>
  <c r="G19" i="45" s="1"/>
  <c r="B32" i="41"/>
  <c r="F50" i="41"/>
  <c r="K50" i="41" s="1"/>
  <c r="F42" i="41"/>
  <c r="K42" i="41" s="1"/>
  <c r="F34" i="41"/>
  <c r="K34" i="41" s="1"/>
  <c r="F45" i="41"/>
  <c r="K45" i="41" s="1"/>
  <c r="D45" i="41"/>
  <c r="I45" i="41" s="1"/>
  <c r="E45" i="41"/>
  <c r="J45" i="41" s="1"/>
  <c r="G45" i="41"/>
  <c r="L45" i="41" s="1"/>
  <c r="H45" i="41"/>
  <c r="M45" i="41" s="1"/>
  <c r="P45" i="41" s="1"/>
  <c r="G31" i="45" s="1"/>
  <c r="E44" i="41"/>
  <c r="J44" i="41" s="1"/>
  <c r="D44" i="41"/>
  <c r="I44" i="41" s="1"/>
  <c r="F44" i="41"/>
  <c r="K44" i="41" s="1"/>
  <c r="G44" i="41"/>
  <c r="L44" i="41" s="1"/>
  <c r="H44" i="41"/>
  <c r="M44" i="41" s="1"/>
  <c r="P44" i="41" s="1"/>
  <c r="G30" i="45" s="1"/>
  <c r="B48" i="41"/>
  <c r="D47" i="41"/>
  <c r="I47" i="41" s="1"/>
  <c r="E47" i="41"/>
  <c r="J47" i="41" s="1"/>
  <c r="G47" i="41"/>
  <c r="L47" i="41" s="1"/>
  <c r="F47" i="41"/>
  <c r="K47" i="41" s="1"/>
  <c r="H47" i="41"/>
  <c r="M47" i="41" s="1"/>
  <c r="P47" i="41" s="1"/>
  <c r="G33" i="45" s="1"/>
  <c r="D39" i="41"/>
  <c r="I39" i="41" s="1"/>
  <c r="F39" i="41"/>
  <c r="K39" i="41" s="1"/>
  <c r="E39" i="41"/>
  <c r="J39" i="41" s="1"/>
  <c r="G39" i="41"/>
  <c r="L39" i="41" s="1"/>
  <c r="H39" i="41"/>
  <c r="M39" i="41" s="1"/>
  <c r="P39" i="41" s="1"/>
  <c r="G25" i="45" s="1"/>
  <c r="D31" i="41"/>
  <c r="I31" i="41" s="1"/>
  <c r="G31" i="41"/>
  <c r="L31" i="41" s="1"/>
  <c r="F31" i="41"/>
  <c r="K31" i="41" s="1"/>
  <c r="E31" i="41"/>
  <c r="J31" i="41" s="1"/>
  <c r="H31" i="41"/>
  <c r="M31" i="41" s="1"/>
  <c r="P31" i="41" s="1"/>
  <c r="G17" i="45" s="1"/>
  <c r="F37" i="41"/>
  <c r="K37" i="41" s="1"/>
  <c r="D37" i="41"/>
  <c r="I37" i="41" s="1"/>
  <c r="E37" i="41"/>
  <c r="J37" i="41" s="1"/>
  <c r="G37" i="41"/>
  <c r="L37" i="41" s="1"/>
  <c r="H37" i="41"/>
  <c r="M37" i="41" s="1"/>
  <c r="P37" i="41" s="1"/>
  <c r="G23" i="45" s="1"/>
  <c r="E36" i="41"/>
  <c r="J36" i="41" s="1"/>
  <c r="G36" i="41"/>
  <c r="L36" i="41" s="1"/>
  <c r="D36" i="41"/>
  <c r="I36" i="41" s="1"/>
  <c r="F36" i="41"/>
  <c r="K36" i="41" s="1"/>
  <c r="H36" i="41"/>
  <c r="M36" i="41" s="1"/>
  <c r="P36" i="41" s="1"/>
  <c r="G22" i="45" s="1"/>
  <c r="B40" i="41"/>
  <c r="D46" i="41"/>
  <c r="I46" i="41" s="1"/>
  <c r="E46" i="41"/>
  <c r="J46" i="41" s="1"/>
  <c r="G46" i="41"/>
  <c r="L46" i="41" s="1"/>
  <c r="H46" i="41"/>
  <c r="M46" i="41" s="1"/>
  <c r="P46" i="41" s="1"/>
  <c r="G32" i="45" s="1"/>
  <c r="E38" i="41"/>
  <c r="J38" i="41" s="1"/>
  <c r="D38" i="41"/>
  <c r="I38" i="41" s="1"/>
  <c r="G38" i="41"/>
  <c r="L38" i="41" s="1"/>
  <c r="H38" i="41"/>
  <c r="M38" i="41" s="1"/>
  <c r="P38" i="41" s="1"/>
  <c r="G24" i="45" s="1"/>
  <c r="D30" i="41"/>
  <c r="I30" i="41" s="1"/>
  <c r="G30" i="41"/>
  <c r="L30" i="41" s="1"/>
  <c r="E30" i="41"/>
  <c r="J30" i="41" s="1"/>
  <c r="H30" i="41"/>
  <c r="M30" i="41" s="1"/>
  <c r="P30" i="41" s="1"/>
  <c r="G16" i="45" s="1"/>
  <c r="F29" i="41"/>
  <c r="K29" i="41" s="1"/>
  <c r="D29" i="41"/>
  <c r="I29" i="41" s="1"/>
  <c r="G29" i="41"/>
  <c r="L29" i="41" s="1"/>
  <c r="E29" i="41"/>
  <c r="J29" i="41" s="1"/>
  <c r="H29" i="41"/>
  <c r="M29" i="41" s="1"/>
  <c r="P29" i="41" s="1"/>
  <c r="G15" i="45" s="1"/>
  <c r="C27" i="41"/>
  <c r="F41" i="36"/>
  <c r="M65" i="40"/>
  <c r="G41" i="36"/>
  <c r="O25" i="15"/>
  <c r="O26" i="15" s="1"/>
  <c r="X38" i="15"/>
  <c r="AI38" i="15"/>
  <c r="AI39" i="15" s="1"/>
  <c r="AI40" i="15" s="1"/>
  <c r="AI41" i="15" s="1"/>
  <c r="O36" i="41" l="1"/>
  <c r="O45" i="41"/>
  <c r="O51" i="41"/>
  <c r="O35" i="41"/>
  <c r="O44" i="41"/>
  <c r="T31" i="41"/>
  <c r="Y17" i="45" s="1"/>
  <c r="R31" i="41"/>
  <c r="P17" i="45" s="1"/>
  <c r="R44" i="41"/>
  <c r="P30" i="45" s="1"/>
  <c r="T44" i="41"/>
  <c r="Y30" i="45" s="1"/>
  <c r="T43" i="41"/>
  <c r="Y29" i="45" s="1"/>
  <c r="R43" i="41"/>
  <c r="P29" i="45" s="1"/>
  <c r="O52" i="41"/>
  <c r="F38" i="45" s="1"/>
  <c r="H38" i="45" s="1"/>
  <c r="T30" i="41"/>
  <c r="Y16" i="45" s="1"/>
  <c r="R30" i="41"/>
  <c r="P16" i="45" s="1"/>
  <c r="R46" i="41"/>
  <c r="P32" i="45" s="1"/>
  <c r="T46" i="41"/>
  <c r="Y32" i="45" s="1"/>
  <c r="O39" i="41"/>
  <c r="F25" i="45" s="1"/>
  <c r="H25" i="45" s="1"/>
  <c r="O49" i="41"/>
  <c r="F35" i="45" s="1"/>
  <c r="H35" i="45" s="1"/>
  <c r="R34" i="41"/>
  <c r="P20" i="45" s="1"/>
  <c r="T34" i="41"/>
  <c r="Y20" i="45" s="1"/>
  <c r="O43" i="41"/>
  <c r="F29" i="45" s="1"/>
  <c r="H29" i="45" s="1"/>
  <c r="T49" i="41"/>
  <c r="Y35" i="45" s="1"/>
  <c r="R49" i="41"/>
  <c r="P35" i="45" s="1"/>
  <c r="T47" i="41"/>
  <c r="Y33" i="45" s="1"/>
  <c r="R47" i="41"/>
  <c r="P33" i="45" s="1"/>
  <c r="O34" i="41"/>
  <c r="F20" i="45" s="1"/>
  <c r="H20" i="45" s="1"/>
  <c r="R28" i="41"/>
  <c r="P14" i="45" s="1"/>
  <c r="T28" i="41"/>
  <c r="Y14" i="45" s="1"/>
  <c r="R29" i="41"/>
  <c r="P15" i="45" s="1"/>
  <c r="T29" i="41"/>
  <c r="Y15" i="45" s="1"/>
  <c r="O30" i="41"/>
  <c r="F16" i="45" s="1"/>
  <c r="H16" i="45" s="1"/>
  <c r="O46" i="41"/>
  <c r="F32" i="45" s="1"/>
  <c r="H32" i="45" s="1"/>
  <c r="O31" i="41"/>
  <c r="F17" i="45" s="1"/>
  <c r="H17" i="45" s="1"/>
  <c r="O41" i="41"/>
  <c r="F27" i="45" s="1"/>
  <c r="H27" i="45" s="1"/>
  <c r="G27" i="41"/>
  <c r="L27" i="41" s="1"/>
  <c r="E27" i="41"/>
  <c r="J27" i="41" s="1"/>
  <c r="F27" i="41"/>
  <c r="K27" i="41" s="1"/>
  <c r="D27" i="41"/>
  <c r="I27" i="41" s="1"/>
  <c r="H27" i="41"/>
  <c r="M27" i="41" s="1"/>
  <c r="P27" i="41" s="1"/>
  <c r="G13" i="45" s="1"/>
  <c r="T35" i="41"/>
  <c r="Y21" i="45" s="1"/>
  <c r="R35" i="41"/>
  <c r="P21" i="45" s="1"/>
  <c r="T38" i="41"/>
  <c r="Y24" i="45" s="1"/>
  <c r="R38" i="41"/>
  <c r="P24" i="45" s="1"/>
  <c r="E40" i="41"/>
  <c r="J40" i="41" s="1"/>
  <c r="G40" i="41"/>
  <c r="L40" i="41" s="1"/>
  <c r="F40" i="41"/>
  <c r="K40" i="41" s="1"/>
  <c r="D40" i="41"/>
  <c r="I40" i="41" s="1"/>
  <c r="H40" i="41"/>
  <c r="M40" i="41" s="1"/>
  <c r="P40" i="41" s="1"/>
  <c r="G26" i="45" s="1"/>
  <c r="T39" i="41"/>
  <c r="Y25" i="45" s="1"/>
  <c r="R39" i="41"/>
  <c r="P25" i="45" s="1"/>
  <c r="T45" i="41"/>
  <c r="Y31" i="45" s="1"/>
  <c r="R45" i="41"/>
  <c r="P31" i="45" s="1"/>
  <c r="E32" i="41"/>
  <c r="J32" i="41" s="1"/>
  <c r="D32" i="41"/>
  <c r="I32" i="41" s="1"/>
  <c r="G32" i="41"/>
  <c r="L32" i="41" s="1"/>
  <c r="F32" i="41"/>
  <c r="K32" i="41" s="1"/>
  <c r="H32" i="41"/>
  <c r="M32" i="41" s="1"/>
  <c r="P32" i="41" s="1"/>
  <c r="G18" i="45" s="1"/>
  <c r="T50" i="41"/>
  <c r="Y36" i="45" s="1"/>
  <c r="R50" i="41"/>
  <c r="P36" i="45" s="1"/>
  <c r="T42" i="41"/>
  <c r="Y28" i="45" s="1"/>
  <c r="R42" i="41"/>
  <c r="P28" i="45" s="1"/>
  <c r="R51" i="41"/>
  <c r="P37" i="45" s="1"/>
  <c r="T51" i="41"/>
  <c r="Y37" i="45" s="1"/>
  <c r="O28" i="41"/>
  <c r="F14" i="45" s="1"/>
  <c r="H14" i="45" s="1"/>
  <c r="R36" i="41"/>
  <c r="P22" i="45" s="1"/>
  <c r="T36" i="41"/>
  <c r="Y22" i="45" s="1"/>
  <c r="O37" i="41"/>
  <c r="F23" i="45" s="1"/>
  <c r="H23" i="45" s="1"/>
  <c r="O47" i="41"/>
  <c r="F33" i="45" s="1"/>
  <c r="H33" i="45" s="1"/>
  <c r="T33" i="41"/>
  <c r="Y19" i="45" s="1"/>
  <c r="R33" i="41"/>
  <c r="P19" i="45" s="1"/>
  <c r="O50" i="41"/>
  <c r="F36" i="45" s="1"/>
  <c r="H36" i="45" s="1"/>
  <c r="O42" i="41"/>
  <c r="F28" i="45" s="1"/>
  <c r="H28" i="45" s="1"/>
  <c r="R37" i="41"/>
  <c r="P23" i="45" s="1"/>
  <c r="T37" i="41"/>
  <c r="Y23" i="45" s="1"/>
  <c r="T41" i="41"/>
  <c r="Y27" i="45" s="1"/>
  <c r="R41" i="41"/>
  <c r="P27" i="45" s="1"/>
  <c r="O29" i="41"/>
  <c r="F15" i="45" s="1"/>
  <c r="H15" i="45" s="1"/>
  <c r="O38" i="41"/>
  <c r="F24" i="45" s="1"/>
  <c r="H24" i="45" s="1"/>
  <c r="E48" i="41"/>
  <c r="J48" i="41" s="1"/>
  <c r="F48" i="41"/>
  <c r="K48" i="41" s="1"/>
  <c r="G48" i="41"/>
  <c r="L48" i="41" s="1"/>
  <c r="D48" i="41"/>
  <c r="I48" i="41" s="1"/>
  <c r="H48" i="41"/>
  <c r="M48" i="41" s="1"/>
  <c r="P48" i="41" s="1"/>
  <c r="G34" i="45" s="1"/>
  <c r="O33" i="41"/>
  <c r="F19" i="45" s="1"/>
  <c r="H19" i="45" s="1"/>
  <c r="T52" i="41"/>
  <c r="Y38" i="45" s="1"/>
  <c r="R52" i="41"/>
  <c r="P38" i="45" s="1"/>
  <c r="X39" i="15"/>
  <c r="AI46" i="15"/>
  <c r="AI47" i="15" s="1"/>
  <c r="AI48" i="15" s="1"/>
  <c r="AI49" i="15" s="1"/>
  <c r="AI50" i="15" s="1"/>
  <c r="D10" i="36"/>
  <c r="C10" i="36"/>
  <c r="B10" i="36"/>
  <c r="S35" i="41" l="1"/>
  <c r="X21" i="45" s="1"/>
  <c r="Z21" i="45" s="1"/>
  <c r="AA21" i="45" s="1"/>
  <c r="F21" i="45"/>
  <c r="H21" i="45" s="1"/>
  <c r="Q51" i="41"/>
  <c r="O37" i="45" s="1"/>
  <c r="F37" i="45"/>
  <c r="H37" i="45" s="1"/>
  <c r="Q45" i="41"/>
  <c r="O31" i="45" s="1"/>
  <c r="Q31" i="45" s="1"/>
  <c r="R31" i="45" s="1"/>
  <c r="F31" i="45"/>
  <c r="H31" i="45" s="1"/>
  <c r="Q44" i="41"/>
  <c r="O30" i="45" s="1"/>
  <c r="F30" i="45"/>
  <c r="H30" i="45" s="1"/>
  <c r="S36" i="41"/>
  <c r="X22" i="45" s="1"/>
  <c r="F22" i="45"/>
  <c r="H22" i="45" s="1"/>
  <c r="Q30" i="45"/>
  <c r="R30" i="45" s="1"/>
  <c r="Z22" i="45"/>
  <c r="AA22" i="45" s="1"/>
  <c r="Q37" i="45"/>
  <c r="R37" i="45" s="1"/>
  <c r="S44" i="41"/>
  <c r="X30" i="45" s="1"/>
  <c r="Z30" i="45" s="1"/>
  <c r="AA30" i="45" s="1"/>
  <c r="Q36" i="41"/>
  <c r="O22" i="45" s="1"/>
  <c r="Q22" i="45" s="1"/>
  <c r="R22" i="45" s="1"/>
  <c r="S51" i="41"/>
  <c r="X37" i="45" s="1"/>
  <c r="Z37" i="45" s="1"/>
  <c r="AA37" i="45" s="1"/>
  <c r="S45" i="41"/>
  <c r="X31" i="45" s="1"/>
  <c r="Z31" i="45" s="1"/>
  <c r="AA31" i="45" s="1"/>
  <c r="Q35" i="41"/>
  <c r="O21" i="45" s="1"/>
  <c r="Q21" i="45" s="1"/>
  <c r="R21" i="45" s="1"/>
  <c r="P53" i="41"/>
  <c r="R27" i="41"/>
  <c r="P13" i="45" s="1"/>
  <c r="T27" i="41"/>
  <c r="Y13" i="45" s="1"/>
  <c r="O48" i="41"/>
  <c r="F34" i="45" s="1"/>
  <c r="H34" i="45" s="1"/>
  <c r="O27" i="41"/>
  <c r="F13" i="45" s="1"/>
  <c r="H13" i="45" s="1"/>
  <c r="S52" i="41"/>
  <c r="X38" i="45" s="1"/>
  <c r="Z38" i="45" s="1"/>
  <c r="AA38" i="45" s="1"/>
  <c r="Q52" i="41"/>
  <c r="O38" i="45" s="1"/>
  <c r="Q38" i="45" s="1"/>
  <c r="R38" i="45" s="1"/>
  <c r="S43" i="41"/>
  <c r="X29" i="45" s="1"/>
  <c r="Z29" i="45" s="1"/>
  <c r="AA29" i="45" s="1"/>
  <c r="Q43" i="41"/>
  <c r="O29" i="45" s="1"/>
  <c r="Q29" i="45" s="1"/>
  <c r="R29" i="45" s="1"/>
  <c r="S37" i="41"/>
  <c r="X23" i="45" s="1"/>
  <c r="Z23" i="45" s="1"/>
  <c r="AA23" i="45" s="1"/>
  <c r="Q37" i="41"/>
  <c r="O23" i="45" s="1"/>
  <c r="Q23" i="45" s="1"/>
  <c r="R23" i="45" s="1"/>
  <c r="T32" i="41"/>
  <c r="Y18" i="45" s="1"/>
  <c r="R32" i="41"/>
  <c r="P18" i="45" s="1"/>
  <c r="S39" i="41"/>
  <c r="X25" i="45" s="1"/>
  <c r="Z25" i="45" s="1"/>
  <c r="AA25" i="45" s="1"/>
  <c r="Q39" i="41"/>
  <c r="O25" i="45" s="1"/>
  <c r="Q25" i="45" s="1"/>
  <c r="R25" i="45" s="1"/>
  <c r="T40" i="41"/>
  <c r="Y26" i="45" s="1"/>
  <c r="R40" i="41"/>
  <c r="P26" i="45" s="1"/>
  <c r="S41" i="41"/>
  <c r="X27" i="45" s="1"/>
  <c r="Z27" i="45" s="1"/>
  <c r="AA27" i="45" s="1"/>
  <c r="Q41" i="41"/>
  <c r="O27" i="45" s="1"/>
  <c r="Q27" i="45" s="1"/>
  <c r="R27" i="45" s="1"/>
  <c r="S34" i="41"/>
  <c r="X20" i="45" s="1"/>
  <c r="Z20" i="45" s="1"/>
  <c r="AA20" i="45" s="1"/>
  <c r="Q34" i="41"/>
  <c r="O20" i="45" s="1"/>
  <c r="Q20" i="45" s="1"/>
  <c r="R20" i="45" s="1"/>
  <c r="T48" i="41"/>
  <c r="Y34" i="45" s="1"/>
  <c r="R48" i="41"/>
  <c r="P34" i="45" s="1"/>
  <c r="Q42" i="41"/>
  <c r="O28" i="45" s="1"/>
  <c r="Q28" i="45" s="1"/>
  <c r="R28" i="45" s="1"/>
  <c r="S42" i="41"/>
  <c r="X28" i="45" s="1"/>
  <c r="Z28" i="45" s="1"/>
  <c r="AA28" i="45" s="1"/>
  <c r="O40" i="41"/>
  <c r="F26" i="45" s="1"/>
  <c r="H26" i="45" s="1"/>
  <c r="S31" i="41"/>
  <c r="X17" i="45" s="1"/>
  <c r="Z17" i="45" s="1"/>
  <c r="AA17" i="45" s="1"/>
  <c r="Q31" i="41"/>
  <c r="O17" i="45" s="1"/>
  <c r="Q17" i="45" s="1"/>
  <c r="R17" i="45" s="1"/>
  <c r="S30" i="41"/>
  <c r="X16" i="45" s="1"/>
  <c r="Z16" i="45" s="1"/>
  <c r="AA16" i="45" s="1"/>
  <c r="Q30" i="41"/>
  <c r="O16" i="45" s="1"/>
  <c r="Q16" i="45" s="1"/>
  <c r="R16" i="45" s="1"/>
  <c r="S28" i="41"/>
  <c r="X14" i="45" s="1"/>
  <c r="Z14" i="45" s="1"/>
  <c r="AA14" i="45" s="1"/>
  <c r="Q28" i="41"/>
  <c r="O14" i="45" s="1"/>
  <c r="Q14" i="45" s="1"/>
  <c r="R14" i="45" s="1"/>
  <c r="S49" i="41"/>
  <c r="X35" i="45" s="1"/>
  <c r="Z35" i="45" s="1"/>
  <c r="AA35" i="45" s="1"/>
  <c r="Q49" i="41"/>
  <c r="O35" i="45" s="1"/>
  <c r="Q35" i="45" s="1"/>
  <c r="R35" i="45" s="1"/>
  <c r="S50" i="41"/>
  <c r="X36" i="45" s="1"/>
  <c r="Z36" i="45" s="1"/>
  <c r="AA36" i="45" s="1"/>
  <c r="Q50" i="41"/>
  <c r="O36" i="45" s="1"/>
  <c r="Q36" i="45" s="1"/>
  <c r="R36" i="45" s="1"/>
  <c r="Q38" i="41"/>
  <c r="O24" i="45" s="1"/>
  <c r="Q24" i="45" s="1"/>
  <c r="R24" i="45" s="1"/>
  <c r="S38" i="41"/>
  <c r="X24" i="45" s="1"/>
  <c r="Z24" i="45" s="1"/>
  <c r="AA24" i="45" s="1"/>
  <c r="S29" i="41"/>
  <c r="X15" i="45" s="1"/>
  <c r="Z15" i="45" s="1"/>
  <c r="AA15" i="45" s="1"/>
  <c r="Q29" i="41"/>
  <c r="O15" i="45" s="1"/>
  <c r="Q15" i="45" s="1"/>
  <c r="R15" i="45" s="1"/>
  <c r="S33" i="41"/>
  <c r="X19" i="45" s="1"/>
  <c r="Z19" i="45" s="1"/>
  <c r="AA19" i="45" s="1"/>
  <c r="Q33" i="41"/>
  <c r="O19" i="45" s="1"/>
  <c r="Q19" i="45" s="1"/>
  <c r="R19" i="45" s="1"/>
  <c r="S47" i="41"/>
  <c r="X33" i="45" s="1"/>
  <c r="Z33" i="45" s="1"/>
  <c r="AA33" i="45" s="1"/>
  <c r="Q47" i="41"/>
  <c r="O33" i="45" s="1"/>
  <c r="Q33" i="45" s="1"/>
  <c r="R33" i="45" s="1"/>
  <c r="O32" i="41"/>
  <c r="F18" i="45" s="1"/>
  <c r="H18" i="45" s="1"/>
  <c r="S46" i="41"/>
  <c r="X32" i="45" s="1"/>
  <c r="Z32" i="45" s="1"/>
  <c r="AA32" i="45" s="1"/>
  <c r="Q46" i="41"/>
  <c r="O32" i="45" s="1"/>
  <c r="Q32" i="45" s="1"/>
  <c r="R32" i="45" s="1"/>
  <c r="X40" i="15"/>
  <c r="AI55" i="15"/>
  <c r="H4" i="45" l="1"/>
  <c r="S48" i="41"/>
  <c r="X34" i="45" s="1"/>
  <c r="Z34" i="45" s="1"/>
  <c r="AA34" i="45" s="1"/>
  <c r="Q48" i="41"/>
  <c r="O34" i="45" s="1"/>
  <c r="Q34" i="45" s="1"/>
  <c r="R34" i="45" s="1"/>
  <c r="Q27" i="41"/>
  <c r="O13" i="45" s="1"/>
  <c r="Q13" i="45" s="1"/>
  <c r="S27" i="41"/>
  <c r="X13" i="45" s="1"/>
  <c r="Z13" i="45" s="1"/>
  <c r="O53" i="41"/>
  <c r="T53" i="41"/>
  <c r="S32" i="41"/>
  <c r="X18" i="45" s="1"/>
  <c r="Z18" i="45" s="1"/>
  <c r="AA18" i="45" s="1"/>
  <c r="Q32" i="41"/>
  <c r="O18" i="45" s="1"/>
  <c r="Q18" i="45" s="1"/>
  <c r="R18" i="45" s="1"/>
  <c r="S40" i="41"/>
  <c r="X26" i="45" s="1"/>
  <c r="Z26" i="45" s="1"/>
  <c r="AA26" i="45" s="1"/>
  <c r="Q40" i="41"/>
  <c r="O26" i="45" s="1"/>
  <c r="Q26" i="45" s="1"/>
  <c r="R26" i="45" s="1"/>
  <c r="R53" i="41"/>
  <c r="X41" i="15"/>
  <c r="AI60" i="15"/>
  <c r="AI61" i="15" s="1"/>
  <c r="AI62" i="15" s="1"/>
  <c r="AI63" i="15" s="1"/>
  <c r="AI64" i="15" s="1"/>
  <c r="AI65" i="15" s="1"/>
  <c r="AI66" i="15" s="1"/>
  <c r="AI67" i="15" s="1"/>
  <c r="AI68" i="15" s="1"/>
  <c r="AI69" i="15" s="1"/>
  <c r="AI70" i="15" s="1"/>
  <c r="AI71" i="15" s="1"/>
  <c r="AI72" i="15" s="1"/>
  <c r="AI73" i="15" s="1"/>
  <c r="AI74" i="15" s="1"/>
  <c r="AI75" i="15" s="1"/>
  <c r="R13" i="45" l="1"/>
  <c r="I5" i="45" s="1"/>
  <c r="I4" i="45"/>
  <c r="AA13" i="45"/>
  <c r="J5" i="45" s="1"/>
  <c r="J4" i="45"/>
  <c r="S53" i="41"/>
  <c r="Q53" i="41"/>
  <c r="X46" i="15"/>
  <c r="AI80" i="15"/>
  <c r="AI81" i="15" s="1"/>
  <c r="AI82" i="15" s="1"/>
  <c r="AI83" i="15" s="1"/>
  <c r="X47" i="15" l="1"/>
  <c r="X48" i="15" l="1"/>
  <c r="X49" i="15" l="1"/>
  <c r="X50" i="15" l="1"/>
  <c r="X55" i="15" l="1"/>
  <c r="X60" i="15" l="1"/>
  <c r="X61" i="15" l="1"/>
  <c r="X62" i="15" l="1"/>
  <c r="X63" i="15" l="1"/>
  <c r="X64" i="15" l="1"/>
  <c r="X65" i="15" l="1"/>
  <c r="X66" i="15" l="1"/>
  <c r="X67" i="15" l="1"/>
  <c r="X68" i="15" l="1"/>
  <c r="X69" i="15" l="1"/>
  <c r="X70" i="15" l="1"/>
  <c r="X71" i="15" l="1"/>
  <c r="X72" i="15" l="1"/>
  <c r="X73" i="15" l="1"/>
  <c r="X74" i="15" l="1"/>
  <c r="X75" i="15" l="1"/>
  <c r="X80" i="15" l="1"/>
  <c r="X81" i="15" l="1"/>
  <c r="X82" i="15" l="1"/>
  <c r="X83" i="15" l="1"/>
  <c r="H14" i="3" l="1"/>
  <c r="I13" i="3"/>
  <c r="E13" i="3"/>
  <c r="I12" i="3"/>
  <c r="E12" i="3"/>
  <c r="H7" i="3"/>
  <c r="L237" i="3" s="1"/>
  <c r="G7" i="3"/>
  <c r="P202" i="3" s="1"/>
  <c r="F7" i="3"/>
  <c r="R149" i="3" s="1"/>
  <c r="E7" i="3"/>
  <c r="R128" i="3" s="1"/>
  <c r="D7" i="3"/>
  <c r="P103" i="3" s="1"/>
  <c r="C7" i="3"/>
  <c r="I14" i="3" l="1"/>
  <c r="E14" i="3"/>
  <c r="O154" i="3"/>
  <c r="Q161" i="3"/>
  <c r="M144" i="3"/>
  <c r="R134" i="3"/>
  <c r="P129" i="3"/>
  <c r="N236" i="3"/>
  <c r="Q234" i="3"/>
  <c r="M165" i="3"/>
  <c r="L159" i="3"/>
  <c r="N150" i="3"/>
  <c r="Q153" i="3"/>
  <c r="P152" i="3"/>
  <c r="Q164" i="3"/>
  <c r="N158" i="3"/>
  <c r="M149" i="3"/>
  <c r="O159" i="3"/>
  <c r="L164" i="3"/>
  <c r="Q156" i="3"/>
  <c r="P147" i="3"/>
  <c r="N161" i="3"/>
  <c r="R165" i="3"/>
  <c r="P163" i="3"/>
  <c r="P155" i="3"/>
  <c r="O146" i="3"/>
  <c r="R146" i="3"/>
  <c r="M160" i="3"/>
  <c r="N153" i="3"/>
  <c r="O250" i="3"/>
  <c r="P133" i="3"/>
  <c r="R157" i="3"/>
  <c r="P132" i="3"/>
  <c r="R162" i="3"/>
  <c r="M152" i="3"/>
  <c r="M130" i="3"/>
  <c r="O162" i="3"/>
  <c r="M157" i="3"/>
  <c r="L151" i="3"/>
  <c r="Q249" i="3"/>
  <c r="M249" i="3"/>
  <c r="N245" i="3"/>
  <c r="Q128" i="3"/>
  <c r="Q134" i="3"/>
  <c r="O131" i="3"/>
  <c r="O127" i="3"/>
  <c r="M256" i="3"/>
  <c r="O134" i="3"/>
  <c r="N131" i="3"/>
  <c r="N126" i="3"/>
  <c r="L255" i="3"/>
  <c r="M132" i="3"/>
  <c r="Q133" i="3"/>
  <c r="L131" i="3"/>
  <c r="O114" i="3"/>
  <c r="N133" i="3"/>
  <c r="L130" i="3"/>
  <c r="O132" i="3"/>
  <c r="R80" i="3"/>
  <c r="L256" i="3"/>
  <c r="R154" i="3"/>
  <c r="R255" i="3"/>
  <c r="R233" i="3"/>
  <c r="N255" i="3"/>
  <c r="P246" i="3"/>
  <c r="N254" i="3"/>
  <c r="O244" i="3"/>
  <c r="R253" i="3"/>
  <c r="R243" i="3"/>
  <c r="O256" i="3"/>
  <c r="P251" i="3"/>
  <c r="O238" i="3"/>
  <c r="R256" i="3"/>
  <c r="Q255" i="3"/>
  <c r="M253" i="3"/>
  <c r="O248" i="3"/>
  <c r="Q242" i="3"/>
  <c r="Q256" i="3"/>
  <c r="P255" i="3"/>
  <c r="Q252" i="3"/>
  <c r="R247" i="3"/>
  <c r="L242" i="3"/>
  <c r="P256" i="3"/>
  <c r="O255" i="3"/>
  <c r="L252" i="3"/>
  <c r="L247" i="3"/>
  <c r="R240" i="3"/>
  <c r="N256" i="3"/>
  <c r="M255" i="3"/>
  <c r="R250" i="3"/>
  <c r="Q245" i="3"/>
  <c r="L240" i="3"/>
  <c r="R238" i="3"/>
  <c r="O224" i="3"/>
  <c r="Q220" i="3"/>
  <c r="L219" i="3"/>
  <c r="P215" i="3"/>
  <c r="N225" i="3"/>
  <c r="Q214" i="3"/>
  <c r="R211" i="3"/>
  <c r="Q210" i="3"/>
  <c r="M254" i="3"/>
  <c r="L253" i="3"/>
  <c r="R251" i="3"/>
  <c r="Q250" i="3"/>
  <c r="P249" i="3"/>
  <c r="M248" i="3"/>
  <c r="R246" i="3"/>
  <c r="P245" i="3"/>
  <c r="N244" i="3"/>
  <c r="N242" i="3"/>
  <c r="Q240" i="3"/>
  <c r="Q238" i="3"/>
  <c r="P236" i="3"/>
  <c r="L234" i="3"/>
  <c r="L254" i="3"/>
  <c r="R252" i="3"/>
  <c r="Q251" i="3"/>
  <c r="P250" i="3"/>
  <c r="N249" i="3"/>
  <c r="L248" i="3"/>
  <c r="Q246" i="3"/>
  <c r="O245" i="3"/>
  <c r="M244" i="3"/>
  <c r="M242" i="3"/>
  <c r="O240" i="3"/>
  <c r="P238" i="3"/>
  <c r="O236" i="3"/>
  <c r="P233" i="3"/>
  <c r="O206" i="3"/>
  <c r="R254" i="3"/>
  <c r="Q253" i="3"/>
  <c r="P252" i="3"/>
  <c r="O251" i="3"/>
  <c r="N250" i="3"/>
  <c r="L249" i="3"/>
  <c r="Q247" i="3"/>
  <c r="O246" i="3"/>
  <c r="M245" i="3"/>
  <c r="O243" i="3"/>
  <c r="R241" i="3"/>
  <c r="R239" i="3"/>
  <c r="M238" i="3"/>
  <c r="R235" i="3"/>
  <c r="Q254" i="3"/>
  <c r="P253" i="3"/>
  <c r="O252" i="3"/>
  <c r="N251" i="3"/>
  <c r="M250" i="3"/>
  <c r="R248" i="3"/>
  <c r="P247" i="3"/>
  <c r="N246" i="3"/>
  <c r="L245" i="3"/>
  <c r="N243" i="3"/>
  <c r="P241" i="3"/>
  <c r="Q239" i="3"/>
  <c r="Q237" i="3"/>
  <c r="O235" i="3"/>
  <c r="P254" i="3"/>
  <c r="O253" i="3"/>
  <c r="N252" i="3"/>
  <c r="M251" i="3"/>
  <c r="L250" i="3"/>
  <c r="Q248" i="3"/>
  <c r="O247" i="3"/>
  <c r="M246" i="3"/>
  <c r="Q244" i="3"/>
  <c r="M243" i="3"/>
  <c r="M241" i="3"/>
  <c r="P239" i="3"/>
  <c r="P237" i="3"/>
  <c r="N235" i="3"/>
  <c r="O254" i="3"/>
  <c r="N253" i="3"/>
  <c r="M252" i="3"/>
  <c r="L251" i="3"/>
  <c r="R249" i="3"/>
  <c r="P248" i="3"/>
  <c r="N247" i="3"/>
  <c r="R245" i="3"/>
  <c r="P244" i="3"/>
  <c r="L243" i="3"/>
  <c r="L241" i="3"/>
  <c r="N239" i="3"/>
  <c r="O237" i="3"/>
  <c r="M235" i="3"/>
  <c r="Q148" i="3"/>
  <c r="L148" i="3"/>
  <c r="Q145" i="3"/>
  <c r="N145" i="3"/>
  <c r="Q233" i="3"/>
  <c r="P205" i="3"/>
  <c r="N128" i="3"/>
  <c r="N134" i="3"/>
  <c r="M133" i="3"/>
  <c r="L132" i="3"/>
  <c r="Q130" i="3"/>
  <c r="O129" i="3"/>
  <c r="M128" i="3"/>
  <c r="Q124" i="3"/>
  <c r="R117" i="3"/>
  <c r="N118" i="3"/>
  <c r="M134" i="3"/>
  <c r="L133" i="3"/>
  <c r="R131" i="3"/>
  <c r="P130" i="3"/>
  <c r="N129" i="3"/>
  <c r="L128" i="3"/>
  <c r="L124" i="3"/>
  <c r="M117" i="3"/>
  <c r="L134" i="3"/>
  <c r="R132" i="3"/>
  <c r="Q131" i="3"/>
  <c r="O130" i="3"/>
  <c r="M129" i="3"/>
  <c r="R127" i="3"/>
  <c r="R122" i="3"/>
  <c r="P115" i="3"/>
  <c r="M125" i="3"/>
  <c r="R133" i="3"/>
  <c r="Q132" i="3"/>
  <c r="P131" i="3"/>
  <c r="N130" i="3"/>
  <c r="L129" i="3"/>
  <c r="Q127" i="3"/>
  <c r="O122" i="3"/>
  <c r="R114" i="3"/>
  <c r="P120" i="3"/>
  <c r="N113" i="3"/>
  <c r="M120" i="3"/>
  <c r="P134" i="3"/>
  <c r="O133" i="3"/>
  <c r="N132" i="3"/>
  <c r="M131" i="3"/>
  <c r="R129" i="3"/>
  <c r="O128" i="3"/>
  <c r="R125" i="3"/>
  <c r="O119" i="3"/>
  <c r="Q224" i="3"/>
  <c r="R219" i="3"/>
  <c r="N215" i="3"/>
  <c r="P211" i="3"/>
  <c r="M206" i="3"/>
  <c r="R223" i="3"/>
  <c r="M218" i="3"/>
  <c r="O214" i="3"/>
  <c r="R209" i="3"/>
  <c r="N205" i="3"/>
  <c r="N237" i="3"/>
  <c r="M236" i="3"/>
  <c r="L235" i="3"/>
  <c r="O233" i="3"/>
  <c r="P223" i="3"/>
  <c r="N217" i="3"/>
  <c r="R213" i="3"/>
  <c r="L209" i="3"/>
  <c r="M204" i="3"/>
  <c r="L244" i="3"/>
  <c r="R242" i="3"/>
  <c r="Q241" i="3"/>
  <c r="P240" i="3"/>
  <c r="O239" i="3"/>
  <c r="N238" i="3"/>
  <c r="M237" i="3"/>
  <c r="L236" i="3"/>
  <c r="R234" i="3"/>
  <c r="N233" i="3"/>
  <c r="Q222" i="3"/>
  <c r="L217" i="3"/>
  <c r="P213" i="3"/>
  <c r="M208" i="3"/>
  <c r="P203" i="3"/>
  <c r="R130" i="3"/>
  <c r="Q129" i="3"/>
  <c r="P128" i="3"/>
  <c r="L127" i="3"/>
  <c r="Q121" i="3"/>
  <c r="Q116" i="3"/>
  <c r="R221" i="3"/>
  <c r="O216" i="3"/>
  <c r="Q212" i="3"/>
  <c r="N207" i="3"/>
  <c r="N203" i="3"/>
  <c r="O249" i="3"/>
  <c r="N248" i="3"/>
  <c r="M247" i="3"/>
  <c r="L246" i="3"/>
  <c r="R244" i="3"/>
  <c r="Q243" i="3"/>
  <c r="P242" i="3"/>
  <c r="O241" i="3"/>
  <c r="N240" i="3"/>
  <c r="M239" i="3"/>
  <c r="L238" i="3"/>
  <c r="R236" i="3"/>
  <c r="Q235" i="3"/>
  <c r="P234" i="3"/>
  <c r="N121" i="3"/>
  <c r="L116" i="3"/>
  <c r="P225" i="3"/>
  <c r="L221" i="3"/>
  <c r="M216" i="3"/>
  <c r="O212" i="3"/>
  <c r="L207" i="3"/>
  <c r="P243" i="3"/>
  <c r="O242" i="3"/>
  <c r="N241" i="3"/>
  <c r="M240" i="3"/>
  <c r="L239" i="3"/>
  <c r="R237" i="3"/>
  <c r="Q236" i="3"/>
  <c r="P235" i="3"/>
  <c r="O234" i="3"/>
  <c r="R202" i="3"/>
  <c r="Q202" i="3"/>
  <c r="Q203" i="3"/>
  <c r="P204" i="3"/>
  <c r="Q205" i="3"/>
  <c r="P206" i="3"/>
  <c r="O207" i="3"/>
  <c r="N208" i="3"/>
  <c r="M209" i="3"/>
  <c r="L210" i="3"/>
  <c r="R212" i="3"/>
  <c r="R214" i="3"/>
  <c r="Q215" i="3"/>
  <c r="P216" i="3"/>
  <c r="O217" i="3"/>
  <c r="N218" i="3"/>
  <c r="M219" i="3"/>
  <c r="L220" i="3"/>
  <c r="M221" i="3"/>
  <c r="L222" i="3"/>
  <c r="R224" i="3"/>
  <c r="Q225" i="3"/>
  <c r="R203" i="3"/>
  <c r="Q204" i="3"/>
  <c r="R205" i="3"/>
  <c r="Q206" i="3"/>
  <c r="P207" i="3"/>
  <c r="O208" i="3"/>
  <c r="N209" i="3"/>
  <c r="M210" i="3"/>
  <c r="L211" i="3"/>
  <c r="L213" i="3"/>
  <c r="R215" i="3"/>
  <c r="Q216" i="3"/>
  <c r="P217" i="3"/>
  <c r="O218" i="3"/>
  <c r="N219" i="3"/>
  <c r="M220" i="3"/>
  <c r="N221" i="3"/>
  <c r="M222" i="3"/>
  <c r="L223" i="3"/>
  <c r="R225" i="3"/>
  <c r="R204" i="3"/>
  <c r="R206" i="3"/>
  <c r="Q207" i="3"/>
  <c r="P208" i="3"/>
  <c r="O209" i="3"/>
  <c r="N210" i="3"/>
  <c r="M211" i="3"/>
  <c r="L212" i="3"/>
  <c r="M213" i="3"/>
  <c r="L214" i="3"/>
  <c r="R216" i="3"/>
  <c r="Q217" i="3"/>
  <c r="P218" i="3"/>
  <c r="O219" i="3"/>
  <c r="N220" i="3"/>
  <c r="O221" i="3"/>
  <c r="N222" i="3"/>
  <c r="M223" i="3"/>
  <c r="L224" i="3"/>
  <c r="L203" i="3"/>
  <c r="L205" i="3"/>
  <c r="R207" i="3"/>
  <c r="Q208" i="3"/>
  <c r="P209" i="3"/>
  <c r="O210" i="3"/>
  <c r="N211" i="3"/>
  <c r="M212" i="3"/>
  <c r="N213" i="3"/>
  <c r="M214" i="3"/>
  <c r="L215" i="3"/>
  <c r="R217" i="3"/>
  <c r="Q218" i="3"/>
  <c r="P219" i="3"/>
  <c r="O220" i="3"/>
  <c r="P221" i="3"/>
  <c r="O222" i="3"/>
  <c r="N223" i="3"/>
  <c r="M224" i="3"/>
  <c r="L225" i="3"/>
  <c r="M203" i="3"/>
  <c r="L204" i="3"/>
  <c r="M205" i="3"/>
  <c r="L206" i="3"/>
  <c r="R208" i="3"/>
  <c r="Q209" i="3"/>
  <c r="P210" i="3"/>
  <c r="O211" i="3"/>
  <c r="N212" i="3"/>
  <c r="O213" i="3"/>
  <c r="N214" i="3"/>
  <c r="M215" i="3"/>
  <c r="L216" i="3"/>
  <c r="R218" i="3"/>
  <c r="Q219" i="3"/>
  <c r="P220" i="3"/>
  <c r="Q221" i="3"/>
  <c r="P222" i="3"/>
  <c r="O223" i="3"/>
  <c r="N224" i="3"/>
  <c r="M225" i="3"/>
  <c r="O202" i="3"/>
  <c r="O203" i="3"/>
  <c r="N204" i="3"/>
  <c r="O205" i="3"/>
  <c r="N206" i="3"/>
  <c r="M207" i="3"/>
  <c r="L208" i="3"/>
  <c r="R210" i="3"/>
  <c r="Q211" i="3"/>
  <c r="P212" i="3"/>
  <c r="Q213" i="3"/>
  <c r="P214" i="3"/>
  <c r="O215" i="3"/>
  <c r="N216" i="3"/>
  <c r="M217" i="3"/>
  <c r="L218" i="3"/>
  <c r="R220" i="3"/>
  <c r="R222" i="3"/>
  <c r="Q223" i="3"/>
  <c r="P224" i="3"/>
  <c r="O225" i="3"/>
  <c r="O204" i="3"/>
  <c r="Q113" i="3"/>
  <c r="P112" i="3"/>
  <c r="N234" i="3"/>
  <c r="M233" i="3"/>
  <c r="M112" i="3"/>
  <c r="M234" i="3"/>
  <c r="L233" i="3"/>
  <c r="P127" i="3"/>
  <c r="P123" i="3"/>
  <c r="L119" i="3"/>
  <c r="P160" i="3"/>
  <c r="L156" i="3"/>
  <c r="O151" i="3"/>
  <c r="R111" i="3"/>
  <c r="N112" i="3"/>
  <c r="O113" i="3"/>
  <c r="P114" i="3"/>
  <c r="Q115" i="3"/>
  <c r="R116" i="3"/>
  <c r="L118" i="3"/>
  <c r="M119" i="3"/>
  <c r="N120" i="3"/>
  <c r="O121" i="3"/>
  <c r="P122" i="3"/>
  <c r="Q123" i="3"/>
  <c r="R124" i="3"/>
  <c r="L126" i="3"/>
  <c r="M127" i="3"/>
  <c r="O112" i="3"/>
  <c r="P113" i="3"/>
  <c r="Q114" i="3"/>
  <c r="R115" i="3"/>
  <c r="L117" i="3"/>
  <c r="M118" i="3"/>
  <c r="N119" i="3"/>
  <c r="O120" i="3"/>
  <c r="P121" i="3"/>
  <c r="Q122" i="3"/>
  <c r="R123" i="3"/>
  <c r="L125" i="3"/>
  <c r="M126" i="3"/>
  <c r="N127" i="3"/>
  <c r="N111" i="3"/>
  <c r="Q112" i="3"/>
  <c r="R113" i="3"/>
  <c r="L115" i="3"/>
  <c r="M116" i="3"/>
  <c r="N117" i="3"/>
  <c r="O118" i="3"/>
  <c r="P119" i="3"/>
  <c r="Q120" i="3"/>
  <c r="R121" i="3"/>
  <c r="L123" i="3"/>
  <c r="M124" i="3"/>
  <c r="N125" i="3"/>
  <c r="O126" i="3"/>
  <c r="O111" i="3"/>
  <c r="R112" i="3"/>
  <c r="L114" i="3"/>
  <c r="M115" i="3"/>
  <c r="N116" i="3"/>
  <c r="O117" i="3"/>
  <c r="P118" i="3"/>
  <c r="Q119" i="3"/>
  <c r="R120" i="3"/>
  <c r="L122" i="3"/>
  <c r="M123" i="3"/>
  <c r="N124" i="3"/>
  <c r="O125" i="3"/>
  <c r="P126" i="3"/>
  <c r="Q111" i="3"/>
  <c r="L113" i="3"/>
  <c r="M114" i="3"/>
  <c r="N115" i="3"/>
  <c r="O116" i="3"/>
  <c r="P117" i="3"/>
  <c r="Q118" i="3"/>
  <c r="R119" i="3"/>
  <c r="L121" i="3"/>
  <c r="M122" i="3"/>
  <c r="N123" i="3"/>
  <c r="O124" i="3"/>
  <c r="P125" i="3"/>
  <c r="Q126" i="3"/>
  <c r="L112" i="3"/>
  <c r="M113" i="3"/>
  <c r="N114" i="3"/>
  <c r="O115" i="3"/>
  <c r="P116" i="3"/>
  <c r="Q117" i="3"/>
  <c r="R118" i="3"/>
  <c r="L120" i="3"/>
  <c r="M121" i="3"/>
  <c r="N122" i="3"/>
  <c r="O123" i="3"/>
  <c r="P124" i="3"/>
  <c r="Q125" i="3"/>
  <c r="R126" i="3"/>
  <c r="R142" i="3"/>
  <c r="M142" i="3"/>
  <c r="N144" i="3"/>
  <c r="O145" i="3"/>
  <c r="P146" i="3"/>
  <c r="Q147" i="3"/>
  <c r="R148" i="3"/>
  <c r="L150" i="3"/>
  <c r="M151" i="3"/>
  <c r="N152" i="3"/>
  <c r="O153" i="3"/>
  <c r="P154" i="3"/>
  <c r="Q155" i="3"/>
  <c r="R156" i="3"/>
  <c r="L158" i="3"/>
  <c r="M159" i="3"/>
  <c r="N160" i="3"/>
  <c r="O161" i="3"/>
  <c r="P162" i="3"/>
  <c r="Q163" i="3"/>
  <c r="R164" i="3"/>
  <c r="P142" i="3"/>
  <c r="O144" i="3"/>
  <c r="P145" i="3"/>
  <c r="Q146" i="3"/>
  <c r="R147" i="3"/>
  <c r="L149" i="3"/>
  <c r="M150" i="3"/>
  <c r="N151" i="3"/>
  <c r="O152" i="3"/>
  <c r="P153" i="3"/>
  <c r="Q154" i="3"/>
  <c r="R155" i="3"/>
  <c r="L157" i="3"/>
  <c r="M158" i="3"/>
  <c r="N159" i="3"/>
  <c r="O160" i="3"/>
  <c r="P161" i="3"/>
  <c r="Q162" i="3"/>
  <c r="R163" i="3"/>
  <c r="L165" i="3"/>
  <c r="Q142" i="3"/>
  <c r="P144" i="3"/>
  <c r="L143" i="3"/>
  <c r="Q144" i="3"/>
  <c r="R145" i="3"/>
  <c r="L147" i="3"/>
  <c r="M148" i="3"/>
  <c r="N149" i="3"/>
  <c r="O150" i="3"/>
  <c r="P151" i="3"/>
  <c r="Q152" i="3"/>
  <c r="R153" i="3"/>
  <c r="L155" i="3"/>
  <c r="M156" i="3"/>
  <c r="N157" i="3"/>
  <c r="O158" i="3"/>
  <c r="P159" i="3"/>
  <c r="Q160" i="3"/>
  <c r="R161" i="3"/>
  <c r="L163" i="3"/>
  <c r="M164" i="3"/>
  <c r="N165" i="3"/>
  <c r="N143" i="3"/>
  <c r="R144" i="3"/>
  <c r="L146" i="3"/>
  <c r="M147" i="3"/>
  <c r="N148" i="3"/>
  <c r="O149" i="3"/>
  <c r="P150" i="3"/>
  <c r="Q151" i="3"/>
  <c r="R152" i="3"/>
  <c r="L154" i="3"/>
  <c r="M155" i="3"/>
  <c r="N156" i="3"/>
  <c r="O157" i="3"/>
  <c r="P158" i="3"/>
  <c r="Q159" i="3"/>
  <c r="R160" i="3"/>
  <c r="L162" i="3"/>
  <c r="M163" i="3"/>
  <c r="N164" i="3"/>
  <c r="O165" i="3"/>
  <c r="P143" i="3"/>
  <c r="L145" i="3"/>
  <c r="M146" i="3"/>
  <c r="N147" i="3"/>
  <c r="O148" i="3"/>
  <c r="P149" i="3"/>
  <c r="Q150" i="3"/>
  <c r="R151" i="3"/>
  <c r="L153" i="3"/>
  <c r="M154" i="3"/>
  <c r="N155" i="3"/>
  <c r="O156" i="3"/>
  <c r="P157" i="3"/>
  <c r="Q158" i="3"/>
  <c r="R159" i="3"/>
  <c r="L161" i="3"/>
  <c r="M162" i="3"/>
  <c r="N163" i="3"/>
  <c r="O164" i="3"/>
  <c r="P165" i="3"/>
  <c r="R143" i="3"/>
  <c r="M145" i="3"/>
  <c r="N146" i="3"/>
  <c r="O147" i="3"/>
  <c r="P148" i="3"/>
  <c r="Q149" i="3"/>
  <c r="R150" i="3"/>
  <c r="L152" i="3"/>
  <c r="M153" i="3"/>
  <c r="N154" i="3"/>
  <c r="O155" i="3"/>
  <c r="P156" i="3"/>
  <c r="Q157" i="3"/>
  <c r="R158" i="3"/>
  <c r="L160" i="3"/>
  <c r="M161" i="3"/>
  <c r="N162" i="3"/>
  <c r="O163" i="3"/>
  <c r="P164" i="3"/>
  <c r="Q165" i="3"/>
  <c r="N202" i="3"/>
  <c r="M202" i="3"/>
  <c r="L202" i="3"/>
  <c r="M111" i="3"/>
  <c r="O142" i="3"/>
  <c r="L144" i="3"/>
  <c r="Q143" i="3"/>
  <c r="N142" i="3"/>
  <c r="O143" i="3"/>
  <c r="L142" i="3"/>
  <c r="P111" i="3"/>
  <c r="M143" i="3"/>
  <c r="Q88" i="3"/>
  <c r="P95" i="3"/>
  <c r="P101" i="3"/>
  <c r="N97" i="3"/>
  <c r="P93" i="3"/>
  <c r="N89" i="3"/>
  <c r="L81" i="3"/>
  <c r="Q96" i="3"/>
  <c r="O100" i="3"/>
  <c r="L97" i="3"/>
  <c r="O92" i="3"/>
  <c r="L89" i="3"/>
  <c r="Q80" i="3"/>
  <c r="M92" i="3"/>
  <c r="N87" i="3"/>
  <c r="R91" i="3"/>
  <c r="M103" i="3"/>
  <c r="R99" i="3"/>
  <c r="N95" i="3"/>
  <c r="L91" i="3"/>
  <c r="P85" i="3"/>
  <c r="L111" i="3"/>
  <c r="L99" i="3"/>
  <c r="M94" i="3"/>
  <c r="M84" i="3"/>
  <c r="N103" i="3"/>
  <c r="M102" i="3"/>
  <c r="Q98" i="3"/>
  <c r="Q90" i="3"/>
  <c r="R83" i="3"/>
  <c r="M100" i="3"/>
  <c r="R101" i="3"/>
  <c r="O98" i="3"/>
  <c r="R93" i="3"/>
  <c r="O90" i="3"/>
  <c r="O82" i="3"/>
  <c r="O101" i="3"/>
  <c r="O93" i="3"/>
  <c r="N90" i="3"/>
  <c r="N82" i="3"/>
  <c r="P80" i="3"/>
  <c r="L103" i="3"/>
  <c r="Q102" i="3"/>
  <c r="N101" i="3"/>
  <c r="P99" i="3"/>
  <c r="M98" i="3"/>
  <c r="R97" i="3"/>
  <c r="O96" i="3"/>
  <c r="L95" i="3"/>
  <c r="Q94" i="3"/>
  <c r="N93" i="3"/>
  <c r="P91" i="3"/>
  <c r="M90" i="3"/>
  <c r="R89" i="3"/>
  <c r="O88" i="3"/>
  <c r="L87" i="3"/>
  <c r="Q86" i="3"/>
  <c r="N85" i="3"/>
  <c r="P83" i="3"/>
  <c r="M82" i="3"/>
  <c r="R81" i="3"/>
  <c r="O80" i="3"/>
  <c r="R102" i="3"/>
  <c r="R86" i="3"/>
  <c r="O85" i="3"/>
  <c r="L84" i="3"/>
  <c r="Q83" i="3"/>
  <c r="P102" i="3"/>
  <c r="M101" i="3"/>
  <c r="R100" i="3"/>
  <c r="O99" i="3"/>
  <c r="L98" i="3"/>
  <c r="Q97" i="3"/>
  <c r="N96" i="3"/>
  <c r="P94" i="3"/>
  <c r="M93" i="3"/>
  <c r="R92" i="3"/>
  <c r="O91" i="3"/>
  <c r="L90" i="3"/>
  <c r="Q89" i="3"/>
  <c r="N88" i="3"/>
  <c r="P86" i="3"/>
  <c r="M85" i="3"/>
  <c r="R84" i="3"/>
  <c r="O83" i="3"/>
  <c r="L82" i="3"/>
  <c r="Q81" i="3"/>
  <c r="N80" i="3"/>
  <c r="L100" i="3"/>
  <c r="N98" i="3"/>
  <c r="M95" i="3"/>
  <c r="Q91" i="3"/>
  <c r="M87" i="3"/>
  <c r="R103" i="3"/>
  <c r="O102" i="3"/>
  <c r="L101" i="3"/>
  <c r="Q100" i="3"/>
  <c r="N99" i="3"/>
  <c r="P97" i="3"/>
  <c r="M96" i="3"/>
  <c r="R95" i="3"/>
  <c r="O94" i="3"/>
  <c r="L93" i="3"/>
  <c r="Q92" i="3"/>
  <c r="N91" i="3"/>
  <c r="P89" i="3"/>
  <c r="M88" i="3"/>
  <c r="R87" i="3"/>
  <c r="O86" i="3"/>
  <c r="L85" i="3"/>
  <c r="Q84" i="3"/>
  <c r="N83" i="3"/>
  <c r="P81" i="3"/>
  <c r="M80" i="3"/>
  <c r="Q99" i="3"/>
  <c r="P96" i="3"/>
  <c r="R94" i="3"/>
  <c r="L92" i="3"/>
  <c r="P88" i="3"/>
  <c r="Q103" i="3"/>
  <c r="N102" i="3"/>
  <c r="P100" i="3"/>
  <c r="M99" i="3"/>
  <c r="R98" i="3"/>
  <c r="O97" i="3"/>
  <c r="L96" i="3"/>
  <c r="Q95" i="3"/>
  <c r="N94" i="3"/>
  <c r="P92" i="3"/>
  <c r="M91" i="3"/>
  <c r="R90" i="3"/>
  <c r="O89" i="3"/>
  <c r="L88" i="3"/>
  <c r="Q87" i="3"/>
  <c r="N86" i="3"/>
  <c r="P84" i="3"/>
  <c r="M83" i="3"/>
  <c r="R82" i="3"/>
  <c r="O81" i="3"/>
  <c r="L80" i="3"/>
  <c r="P87" i="3"/>
  <c r="M86" i="3"/>
  <c r="R85" i="3"/>
  <c r="O84" i="3"/>
  <c r="L83" i="3"/>
  <c r="Q82" i="3"/>
  <c r="N81" i="3"/>
  <c r="O103" i="3"/>
  <c r="L102" i="3"/>
  <c r="Q101" i="3"/>
  <c r="N100" i="3"/>
  <c r="P98" i="3"/>
  <c r="M97" i="3"/>
  <c r="R96" i="3"/>
  <c r="O95" i="3"/>
  <c r="L94" i="3"/>
  <c r="Q93" i="3"/>
  <c r="N92" i="3"/>
  <c r="P90" i="3"/>
  <c r="M89" i="3"/>
  <c r="R88" i="3"/>
  <c r="O87" i="3"/>
  <c r="L86" i="3"/>
  <c r="Q85" i="3"/>
  <c r="N84" i="3"/>
  <c r="P82" i="3"/>
  <c r="M81" i="3"/>
  <c r="L9" i="15" l="1"/>
  <c r="L7" i="15"/>
  <c r="L8" i="15"/>
  <c r="M9" i="15"/>
  <c r="M8" i="15"/>
  <c r="M6" i="15"/>
  <c r="L6" i="15"/>
  <c r="M7" i="15"/>
  <c r="R257" i="3"/>
  <c r="Q135" i="3"/>
  <c r="P226" i="3"/>
  <c r="O257" i="3"/>
  <c r="N257" i="3"/>
  <c r="L257" i="3"/>
  <c r="O226" i="3"/>
  <c r="M135" i="3"/>
  <c r="Q257" i="3"/>
  <c r="P257" i="3"/>
  <c r="Q166" i="3"/>
  <c r="Q226" i="3"/>
  <c r="L226" i="3"/>
  <c r="M257" i="3"/>
  <c r="R226" i="3"/>
  <c r="M226" i="3"/>
  <c r="N226" i="3"/>
  <c r="M166" i="3"/>
  <c r="R135" i="3"/>
  <c r="P135" i="3"/>
  <c r="P166" i="3"/>
  <c r="L135" i="3"/>
  <c r="O135" i="3"/>
  <c r="N166" i="3"/>
  <c r="R166" i="3"/>
  <c r="N135" i="3"/>
  <c r="O166" i="3"/>
  <c r="L166" i="3"/>
  <c r="R104" i="3"/>
  <c r="M104" i="3"/>
  <c r="P104" i="3"/>
  <c r="N104" i="3"/>
  <c r="Q104" i="3"/>
  <c r="L104" i="3"/>
  <c r="O104" i="3"/>
  <c r="S32" i="10" l="1"/>
  <c r="S40" i="10" s="1"/>
  <c r="S39" i="10" l="1"/>
  <c r="S37" i="10"/>
  <c r="S38" i="10"/>
  <c r="S41" i="10" l="1"/>
  <c r="AL34" i="10" l="1"/>
  <c r="AI34" i="10"/>
  <c r="AF34" i="10"/>
  <c r="AC34" i="10"/>
  <c r="Z34" i="10"/>
  <c r="W34" i="10"/>
  <c r="T34" i="10"/>
  <c r="L38" i="15"/>
  <c r="L39" i="15" s="1"/>
  <c r="L40" i="15" s="1"/>
  <c r="L41" i="15" s="1"/>
  <c r="L46" i="15" s="1"/>
  <c r="L47" i="15" s="1"/>
  <c r="L48" i="15" s="1"/>
  <c r="L49" i="15" s="1"/>
  <c r="L50" i="15" s="1"/>
  <c r="L55" i="15" s="1"/>
  <c r="L60" i="15" s="1"/>
  <c r="L61" i="15" s="1"/>
  <c r="L62" i="15" s="1"/>
  <c r="L63" i="15" s="1"/>
  <c r="L64" i="15" s="1"/>
  <c r="L65" i="15" s="1"/>
  <c r="L66" i="15" s="1"/>
  <c r="L67" i="15" s="1"/>
  <c r="L68" i="15" s="1"/>
  <c r="L69" i="15" s="1"/>
  <c r="L70" i="15" s="1"/>
  <c r="L71" i="15" s="1"/>
  <c r="L72" i="15" s="1"/>
  <c r="L73" i="15" s="1"/>
  <c r="L74" i="15" s="1"/>
  <c r="L75" i="15" s="1"/>
  <c r="L80" i="15" s="1"/>
  <c r="L81" i="15" s="1"/>
  <c r="L82" i="15" s="1"/>
  <c r="L83" i="15" s="1"/>
  <c r="Z35" i="10" l="1"/>
  <c r="AL35" i="10"/>
  <c r="T37" i="10"/>
  <c r="T40" i="10"/>
  <c r="T38" i="10"/>
  <c r="T39" i="10"/>
  <c r="AF40" i="10"/>
  <c r="AF38" i="10"/>
  <c r="AF39" i="10"/>
  <c r="AF37" i="10"/>
  <c r="W35" i="10"/>
  <c r="AI35" i="10"/>
  <c r="W40" i="10"/>
  <c r="W38" i="10"/>
  <c r="W37" i="10"/>
  <c r="W39" i="10"/>
  <c r="AI40" i="10"/>
  <c r="AI38" i="10"/>
  <c r="AI39" i="10"/>
  <c r="AI37" i="10"/>
  <c r="Z37" i="10"/>
  <c r="Z40" i="10"/>
  <c r="Z38" i="10"/>
  <c r="Z39" i="10"/>
  <c r="AC35" i="10"/>
  <c r="AL37" i="10"/>
  <c r="AL40" i="10"/>
  <c r="AL38" i="10"/>
  <c r="AL39" i="10"/>
  <c r="AC39" i="10"/>
  <c r="AC40" i="10"/>
  <c r="AC38" i="10"/>
  <c r="AC37" i="10"/>
  <c r="T35" i="10"/>
  <c r="AF35" i="10"/>
  <c r="AO35" i="10" l="1"/>
  <c r="Z41" i="10"/>
  <c r="AC41" i="10"/>
  <c r="AI41" i="10"/>
  <c r="W41" i="10"/>
  <c r="AL41" i="10"/>
  <c r="AF41" i="10"/>
  <c r="T41" i="10"/>
  <c r="N50" i="3"/>
  <c r="J25" i="15" l="1"/>
  <c r="J26" i="15" l="1"/>
  <c r="A38" i="15" l="1"/>
  <c r="A39" i="15" s="1"/>
  <c r="A40" i="15" s="1"/>
  <c r="A41" i="15" s="1"/>
  <c r="A46" i="15" s="1"/>
  <c r="A47" i="15" s="1"/>
  <c r="A48" i="15" s="1"/>
  <c r="A49" i="15" s="1"/>
  <c r="A50" i="15" s="1"/>
  <c r="A55" i="15" s="1"/>
  <c r="A60" i="15" s="1"/>
  <c r="A61" i="15" s="1"/>
  <c r="A62" i="15" s="1"/>
  <c r="A63" i="15" s="1"/>
  <c r="A64" i="15" s="1"/>
  <c r="A65" i="15" s="1"/>
  <c r="A66" i="15" s="1"/>
  <c r="A67" i="15" s="1"/>
  <c r="A68" i="15" s="1"/>
  <c r="A69" i="15" s="1"/>
  <c r="A70" i="15" s="1"/>
  <c r="A71" i="15" s="1"/>
  <c r="A72" i="15" s="1"/>
  <c r="A73" i="15" s="1"/>
  <c r="A74" i="15" s="1"/>
  <c r="A75" i="15" s="1"/>
  <c r="A80" i="15" s="1"/>
  <c r="A81" i="15" s="1"/>
  <c r="A82" i="15" s="1"/>
  <c r="A83" i="15" s="1"/>
  <c r="M50" i="3" l="1"/>
  <c r="P49" i="3" l="1"/>
  <c r="R72" i="3"/>
  <c r="N72" i="3"/>
  <c r="Q71" i="3"/>
  <c r="M71" i="3"/>
  <c r="P70" i="3"/>
  <c r="L70" i="3"/>
  <c r="O69" i="3"/>
  <c r="R68" i="3"/>
  <c r="N68" i="3"/>
  <c r="Q67" i="3"/>
  <c r="M67" i="3"/>
  <c r="P66" i="3"/>
  <c r="L66" i="3"/>
  <c r="O65" i="3"/>
  <c r="R64" i="3"/>
  <c r="N64" i="3"/>
  <c r="Q63" i="3"/>
  <c r="M63" i="3"/>
  <c r="P62" i="3"/>
  <c r="L62" i="3"/>
  <c r="O61" i="3"/>
  <c r="R60" i="3"/>
  <c r="N60" i="3"/>
  <c r="Q59" i="3"/>
  <c r="M59" i="3"/>
  <c r="P58" i="3"/>
  <c r="L58" i="3"/>
  <c r="O57" i="3"/>
  <c r="R56" i="3"/>
  <c r="N56" i="3"/>
  <c r="Q55" i="3"/>
  <c r="M55" i="3"/>
  <c r="P54" i="3"/>
  <c r="L54" i="3"/>
  <c r="O53" i="3"/>
  <c r="R52" i="3"/>
  <c r="N52" i="3"/>
  <c r="Q51" i="3"/>
  <c r="M51" i="3"/>
  <c r="P50" i="3"/>
  <c r="L50" i="3"/>
  <c r="L49" i="3"/>
  <c r="O49" i="3"/>
  <c r="Q72" i="3"/>
  <c r="M72" i="3"/>
  <c r="P71" i="3"/>
  <c r="L71" i="3"/>
  <c r="O70" i="3"/>
  <c r="R69" i="3"/>
  <c r="N69" i="3"/>
  <c r="Q68" i="3"/>
  <c r="M68" i="3"/>
  <c r="P67" i="3"/>
  <c r="L67" i="3"/>
  <c r="O66" i="3"/>
  <c r="R65" i="3"/>
  <c r="N65" i="3"/>
  <c r="Q64" i="3"/>
  <c r="M64" i="3"/>
  <c r="P63" i="3"/>
  <c r="L63" i="3"/>
  <c r="O62" i="3"/>
  <c r="R61" i="3"/>
  <c r="N61" i="3"/>
  <c r="Q60" i="3"/>
  <c r="M60" i="3"/>
  <c r="P59" i="3"/>
  <c r="L59" i="3"/>
  <c r="O58" i="3"/>
  <c r="R57" i="3"/>
  <c r="N57" i="3"/>
  <c r="Q56" i="3"/>
  <c r="M56" i="3"/>
  <c r="P55" i="3"/>
  <c r="L55" i="3"/>
  <c r="O54" i="3"/>
  <c r="R53" i="3"/>
  <c r="N53" i="3"/>
  <c r="Q52" i="3"/>
  <c r="M52" i="3"/>
  <c r="P51" i="3"/>
  <c r="L51" i="3"/>
  <c r="O50" i="3"/>
  <c r="R49" i="3"/>
  <c r="N49" i="3"/>
  <c r="P72" i="3"/>
  <c r="L72" i="3"/>
  <c r="O71" i="3"/>
  <c r="R70" i="3"/>
  <c r="N70" i="3"/>
  <c r="Q69" i="3"/>
  <c r="M69" i="3"/>
  <c r="P68" i="3"/>
  <c r="L68" i="3"/>
  <c r="O67" i="3"/>
  <c r="R66" i="3"/>
  <c r="N66" i="3"/>
  <c r="Q65" i="3"/>
  <c r="M65" i="3"/>
  <c r="P64" i="3"/>
  <c r="L64" i="3"/>
  <c r="O63" i="3"/>
  <c r="R62" i="3"/>
  <c r="N62" i="3"/>
  <c r="Q61" i="3"/>
  <c r="M61" i="3"/>
  <c r="P60" i="3"/>
  <c r="L60" i="3"/>
  <c r="O59" i="3"/>
  <c r="R58" i="3"/>
  <c r="N58" i="3"/>
  <c r="Q57" i="3"/>
  <c r="M57" i="3"/>
  <c r="P56" i="3"/>
  <c r="L56" i="3"/>
  <c r="O55" i="3"/>
  <c r="R54" i="3"/>
  <c r="N54" i="3"/>
  <c r="Q53" i="3"/>
  <c r="M53" i="3"/>
  <c r="P52" i="3"/>
  <c r="L52" i="3"/>
  <c r="O51" i="3"/>
  <c r="R50" i="3"/>
  <c r="Q49" i="3"/>
  <c r="M49" i="3"/>
  <c r="O72" i="3"/>
  <c r="R71" i="3"/>
  <c r="N71" i="3"/>
  <c r="Q70" i="3"/>
  <c r="M70" i="3"/>
  <c r="P69" i="3"/>
  <c r="L69" i="3"/>
  <c r="O68" i="3"/>
  <c r="R67" i="3"/>
  <c r="N67" i="3"/>
  <c r="Q66" i="3"/>
  <c r="M66" i="3"/>
  <c r="P65" i="3"/>
  <c r="L65" i="3"/>
  <c r="O64" i="3"/>
  <c r="R63" i="3"/>
  <c r="N63" i="3"/>
  <c r="Q62" i="3"/>
  <c r="M62" i="3"/>
  <c r="P61" i="3"/>
  <c r="L61" i="3"/>
  <c r="O60" i="3"/>
  <c r="R59" i="3"/>
  <c r="N59" i="3"/>
  <c r="Q58" i="3"/>
  <c r="M58" i="3"/>
  <c r="P57" i="3"/>
  <c r="L57" i="3"/>
  <c r="O56" i="3"/>
  <c r="R55" i="3"/>
  <c r="N55" i="3"/>
  <c r="Q54" i="3"/>
  <c r="M54" i="3"/>
  <c r="P53" i="3"/>
  <c r="L53" i="3"/>
  <c r="O52" i="3"/>
  <c r="R51" i="3"/>
  <c r="N51" i="3"/>
  <c r="Q50" i="3"/>
  <c r="R73" i="3" l="1"/>
  <c r="O73" i="3"/>
  <c r="M73" i="3"/>
  <c r="L73" i="3"/>
  <c r="P73" i="3"/>
  <c r="N73" i="3"/>
  <c r="Q73" i="3"/>
  <c r="AK32" i="10"/>
  <c r="AH32" i="10"/>
  <c r="AE32" i="10"/>
  <c r="AB32" i="10"/>
  <c r="Y32" i="10"/>
  <c r="V32" i="10"/>
  <c r="AO30" i="10"/>
  <c r="AN30" i="10"/>
  <c r="AG30" i="10"/>
  <c r="AD30" i="10"/>
  <c r="AA30" i="10"/>
  <c r="X30" i="10"/>
  <c r="U30" i="10"/>
  <c r="AO29" i="10"/>
  <c r="AN29" i="10"/>
  <c r="AG29" i="10"/>
  <c r="AD29" i="10"/>
  <c r="AA29" i="10"/>
  <c r="X29" i="10"/>
  <c r="U29" i="10"/>
  <c r="AO28" i="10"/>
  <c r="AN28" i="10"/>
  <c r="AG28" i="10"/>
  <c r="AD28" i="10"/>
  <c r="AA28" i="10"/>
  <c r="X28" i="10"/>
  <c r="U28" i="10"/>
  <c r="AO27" i="10"/>
  <c r="AN27" i="10"/>
  <c r="AG27" i="10"/>
  <c r="AD27" i="10"/>
  <c r="AA27" i="10"/>
  <c r="X27" i="10"/>
  <c r="U27" i="10"/>
  <c r="AO26" i="10"/>
  <c r="AN26" i="10"/>
  <c r="AG26" i="10"/>
  <c r="AD26" i="10"/>
  <c r="AA26" i="10"/>
  <c r="X26" i="10"/>
  <c r="U26" i="10"/>
  <c r="AO25" i="10"/>
  <c r="AN25" i="10"/>
  <c r="AG25" i="10"/>
  <c r="AD25" i="10"/>
  <c r="AA25" i="10"/>
  <c r="X25" i="10"/>
  <c r="U25" i="10"/>
  <c r="AO24" i="10"/>
  <c r="AN24" i="10"/>
  <c r="AG24" i="10"/>
  <c r="AD24" i="10"/>
  <c r="AA24" i="10"/>
  <c r="X24" i="10"/>
  <c r="U24" i="10"/>
  <c r="AO23" i="10"/>
  <c r="AN23" i="10"/>
  <c r="AG23" i="10"/>
  <c r="AD23" i="10"/>
  <c r="AA23" i="10"/>
  <c r="X23" i="10"/>
  <c r="U23" i="10"/>
  <c r="AO22" i="10"/>
  <c r="AN22" i="10"/>
  <c r="AG22" i="10"/>
  <c r="AD22" i="10"/>
  <c r="AA22" i="10"/>
  <c r="X22" i="10"/>
  <c r="U22" i="10"/>
  <c r="AO21" i="10"/>
  <c r="AN21" i="10"/>
  <c r="AG21" i="10"/>
  <c r="AD21" i="10"/>
  <c r="AA21" i="10"/>
  <c r="X21" i="10"/>
  <c r="U21" i="10"/>
  <c r="AO20" i="10"/>
  <c r="AN20" i="10"/>
  <c r="AG20" i="10"/>
  <c r="AD20" i="10"/>
  <c r="AA20" i="10"/>
  <c r="X20" i="10"/>
  <c r="U20" i="10"/>
  <c r="AO19" i="10"/>
  <c r="AN19" i="10"/>
  <c r="AG19" i="10"/>
  <c r="AD19" i="10"/>
  <c r="AA19" i="10"/>
  <c r="X19" i="10"/>
  <c r="U19" i="10"/>
  <c r="AO18" i="10"/>
  <c r="AN18" i="10"/>
  <c r="AG18" i="10"/>
  <c r="AD18" i="10"/>
  <c r="AA18" i="10"/>
  <c r="X18" i="10"/>
  <c r="U18" i="10"/>
  <c r="AO17" i="10"/>
  <c r="AN17" i="10"/>
  <c r="AG17" i="10"/>
  <c r="AD17" i="10"/>
  <c r="AA17" i="10"/>
  <c r="X17" i="10"/>
  <c r="U17" i="10"/>
  <c r="AO16" i="10"/>
  <c r="AN16" i="10"/>
  <c r="AG16" i="10"/>
  <c r="AD16" i="10"/>
  <c r="AA16" i="10"/>
  <c r="X16" i="10"/>
  <c r="U16" i="10"/>
  <c r="AO15" i="10"/>
  <c r="AN15" i="10"/>
  <c r="AG15" i="10"/>
  <c r="AD15" i="10"/>
  <c r="AA15" i="10"/>
  <c r="X15" i="10"/>
  <c r="U15" i="10"/>
  <c r="AO14" i="10"/>
  <c r="AN14" i="10"/>
  <c r="AG14" i="10"/>
  <c r="AD14" i="10"/>
  <c r="AA14" i="10"/>
  <c r="X14" i="10"/>
  <c r="U14" i="10"/>
  <c r="AO13" i="10"/>
  <c r="AN13" i="10"/>
  <c r="AG13" i="10"/>
  <c r="AD13" i="10"/>
  <c r="AA13" i="10"/>
  <c r="X13" i="10"/>
  <c r="U13" i="10"/>
  <c r="AO12" i="10"/>
  <c r="AN12" i="10"/>
  <c r="AG12" i="10"/>
  <c r="AD12" i="10"/>
  <c r="AA12" i="10"/>
  <c r="X12" i="10"/>
  <c r="U12" i="10"/>
  <c r="AO11" i="10"/>
  <c r="AN11" i="10"/>
  <c r="AG11" i="10"/>
  <c r="AD11" i="10"/>
  <c r="AA11" i="10"/>
  <c r="X11" i="10"/>
  <c r="U11" i="10"/>
  <c r="AO10" i="10"/>
  <c r="AN10" i="10"/>
  <c r="AG10" i="10"/>
  <c r="AD10" i="10"/>
  <c r="AA10" i="10"/>
  <c r="X10" i="10"/>
  <c r="U10" i="10"/>
  <c r="AO9" i="10"/>
  <c r="AN9" i="10"/>
  <c r="AG9" i="10"/>
  <c r="AD9" i="10"/>
  <c r="AA9" i="10"/>
  <c r="X9" i="10"/>
  <c r="U9" i="10"/>
  <c r="AO8" i="10"/>
  <c r="AN8" i="10"/>
  <c r="AG8" i="10"/>
  <c r="AD8" i="10"/>
  <c r="AA8" i="10"/>
  <c r="X8" i="10"/>
  <c r="U8" i="10"/>
  <c r="AO7" i="10"/>
  <c r="AN7" i="10"/>
  <c r="AG7" i="10"/>
  <c r="AD7" i="10"/>
  <c r="AA7" i="10"/>
  <c r="X7" i="10"/>
  <c r="U7" i="10"/>
  <c r="AP24" i="10" l="1"/>
  <c r="AB39" i="10"/>
  <c r="AB37" i="10"/>
  <c r="AB40" i="10"/>
  <c r="AB38" i="10"/>
  <c r="AB33" i="10"/>
  <c r="AE39" i="10"/>
  <c r="AE37" i="10"/>
  <c r="AE40" i="10"/>
  <c r="AE38" i="10"/>
  <c r="AE33" i="10"/>
  <c r="V39" i="10"/>
  <c r="V37" i="10"/>
  <c r="V40" i="10"/>
  <c r="V38" i="10"/>
  <c r="S33" i="10"/>
  <c r="V33" i="10"/>
  <c r="AH39" i="10"/>
  <c r="AH37" i="10"/>
  <c r="AH40" i="10"/>
  <c r="AH38" i="10"/>
  <c r="AH33" i="10"/>
  <c r="Y39" i="10"/>
  <c r="Y37" i="10"/>
  <c r="Y40" i="10"/>
  <c r="Y38" i="10"/>
  <c r="Y33" i="10"/>
  <c r="AK39" i="10"/>
  <c r="AK37" i="10"/>
  <c r="AK40" i="10"/>
  <c r="AK38" i="10"/>
  <c r="AK33" i="10"/>
  <c r="K25" i="10"/>
  <c r="AN32" i="10"/>
  <c r="D24" i="10"/>
  <c r="P16" i="10"/>
  <c r="AK43" i="10"/>
  <c r="AE43" i="10"/>
  <c r="AO34" i="10"/>
  <c r="AP8" i="10"/>
  <c r="J16" i="10"/>
  <c r="D23" i="10"/>
  <c r="J13" i="10"/>
  <c r="AP16" i="10"/>
  <c r="AP22" i="10"/>
  <c r="F16" i="10"/>
  <c r="P27" i="10"/>
  <c r="G22" i="10"/>
  <c r="F24" i="10"/>
  <c r="J8" i="10"/>
  <c r="B8" i="10"/>
  <c r="J19" i="10"/>
  <c r="B19" i="10"/>
  <c r="F22" i="10"/>
  <c r="N22" i="10"/>
  <c r="E23" i="10"/>
  <c r="M23" i="10"/>
  <c r="L24" i="10"/>
  <c r="J26" i="10"/>
  <c r="B26" i="10"/>
  <c r="F29" i="10"/>
  <c r="N29" i="10"/>
  <c r="M30" i="10"/>
  <c r="E30" i="10"/>
  <c r="O14" i="10"/>
  <c r="L17" i="10"/>
  <c r="K27" i="10"/>
  <c r="H26" i="10"/>
  <c r="F28" i="10"/>
  <c r="C8" i="10"/>
  <c r="C27" i="10"/>
  <c r="H7" i="10"/>
  <c r="J7" i="10"/>
  <c r="F8" i="10"/>
  <c r="D10" i="10"/>
  <c r="B28" i="10"/>
  <c r="P12" i="10"/>
  <c r="K8" i="10"/>
  <c r="G11" i="10"/>
  <c r="D15" i="10"/>
  <c r="B10" i="10"/>
  <c r="C7" i="10"/>
  <c r="G30" i="10"/>
  <c r="K29" i="10"/>
  <c r="H29" i="10"/>
  <c r="N10" i="10"/>
  <c r="L25" i="10"/>
  <c r="H8" i="10"/>
  <c r="F10" i="10"/>
  <c r="C11" i="10"/>
  <c r="O15" i="10"/>
  <c r="O19" i="10"/>
  <c r="K7" i="10"/>
  <c r="E12" i="10"/>
  <c r="N21" i="10"/>
  <c r="P18" i="10"/>
  <c r="O28" i="10"/>
  <c r="M10" i="10"/>
  <c r="H16" i="10"/>
  <c r="G15" i="10"/>
  <c r="E20" i="10"/>
  <c r="C17" i="10"/>
  <c r="B17" i="10"/>
  <c r="P26" i="10"/>
  <c r="O7" i="10"/>
  <c r="M13" i="10"/>
  <c r="K18" i="10"/>
  <c r="C19" i="10"/>
  <c r="F25" i="10"/>
  <c r="H10" i="10"/>
  <c r="L14" i="10"/>
  <c r="C16" i="10"/>
  <c r="F19" i="10"/>
  <c r="J22" i="10"/>
  <c r="O25" i="10"/>
  <c r="K20" i="10"/>
  <c r="C20" i="10"/>
  <c r="E25" i="10"/>
  <c r="M25" i="10"/>
  <c r="G20" i="10"/>
  <c r="H19" i="10"/>
  <c r="L19" i="10"/>
  <c r="D19" i="10"/>
  <c r="B9" i="10"/>
  <c r="B20" i="10"/>
  <c r="D16" i="10"/>
  <c r="K19" i="10"/>
  <c r="N24" i="10"/>
  <c r="B18" i="10"/>
  <c r="E24" i="10"/>
  <c r="G12" i="10"/>
  <c r="K9" i="10"/>
  <c r="N13" i="10"/>
  <c r="B12" i="10"/>
  <c r="E21" i="10"/>
  <c r="M15" i="10"/>
  <c r="B25" i="10"/>
  <c r="J25" i="10"/>
  <c r="C24" i="10"/>
  <c r="E14" i="10"/>
  <c r="H17" i="10"/>
  <c r="L29" i="10"/>
  <c r="M11" i="10"/>
  <c r="L12" i="10"/>
  <c r="D12" i="10"/>
  <c r="C13" i="10"/>
  <c r="B14" i="10"/>
  <c r="N17" i="10"/>
  <c r="L18" i="10"/>
  <c r="D25" i="10"/>
  <c r="K26" i="10"/>
  <c r="C26" i="10"/>
  <c r="J27" i="10"/>
  <c r="B27" i="10"/>
  <c r="F30" i="10"/>
  <c r="N30" i="10"/>
  <c r="D18" i="10"/>
  <c r="F17" i="10"/>
  <c r="J14" i="10"/>
  <c r="K13" i="10"/>
  <c r="N12" i="10"/>
  <c r="F12" i="10"/>
  <c r="K15" i="10"/>
  <c r="C15" i="10"/>
  <c r="N18" i="10"/>
  <c r="F18" i="10"/>
  <c r="B21" i="10"/>
  <c r="J21" i="10"/>
  <c r="F13" i="10"/>
  <c r="C9" i="10"/>
  <c r="L7" i="10"/>
  <c r="D7" i="10"/>
  <c r="D14" i="10"/>
  <c r="L20" i="10"/>
  <c r="D20" i="10"/>
  <c r="D8" i="10"/>
  <c r="L8" i="10"/>
  <c r="E11" i="10"/>
  <c r="F7" i="10"/>
  <c r="N7" i="10"/>
  <c r="J9" i="10"/>
  <c r="E13" i="10"/>
  <c r="M19" i="10"/>
  <c r="E19" i="10"/>
  <c r="J10" i="10"/>
  <c r="M14" i="10"/>
  <c r="B16" i="10"/>
  <c r="E8" i="10"/>
  <c r="M8" i="10"/>
  <c r="P9" i="10"/>
  <c r="M28" i="10"/>
  <c r="E28" i="10"/>
  <c r="D29" i="10"/>
  <c r="C30" i="10"/>
  <c r="K30" i="10"/>
  <c r="J29" i="10"/>
  <c r="P25" i="10"/>
  <c r="L13" i="10"/>
  <c r="M21" i="10"/>
  <c r="H15" i="10"/>
  <c r="G19" i="10"/>
  <c r="D30" i="10"/>
  <c r="B24" i="10"/>
  <c r="H13" i="10"/>
  <c r="H22" i="10"/>
  <c r="G8" i="10"/>
  <c r="G17" i="10"/>
  <c r="G26" i="10"/>
  <c r="D28" i="10"/>
  <c r="C29" i="10"/>
  <c r="B30" i="10"/>
  <c r="G27" i="10"/>
  <c r="P11" i="10"/>
  <c r="O24" i="10"/>
  <c r="M9" i="10"/>
  <c r="K17" i="10"/>
  <c r="J30" i="10"/>
  <c r="G10" i="10"/>
  <c r="F15" i="10"/>
  <c r="D22" i="10"/>
  <c r="C23" i="10"/>
  <c r="N16" i="10"/>
  <c r="P10" i="10"/>
  <c r="P22" i="10"/>
  <c r="O11" i="10"/>
  <c r="O23" i="10"/>
  <c r="L22" i="10"/>
  <c r="H14" i="10"/>
  <c r="H23" i="10"/>
  <c r="G9" i="10"/>
  <c r="G18" i="10"/>
  <c r="E27" i="10"/>
  <c r="O12" i="10"/>
  <c r="L23" i="10"/>
  <c r="M7" i="10"/>
  <c r="J11" i="10"/>
  <c r="H24" i="10"/>
  <c r="G28" i="10"/>
  <c r="E10" i="10"/>
  <c r="P17" i="10"/>
  <c r="P28" i="10"/>
  <c r="O16" i="10"/>
  <c r="O30" i="10"/>
  <c r="J24" i="10"/>
  <c r="H9" i="10"/>
  <c r="H18" i="10"/>
  <c r="H27" i="10"/>
  <c r="G14" i="10"/>
  <c r="G23" i="10"/>
  <c r="F9" i="10"/>
  <c r="F27" i="10"/>
  <c r="E22" i="10"/>
  <c r="D17" i="10"/>
  <c r="C18" i="10"/>
  <c r="B11" i="10"/>
  <c r="C25" i="10"/>
  <c r="D26" i="10"/>
  <c r="E29" i="10"/>
  <c r="F26" i="10"/>
  <c r="G24" i="10"/>
  <c r="H25" i="10"/>
  <c r="J23" i="10"/>
  <c r="K22" i="10"/>
  <c r="M22" i="10"/>
  <c r="L15" i="10"/>
  <c r="P30" i="10"/>
  <c r="B7" i="10"/>
  <c r="E7" i="10"/>
  <c r="M12" i="10"/>
  <c r="J20" i="10"/>
  <c r="N28" i="10"/>
  <c r="C10" i="10"/>
  <c r="D9" i="10"/>
  <c r="J15" i="10"/>
  <c r="K21" i="10"/>
  <c r="K10" i="10"/>
  <c r="M24" i="10"/>
  <c r="L26" i="10"/>
  <c r="L16" i="10"/>
  <c r="N23" i="10"/>
  <c r="N11" i="10"/>
  <c r="J28" i="10"/>
  <c r="B15" i="10"/>
  <c r="F23" i="10"/>
  <c r="K16" i="10"/>
  <c r="M18" i="10"/>
  <c r="L10" i="10"/>
  <c r="N8" i="10"/>
  <c r="F14" i="10"/>
  <c r="N20" i="10"/>
  <c r="L27" i="10"/>
  <c r="B23" i="10"/>
  <c r="C22" i="10"/>
  <c r="D21" i="10"/>
  <c r="E18" i="10"/>
  <c r="AP14" i="10"/>
  <c r="M27" i="10"/>
  <c r="K28" i="10"/>
  <c r="B22" i="10"/>
  <c r="C21" i="10"/>
  <c r="E26" i="10"/>
  <c r="E17" i="10"/>
  <c r="F21" i="10"/>
  <c r="J18" i="10"/>
  <c r="K24" i="10"/>
  <c r="M29" i="10"/>
  <c r="M17" i="10"/>
  <c r="L21" i="10"/>
  <c r="L9" i="10"/>
  <c r="O22" i="10"/>
  <c r="O10" i="10"/>
  <c r="P20" i="10"/>
  <c r="N15" i="10"/>
  <c r="E15" i="10"/>
  <c r="M20" i="10"/>
  <c r="N19" i="10"/>
  <c r="AP30" i="10"/>
  <c r="C14" i="10"/>
  <c r="D13" i="10"/>
  <c r="E9" i="10"/>
  <c r="N9" i="10"/>
  <c r="K11" i="10"/>
  <c r="J12" i="10"/>
  <c r="N26" i="10"/>
  <c r="L11" i="10"/>
  <c r="K12" i="10"/>
  <c r="N27" i="10"/>
  <c r="L28" i="10"/>
  <c r="P13" i="10"/>
  <c r="P21" i="10"/>
  <c r="P29" i="10"/>
  <c r="O13" i="10"/>
  <c r="O21" i="10"/>
  <c r="O29" i="10"/>
  <c r="P14" i="10"/>
  <c r="P23" i="10"/>
  <c r="O8" i="10"/>
  <c r="O17" i="10"/>
  <c r="O26" i="10"/>
  <c r="G7" i="10"/>
  <c r="P15" i="10"/>
  <c r="P24" i="10"/>
  <c r="O9" i="10"/>
  <c r="O18" i="10"/>
  <c r="O27" i="10"/>
  <c r="H12" i="10"/>
  <c r="H20" i="10"/>
  <c r="H28" i="10"/>
  <c r="G13" i="10"/>
  <c r="G21" i="10"/>
  <c r="G29" i="10"/>
  <c r="B29" i="10"/>
  <c r="B13" i="10"/>
  <c r="C28" i="10"/>
  <c r="C12" i="10"/>
  <c r="D27" i="10"/>
  <c r="D11" i="10"/>
  <c r="E16" i="10"/>
  <c r="F20" i="10"/>
  <c r="F11" i="10"/>
  <c r="G25" i="10"/>
  <c r="G16" i="10"/>
  <c r="H30" i="10"/>
  <c r="H21" i="10"/>
  <c r="H11" i="10"/>
  <c r="J17" i="10"/>
  <c r="K23" i="10"/>
  <c r="K14" i="10"/>
  <c r="M26" i="10"/>
  <c r="M16" i="10"/>
  <c r="L30" i="10"/>
  <c r="O20" i="10"/>
  <c r="P7" i="10"/>
  <c r="P19" i="10"/>
  <c r="P8" i="10"/>
  <c r="N25" i="10"/>
  <c r="N14" i="10"/>
  <c r="AP21" i="10"/>
  <c r="AP15" i="10"/>
  <c r="AP18" i="10"/>
  <c r="AP11" i="10"/>
  <c r="AP28" i="10"/>
  <c r="AP12" i="10"/>
  <c r="AP25" i="10"/>
  <c r="AP9" i="10"/>
  <c r="AP19" i="10"/>
  <c r="AP26" i="10"/>
  <c r="AP29" i="10"/>
  <c r="AP23" i="10"/>
  <c r="AP10" i="10"/>
  <c r="AP13" i="10"/>
  <c r="AP17" i="10"/>
  <c r="AP7" i="10"/>
  <c r="AP20" i="10"/>
  <c r="AP27" i="10"/>
  <c r="AN33" i="10" l="1"/>
  <c r="U243" i="3"/>
  <c r="U90" i="3"/>
  <c r="U121" i="3"/>
  <c r="U59" i="3"/>
  <c r="AH243" i="3"/>
  <c r="AH121" i="3"/>
  <c r="AH90" i="3"/>
  <c r="AH59" i="3"/>
  <c r="AJ234" i="3"/>
  <c r="AJ81" i="3"/>
  <c r="AJ112" i="3"/>
  <c r="AJ50" i="3"/>
  <c r="AK254" i="3"/>
  <c r="AK132" i="3"/>
  <c r="AK101" i="3"/>
  <c r="AK70" i="3"/>
  <c r="AE249" i="3"/>
  <c r="AE127" i="3"/>
  <c r="AE96" i="3"/>
  <c r="AE65" i="3"/>
  <c r="U250" i="3"/>
  <c r="U128" i="3"/>
  <c r="U97" i="3"/>
  <c r="U66" i="3"/>
  <c r="AK239" i="3"/>
  <c r="AK117" i="3"/>
  <c r="AK86" i="3"/>
  <c r="AK55" i="3"/>
  <c r="AJ241" i="3"/>
  <c r="AJ119" i="3"/>
  <c r="AJ88" i="3"/>
  <c r="AJ57" i="3"/>
  <c r="Y251" i="3"/>
  <c r="Y129" i="3"/>
  <c r="Y98" i="3"/>
  <c r="Y67" i="3"/>
  <c r="V240" i="3"/>
  <c r="V87" i="3"/>
  <c r="V118" i="3"/>
  <c r="V56" i="3"/>
  <c r="AI237" i="3"/>
  <c r="AI115" i="3"/>
  <c r="AI84" i="3"/>
  <c r="AI53" i="3"/>
  <c r="AE255" i="3"/>
  <c r="AE102" i="3"/>
  <c r="AE133" i="3"/>
  <c r="AE71" i="3"/>
  <c r="Z244" i="3"/>
  <c r="Z122" i="3"/>
  <c r="Z91" i="3"/>
  <c r="Z60" i="3"/>
  <c r="AA249" i="3"/>
  <c r="AA127" i="3"/>
  <c r="AA96" i="3"/>
  <c r="AA65" i="3"/>
  <c r="W254" i="3"/>
  <c r="W132" i="3"/>
  <c r="W101" i="3"/>
  <c r="W70" i="3"/>
  <c r="AH235" i="3"/>
  <c r="AH113" i="3"/>
  <c r="AH82" i="3"/>
  <c r="AH51" i="3"/>
  <c r="AA246" i="3"/>
  <c r="AA124" i="3"/>
  <c r="AA93" i="3"/>
  <c r="AA62" i="3"/>
  <c r="U244" i="3"/>
  <c r="U122" i="3"/>
  <c r="U91" i="3"/>
  <c r="U60" i="3"/>
  <c r="Y234" i="3"/>
  <c r="Y112" i="3"/>
  <c r="Y81" i="3"/>
  <c r="Y50" i="3"/>
  <c r="Y249" i="3"/>
  <c r="Y96" i="3"/>
  <c r="Y127" i="3"/>
  <c r="Y65" i="3"/>
  <c r="AF236" i="3"/>
  <c r="AF114" i="3"/>
  <c r="AF83" i="3"/>
  <c r="AF52" i="3"/>
  <c r="X248" i="3"/>
  <c r="X126" i="3"/>
  <c r="X95" i="3"/>
  <c r="X64" i="3"/>
  <c r="AF251" i="3"/>
  <c r="AF129" i="3"/>
  <c r="AF98" i="3"/>
  <c r="AF67" i="3"/>
  <c r="AJ240" i="3"/>
  <c r="AJ118" i="3"/>
  <c r="AJ87" i="3"/>
  <c r="AJ56" i="3"/>
  <c r="AA243" i="3"/>
  <c r="AA90" i="3"/>
  <c r="AA121" i="3"/>
  <c r="AA59" i="3"/>
  <c r="AH253" i="3"/>
  <c r="AH131" i="3"/>
  <c r="AH100" i="3"/>
  <c r="AH69" i="3"/>
  <c r="AA248" i="3"/>
  <c r="AA126" i="3"/>
  <c r="AA95" i="3"/>
  <c r="AA64" i="3"/>
  <c r="V243" i="3"/>
  <c r="V121" i="3"/>
  <c r="V90" i="3"/>
  <c r="V59" i="3"/>
  <c r="AJ252" i="3"/>
  <c r="AJ130" i="3"/>
  <c r="AJ99" i="3"/>
  <c r="AJ68" i="3"/>
  <c r="AK241" i="3"/>
  <c r="AK119" i="3"/>
  <c r="AK88" i="3"/>
  <c r="AK57" i="3"/>
  <c r="AH254" i="3"/>
  <c r="AH101" i="3"/>
  <c r="AH132" i="3"/>
  <c r="AH70" i="3"/>
  <c r="AH245" i="3"/>
  <c r="AH123" i="3"/>
  <c r="AH92" i="3"/>
  <c r="AH61" i="3"/>
  <c r="AG234" i="3"/>
  <c r="AG112" i="3"/>
  <c r="AG81" i="3"/>
  <c r="AG50" i="3"/>
  <c r="U247" i="3"/>
  <c r="U94" i="3"/>
  <c r="U125" i="3"/>
  <c r="U63" i="3"/>
  <c r="V239" i="3"/>
  <c r="V117" i="3"/>
  <c r="V86" i="3"/>
  <c r="V55" i="3"/>
  <c r="AF252" i="3"/>
  <c r="AF130" i="3"/>
  <c r="AF99" i="3"/>
  <c r="AF68" i="3"/>
  <c r="W238" i="3"/>
  <c r="W85" i="3"/>
  <c r="W116" i="3"/>
  <c r="W54" i="3"/>
  <c r="X241" i="3"/>
  <c r="X88" i="3"/>
  <c r="X119" i="3"/>
  <c r="X57" i="3"/>
  <c r="Y250" i="3"/>
  <c r="Y128" i="3"/>
  <c r="Y97" i="3"/>
  <c r="Y66" i="3"/>
  <c r="AJ246" i="3"/>
  <c r="AJ93" i="3"/>
  <c r="AJ124" i="3"/>
  <c r="AJ62" i="3"/>
  <c r="AF242" i="3"/>
  <c r="AF120" i="3"/>
  <c r="AF89" i="3"/>
  <c r="AF58" i="3"/>
  <c r="AA252" i="3"/>
  <c r="AA99" i="3"/>
  <c r="AA130" i="3"/>
  <c r="AA68" i="3"/>
  <c r="AA244" i="3"/>
  <c r="AA122" i="3"/>
  <c r="AA91" i="3"/>
  <c r="AA60" i="3"/>
  <c r="AK234" i="3"/>
  <c r="AK112" i="3"/>
  <c r="AK81" i="3"/>
  <c r="AK50" i="3"/>
  <c r="AG241" i="3"/>
  <c r="AG119" i="3"/>
  <c r="AG88" i="3"/>
  <c r="AG57" i="3"/>
  <c r="AK233" i="3"/>
  <c r="AK111" i="3"/>
  <c r="AK80" i="3"/>
  <c r="AK49" i="3"/>
  <c r="AH256" i="3"/>
  <c r="AH134" i="3"/>
  <c r="AH103" i="3"/>
  <c r="AH72" i="3"/>
  <c r="AH249" i="3"/>
  <c r="AH127" i="3"/>
  <c r="AH96" i="3"/>
  <c r="AH65" i="3"/>
  <c r="AJ248" i="3"/>
  <c r="AJ126" i="3"/>
  <c r="AJ95" i="3"/>
  <c r="AJ64" i="3"/>
  <c r="Y41" i="10"/>
  <c r="AA245" i="3"/>
  <c r="AA123" i="3"/>
  <c r="AA92" i="3"/>
  <c r="AA61" i="3"/>
  <c r="Z248" i="3"/>
  <c r="Z126" i="3"/>
  <c r="Z95" i="3"/>
  <c r="Z64" i="3"/>
  <c r="W239" i="3"/>
  <c r="W117" i="3"/>
  <c r="W86" i="3"/>
  <c r="W55" i="3"/>
  <c r="AG253" i="3"/>
  <c r="AG131" i="3"/>
  <c r="AG100" i="3"/>
  <c r="AG69" i="3"/>
  <c r="Y245" i="3"/>
  <c r="Y123" i="3"/>
  <c r="Y92" i="3"/>
  <c r="Y61" i="3"/>
  <c r="AJ250" i="3"/>
  <c r="AJ128" i="3"/>
  <c r="AJ97" i="3"/>
  <c r="AJ66" i="3"/>
  <c r="AJ253" i="3"/>
  <c r="AJ131" i="3"/>
  <c r="AJ100" i="3"/>
  <c r="AJ69" i="3"/>
  <c r="AF241" i="3"/>
  <c r="AF119" i="3"/>
  <c r="AF88" i="3"/>
  <c r="AF57" i="3"/>
  <c r="AH240" i="3"/>
  <c r="AH118" i="3"/>
  <c r="AH87" i="3"/>
  <c r="AH56" i="3"/>
  <c r="AA234" i="3"/>
  <c r="AA112" i="3"/>
  <c r="AA81" i="3"/>
  <c r="AA50" i="3"/>
  <c r="V249" i="3"/>
  <c r="V127" i="3"/>
  <c r="V96" i="3"/>
  <c r="V65" i="3"/>
  <c r="AI246" i="3"/>
  <c r="AI124" i="3"/>
  <c r="AI93" i="3"/>
  <c r="AI62" i="3"/>
  <c r="AJ255" i="3"/>
  <c r="AJ133" i="3"/>
  <c r="AJ102" i="3"/>
  <c r="AJ71" i="3"/>
  <c r="Z235" i="3"/>
  <c r="Z113" i="3"/>
  <c r="Z82" i="3"/>
  <c r="Z51" i="3"/>
  <c r="AA240" i="3"/>
  <c r="AA118" i="3"/>
  <c r="AA87" i="3"/>
  <c r="AA56" i="3"/>
  <c r="Y253" i="3"/>
  <c r="Y131" i="3"/>
  <c r="Y100" i="3"/>
  <c r="Y69" i="3"/>
  <c r="AG239" i="3"/>
  <c r="AG117" i="3"/>
  <c r="AG86" i="3"/>
  <c r="AG55" i="3"/>
  <c r="Z236" i="3"/>
  <c r="Z114" i="3"/>
  <c r="Z83" i="3"/>
  <c r="Z52" i="3"/>
  <c r="AI247" i="3"/>
  <c r="AI125" i="3"/>
  <c r="AI94" i="3"/>
  <c r="AI63" i="3"/>
  <c r="AH244" i="3"/>
  <c r="AH122" i="3"/>
  <c r="AH91" i="3"/>
  <c r="AH60" i="3"/>
  <c r="W236" i="3"/>
  <c r="W83" i="3"/>
  <c r="W114" i="3"/>
  <c r="W52" i="3"/>
  <c r="W242" i="3"/>
  <c r="W120" i="3"/>
  <c r="W89" i="3"/>
  <c r="W58" i="3"/>
  <c r="Y254" i="3"/>
  <c r="Y132" i="3"/>
  <c r="Y101" i="3"/>
  <c r="Y70" i="3"/>
  <c r="V248" i="3"/>
  <c r="V126" i="3"/>
  <c r="V95" i="3"/>
  <c r="V64" i="3"/>
  <c r="AE237" i="3"/>
  <c r="AE115" i="3"/>
  <c r="AE84" i="3"/>
  <c r="AE53" i="3"/>
  <c r="AK253" i="3"/>
  <c r="AK131" i="3"/>
  <c r="AK100" i="3"/>
  <c r="AK69" i="3"/>
  <c r="AH236" i="3"/>
  <c r="AH83" i="3"/>
  <c r="AH114" i="3"/>
  <c r="AH52" i="3"/>
  <c r="AJ244" i="3"/>
  <c r="AJ122" i="3"/>
  <c r="AJ91" i="3"/>
  <c r="AJ60" i="3"/>
  <c r="AA236" i="3"/>
  <c r="AA114" i="3"/>
  <c r="AA83" i="3"/>
  <c r="AA52" i="3"/>
  <c r="X235" i="3"/>
  <c r="X113" i="3"/>
  <c r="X82" i="3"/>
  <c r="X51" i="3"/>
  <c r="AJ243" i="3"/>
  <c r="AJ90" i="3"/>
  <c r="AJ121" i="3"/>
  <c r="AJ59" i="3"/>
  <c r="X247" i="3"/>
  <c r="X125" i="3"/>
  <c r="X94" i="3"/>
  <c r="X63" i="3"/>
  <c r="X254" i="3"/>
  <c r="X132" i="3"/>
  <c r="X101" i="3"/>
  <c r="X70" i="3"/>
  <c r="X245" i="3"/>
  <c r="X123" i="3"/>
  <c r="X92" i="3"/>
  <c r="X61" i="3"/>
  <c r="AG246" i="3"/>
  <c r="AG93" i="3"/>
  <c r="AG124" i="3"/>
  <c r="AG62" i="3"/>
  <c r="AE247" i="3"/>
  <c r="AE125" i="3"/>
  <c r="AE94" i="3"/>
  <c r="AE63" i="3"/>
  <c r="U240" i="3"/>
  <c r="U118" i="3"/>
  <c r="U87" i="3"/>
  <c r="U56" i="3"/>
  <c r="V252" i="3"/>
  <c r="V99" i="3"/>
  <c r="V130" i="3"/>
  <c r="V68" i="3"/>
  <c r="X237" i="3"/>
  <c r="X115" i="3"/>
  <c r="X84" i="3"/>
  <c r="X53" i="3"/>
  <c r="AH247" i="3"/>
  <c r="AH94" i="3"/>
  <c r="AH125" i="3"/>
  <c r="AH63" i="3"/>
  <c r="V245" i="3"/>
  <c r="V92" i="3"/>
  <c r="V123" i="3"/>
  <c r="V61" i="3"/>
  <c r="X251" i="3"/>
  <c r="X129" i="3"/>
  <c r="X98" i="3"/>
  <c r="X67" i="3"/>
  <c r="W240" i="3"/>
  <c r="W87" i="3"/>
  <c r="W118" i="3"/>
  <c r="W56" i="3"/>
  <c r="AE243" i="3"/>
  <c r="AE90" i="3"/>
  <c r="AE121" i="3"/>
  <c r="AE59" i="3"/>
  <c r="Y247" i="3"/>
  <c r="Y125" i="3"/>
  <c r="Y94" i="3"/>
  <c r="Y63" i="3"/>
  <c r="W251" i="3"/>
  <c r="W129" i="3"/>
  <c r="W98" i="3"/>
  <c r="W67" i="3"/>
  <c r="AJ237" i="3"/>
  <c r="AJ115" i="3"/>
  <c r="AJ84" i="3"/>
  <c r="AJ53" i="3"/>
  <c r="AF253" i="3"/>
  <c r="AF131" i="3"/>
  <c r="AF100" i="3"/>
  <c r="AF69" i="3"/>
  <c r="X256" i="3"/>
  <c r="X103" i="3"/>
  <c r="X134" i="3"/>
  <c r="X72" i="3"/>
  <c r="Y248" i="3"/>
  <c r="Y126" i="3"/>
  <c r="Y95" i="3"/>
  <c r="Y64" i="3"/>
  <c r="AA253" i="3"/>
  <c r="AA131" i="3"/>
  <c r="AA100" i="3"/>
  <c r="AA69" i="3"/>
  <c r="V238" i="3"/>
  <c r="V85" i="3"/>
  <c r="V116" i="3"/>
  <c r="V54" i="3"/>
  <c r="U249" i="3"/>
  <c r="U127" i="3"/>
  <c r="U96" i="3"/>
  <c r="U65" i="3"/>
  <c r="AK244" i="3"/>
  <c r="AK122" i="3"/>
  <c r="AK91" i="3"/>
  <c r="AK60" i="3"/>
  <c r="AH239" i="3"/>
  <c r="AH86" i="3"/>
  <c r="AH117" i="3"/>
  <c r="AH55" i="3"/>
  <c r="AI244" i="3"/>
  <c r="AI91" i="3"/>
  <c r="AI122" i="3"/>
  <c r="AI60" i="3"/>
  <c r="AG251" i="3"/>
  <c r="AG129" i="3"/>
  <c r="AG98" i="3"/>
  <c r="AG67" i="3"/>
  <c r="AE238" i="3"/>
  <c r="AE116" i="3"/>
  <c r="AE85" i="3"/>
  <c r="AE54" i="3"/>
  <c r="AH251" i="3"/>
  <c r="AH129" i="3"/>
  <c r="AH98" i="3"/>
  <c r="AH67" i="3"/>
  <c r="AF243" i="3"/>
  <c r="AF90" i="3"/>
  <c r="AF121" i="3"/>
  <c r="AF59" i="3"/>
  <c r="Y236" i="3"/>
  <c r="Y114" i="3"/>
  <c r="Y83" i="3"/>
  <c r="Y52" i="3"/>
  <c r="V234" i="3"/>
  <c r="V81" i="3"/>
  <c r="V112" i="3"/>
  <c r="V50" i="3"/>
  <c r="AF234" i="3"/>
  <c r="AF112" i="3"/>
  <c r="AF81" i="3"/>
  <c r="AF50" i="3"/>
  <c r="Y255" i="3"/>
  <c r="Y133" i="3"/>
  <c r="Y102" i="3"/>
  <c r="Y71" i="3"/>
  <c r="AI248" i="3"/>
  <c r="AI126" i="3"/>
  <c r="AI95" i="3"/>
  <c r="AI64" i="3"/>
  <c r="AI242" i="3"/>
  <c r="AI120" i="3"/>
  <c r="AI89" i="3"/>
  <c r="AI58" i="3"/>
  <c r="AA250" i="3"/>
  <c r="AA128" i="3"/>
  <c r="AA97" i="3"/>
  <c r="AA66" i="3"/>
  <c r="X244" i="3"/>
  <c r="X122" i="3"/>
  <c r="X91" i="3"/>
  <c r="X60" i="3"/>
  <c r="AF244" i="3"/>
  <c r="AF122" i="3"/>
  <c r="AF91" i="3"/>
  <c r="AF60" i="3"/>
  <c r="AJ235" i="3"/>
  <c r="AJ82" i="3"/>
  <c r="AJ113" i="3"/>
  <c r="AJ51" i="3"/>
  <c r="W246" i="3"/>
  <c r="W124" i="3"/>
  <c r="W93" i="3"/>
  <c r="W62" i="3"/>
  <c r="AI243" i="3"/>
  <c r="AI90" i="3"/>
  <c r="AI121" i="3"/>
  <c r="AI59" i="3"/>
  <c r="W255" i="3"/>
  <c r="W133" i="3"/>
  <c r="W102" i="3"/>
  <c r="W71" i="3"/>
  <c r="AG242" i="3"/>
  <c r="AG89" i="3"/>
  <c r="AG120" i="3"/>
  <c r="AG58" i="3"/>
  <c r="AK236" i="3"/>
  <c r="AK114" i="3"/>
  <c r="AK83" i="3"/>
  <c r="AK52" i="3"/>
  <c r="AH238" i="3"/>
  <c r="AH116" i="3"/>
  <c r="AH85" i="3"/>
  <c r="AH54" i="3"/>
  <c r="AA233" i="3"/>
  <c r="AA80" i="3"/>
  <c r="AA111" i="3"/>
  <c r="AA49" i="3"/>
  <c r="AK237" i="3"/>
  <c r="AK84" i="3"/>
  <c r="AK115" i="3"/>
  <c r="AK53" i="3"/>
  <c r="AG237" i="3"/>
  <c r="AG84" i="3"/>
  <c r="AG115" i="3"/>
  <c r="AG53" i="3"/>
  <c r="AJ239" i="3"/>
  <c r="AJ117" i="3"/>
  <c r="AJ86" i="3"/>
  <c r="AJ55" i="3"/>
  <c r="AA241" i="3"/>
  <c r="AA119" i="3"/>
  <c r="AA88" i="3"/>
  <c r="AA57" i="3"/>
  <c r="Z247" i="3"/>
  <c r="Z125" i="3"/>
  <c r="Z94" i="3"/>
  <c r="Z63" i="3"/>
  <c r="W237" i="3"/>
  <c r="W84" i="3"/>
  <c r="W115" i="3"/>
  <c r="W53" i="3"/>
  <c r="W235" i="3"/>
  <c r="W113" i="3"/>
  <c r="W82" i="3"/>
  <c r="W51" i="3"/>
  <c r="AH252" i="3"/>
  <c r="AH99" i="3"/>
  <c r="AH130" i="3"/>
  <c r="AH68" i="3"/>
  <c r="AF248" i="3"/>
  <c r="AF95" i="3"/>
  <c r="AF126" i="3"/>
  <c r="AF64" i="3"/>
  <c r="V242" i="3"/>
  <c r="V120" i="3"/>
  <c r="V89" i="3"/>
  <c r="V58" i="3"/>
  <c r="X250" i="3"/>
  <c r="X128" i="3"/>
  <c r="X97" i="3"/>
  <c r="X66" i="3"/>
  <c r="X238" i="3"/>
  <c r="X85" i="3"/>
  <c r="X116" i="3"/>
  <c r="X54" i="3"/>
  <c r="AK251" i="3"/>
  <c r="AK98" i="3"/>
  <c r="AK129" i="3"/>
  <c r="AK67" i="3"/>
  <c r="AG243" i="3"/>
  <c r="AG90" i="3"/>
  <c r="AG121" i="3"/>
  <c r="AG59" i="3"/>
  <c r="AK235" i="3"/>
  <c r="AK113" i="3"/>
  <c r="AK82" i="3"/>
  <c r="AK51" i="3"/>
  <c r="AK250" i="3"/>
  <c r="AK128" i="3"/>
  <c r="AK97" i="3"/>
  <c r="AK66" i="3"/>
  <c r="AK249" i="3"/>
  <c r="AK127" i="3"/>
  <c r="AK96" i="3"/>
  <c r="AK65" i="3"/>
  <c r="AF249" i="3"/>
  <c r="AF127" i="3"/>
  <c r="AF96" i="3"/>
  <c r="AF65" i="3"/>
  <c r="AA237" i="3"/>
  <c r="AA115" i="3"/>
  <c r="AA84" i="3"/>
  <c r="AA53" i="3"/>
  <c r="AK248" i="3"/>
  <c r="AK95" i="3"/>
  <c r="AK126" i="3"/>
  <c r="AK64" i="3"/>
  <c r="AA251" i="3"/>
  <c r="AA129" i="3"/>
  <c r="AA98" i="3"/>
  <c r="AA67" i="3"/>
  <c r="X234" i="3"/>
  <c r="X112" i="3"/>
  <c r="X81" i="3"/>
  <c r="X50" i="3"/>
  <c r="U235" i="3"/>
  <c r="U82" i="3"/>
  <c r="U113" i="3"/>
  <c r="U51" i="3"/>
  <c r="AG240" i="3"/>
  <c r="AG118" i="3"/>
  <c r="AG87" i="3"/>
  <c r="AG56" i="3"/>
  <c r="Y244" i="3"/>
  <c r="Y122" i="3"/>
  <c r="Y91" i="3"/>
  <c r="Y60" i="3"/>
  <c r="AG244" i="3"/>
  <c r="AG122" i="3"/>
  <c r="AG91" i="3"/>
  <c r="AG60" i="3"/>
  <c r="W244" i="3"/>
  <c r="W122" i="3"/>
  <c r="W91" i="3"/>
  <c r="W60" i="3"/>
  <c r="AK243" i="3"/>
  <c r="AK121" i="3"/>
  <c r="AK90" i="3"/>
  <c r="AK59" i="3"/>
  <c r="Y239" i="3"/>
  <c r="Y86" i="3"/>
  <c r="Y117" i="3"/>
  <c r="Y55" i="3"/>
  <c r="AE246" i="3"/>
  <c r="AE93" i="3"/>
  <c r="AE124" i="3"/>
  <c r="AE62" i="3"/>
  <c r="AF246" i="3"/>
  <c r="AF93" i="3"/>
  <c r="AF124" i="3"/>
  <c r="AF62" i="3"/>
  <c r="AI251" i="3"/>
  <c r="AI129" i="3"/>
  <c r="AI98" i="3"/>
  <c r="AI67" i="3"/>
  <c r="AH246" i="3"/>
  <c r="AH124" i="3"/>
  <c r="AH93" i="3"/>
  <c r="AH62" i="3"/>
  <c r="V233" i="3"/>
  <c r="V111" i="3"/>
  <c r="V80" i="3"/>
  <c r="V49" i="3"/>
  <c r="AK255" i="3"/>
  <c r="AK133" i="3"/>
  <c r="AK102" i="3"/>
  <c r="AK71" i="3"/>
  <c r="AA238" i="3"/>
  <c r="AA116" i="3"/>
  <c r="AA85" i="3"/>
  <c r="AA54" i="3"/>
  <c r="AI254" i="3"/>
  <c r="AI101" i="3"/>
  <c r="AI132" i="3"/>
  <c r="AI70" i="3"/>
  <c r="AI255" i="3"/>
  <c r="AI133" i="3"/>
  <c r="AI102" i="3"/>
  <c r="AI71" i="3"/>
  <c r="AE245" i="3"/>
  <c r="AE123" i="3"/>
  <c r="AE92" i="3"/>
  <c r="AE61" i="3"/>
  <c r="AH242" i="3"/>
  <c r="AH120" i="3"/>
  <c r="AH89" i="3"/>
  <c r="AH58" i="3"/>
  <c r="AG247" i="3"/>
  <c r="AG125" i="3"/>
  <c r="AG94" i="3"/>
  <c r="AG63" i="3"/>
  <c r="AJ254" i="3"/>
  <c r="AJ132" i="3"/>
  <c r="AJ101" i="3"/>
  <c r="AJ70" i="3"/>
  <c r="Z246" i="3"/>
  <c r="Z124" i="3"/>
  <c r="Z93" i="3"/>
  <c r="Z62" i="3"/>
  <c r="Y252" i="3"/>
  <c r="Y130" i="3"/>
  <c r="Y99" i="3"/>
  <c r="Y68" i="3"/>
  <c r="V236" i="3"/>
  <c r="V114" i="3"/>
  <c r="V83" i="3"/>
  <c r="V52" i="3"/>
  <c r="AK240" i="3"/>
  <c r="AK87" i="3"/>
  <c r="AK118" i="3"/>
  <c r="AK56" i="3"/>
  <c r="Y233" i="3"/>
  <c r="Y111" i="3"/>
  <c r="Y80" i="3"/>
  <c r="Y49" i="3"/>
  <c r="Y256" i="3"/>
  <c r="Y103" i="3"/>
  <c r="Y134" i="3"/>
  <c r="Y72" i="3"/>
  <c r="Y243" i="3"/>
  <c r="Y90" i="3"/>
  <c r="Y121" i="3"/>
  <c r="Y59" i="3"/>
  <c r="V235" i="3"/>
  <c r="V82" i="3"/>
  <c r="V113" i="3"/>
  <c r="V51" i="3"/>
  <c r="Z245" i="3"/>
  <c r="Z123" i="3"/>
  <c r="Z92" i="3"/>
  <c r="Z61" i="3"/>
  <c r="V255" i="3"/>
  <c r="V102" i="3"/>
  <c r="V133" i="3"/>
  <c r="V71" i="3"/>
  <c r="AE254" i="3"/>
  <c r="AE132" i="3"/>
  <c r="AE101" i="3"/>
  <c r="AE70" i="3"/>
  <c r="AK252" i="3"/>
  <c r="AK130" i="3"/>
  <c r="AK99" i="3"/>
  <c r="AK68" i="3"/>
  <c r="AE252" i="3"/>
  <c r="AE130" i="3"/>
  <c r="AE99" i="3"/>
  <c r="AE68" i="3"/>
  <c r="U245" i="3"/>
  <c r="U123" i="3"/>
  <c r="U92" i="3"/>
  <c r="U61" i="3"/>
  <c r="AA242" i="3"/>
  <c r="AA120" i="3"/>
  <c r="AA89" i="3"/>
  <c r="AA58" i="3"/>
  <c r="V41" i="10"/>
  <c r="AF240" i="3"/>
  <c r="AF118" i="3"/>
  <c r="AF87" i="3"/>
  <c r="AF56" i="3"/>
  <c r="AA235" i="3"/>
  <c r="AA113" i="3"/>
  <c r="AA82" i="3"/>
  <c r="AA51" i="3"/>
  <c r="AK247" i="3"/>
  <c r="AK94" i="3"/>
  <c r="AK125" i="3"/>
  <c r="AK63" i="3"/>
  <c r="W247" i="3"/>
  <c r="W94" i="3"/>
  <c r="W125" i="3"/>
  <c r="W63" i="3"/>
  <c r="AH233" i="3"/>
  <c r="AH80" i="3"/>
  <c r="AH111" i="3"/>
  <c r="AH49" i="3"/>
  <c r="AG248" i="3"/>
  <c r="AG126" i="3"/>
  <c r="AG95" i="3"/>
  <c r="AG64" i="3"/>
  <c r="AG233" i="3"/>
  <c r="AG111" i="3"/>
  <c r="AG80" i="3"/>
  <c r="AG49" i="3"/>
  <c r="AE235" i="3"/>
  <c r="AE82" i="3"/>
  <c r="AE113" i="3"/>
  <c r="AE51" i="3"/>
  <c r="W256" i="3"/>
  <c r="W134" i="3"/>
  <c r="W103" i="3"/>
  <c r="W72" i="3"/>
  <c r="AK256" i="3"/>
  <c r="AK134" i="3"/>
  <c r="AK103" i="3"/>
  <c r="AK72" i="3"/>
  <c r="AF238" i="3"/>
  <c r="AF85" i="3"/>
  <c r="AF116" i="3"/>
  <c r="AF54" i="3"/>
  <c r="AK246" i="3"/>
  <c r="AK124" i="3"/>
  <c r="AK93" i="3"/>
  <c r="AK62" i="3"/>
  <c r="Z252" i="3"/>
  <c r="Z130" i="3"/>
  <c r="Z99" i="3"/>
  <c r="Z68" i="3"/>
  <c r="AA255" i="3"/>
  <c r="AA133" i="3"/>
  <c r="AA102" i="3"/>
  <c r="AA71" i="3"/>
  <c r="U238" i="3"/>
  <c r="U85" i="3"/>
  <c r="U116" i="3"/>
  <c r="U54" i="3"/>
  <c r="X246" i="3"/>
  <c r="X124" i="3"/>
  <c r="X93" i="3"/>
  <c r="X62" i="3"/>
  <c r="X243" i="3"/>
  <c r="X90" i="3"/>
  <c r="X121" i="3"/>
  <c r="X59" i="3"/>
  <c r="AE248" i="3"/>
  <c r="AE126" i="3"/>
  <c r="AE95" i="3"/>
  <c r="AE64" i="3"/>
  <c r="W253" i="3"/>
  <c r="W100" i="3"/>
  <c r="W131" i="3"/>
  <c r="W69" i="3"/>
  <c r="AE241" i="3"/>
  <c r="AE88" i="3"/>
  <c r="AE119" i="3"/>
  <c r="AE57" i="3"/>
  <c r="V247" i="3"/>
  <c r="V125" i="3"/>
  <c r="V94" i="3"/>
  <c r="V63" i="3"/>
  <c r="AE233" i="3"/>
  <c r="AE80" i="3"/>
  <c r="AE111" i="3"/>
  <c r="AE49" i="3"/>
  <c r="AI252" i="3"/>
  <c r="AI130" i="3"/>
  <c r="AI99" i="3"/>
  <c r="AI68" i="3"/>
  <c r="AI253" i="3"/>
  <c r="AI100" i="3"/>
  <c r="AI131" i="3"/>
  <c r="AI69" i="3"/>
  <c r="Z256" i="3"/>
  <c r="Z134" i="3"/>
  <c r="Z103" i="3"/>
  <c r="Z72" i="3"/>
  <c r="X233" i="3"/>
  <c r="X80" i="3"/>
  <c r="X111" i="3"/>
  <c r="X49" i="3"/>
  <c r="W248" i="3"/>
  <c r="W126" i="3"/>
  <c r="W95" i="3"/>
  <c r="W64" i="3"/>
  <c r="AI241" i="3"/>
  <c r="AI119" i="3"/>
  <c r="AI88" i="3"/>
  <c r="AI57" i="3"/>
  <c r="AE256" i="3"/>
  <c r="AE134" i="3"/>
  <c r="AE103" i="3"/>
  <c r="AE72" i="3"/>
  <c r="AE250" i="3"/>
  <c r="AE97" i="3"/>
  <c r="AE128" i="3"/>
  <c r="AE66" i="3"/>
  <c r="V256" i="3"/>
  <c r="V103" i="3"/>
  <c r="V134" i="3"/>
  <c r="V72" i="3"/>
  <c r="AE242" i="3"/>
  <c r="AE89" i="3"/>
  <c r="AE120" i="3"/>
  <c r="AE58" i="3"/>
  <c r="AI233" i="3"/>
  <c r="AI111" i="3"/>
  <c r="AI80" i="3"/>
  <c r="AI49" i="3"/>
  <c r="W233" i="3"/>
  <c r="W80" i="3"/>
  <c r="W111" i="3"/>
  <c r="W49" i="3"/>
  <c r="V241" i="3"/>
  <c r="V119" i="3"/>
  <c r="V88" i="3"/>
  <c r="V57" i="3"/>
  <c r="AI256" i="3"/>
  <c r="AI103" i="3"/>
  <c r="AI134" i="3"/>
  <c r="AI72" i="3"/>
  <c r="AE240" i="3"/>
  <c r="AE118" i="3"/>
  <c r="AE87" i="3"/>
  <c r="AE56" i="3"/>
  <c r="AF250" i="3"/>
  <c r="AF128" i="3"/>
  <c r="AF97" i="3"/>
  <c r="AF66" i="3"/>
  <c r="AJ238" i="3"/>
  <c r="AJ116" i="3"/>
  <c r="AJ85" i="3"/>
  <c r="AJ54" i="3"/>
  <c r="AG245" i="3"/>
  <c r="AG92" i="3"/>
  <c r="AG123" i="3"/>
  <c r="AG61" i="3"/>
  <c r="Z251" i="3"/>
  <c r="Z129" i="3"/>
  <c r="Z98" i="3"/>
  <c r="Z67" i="3"/>
  <c r="V244" i="3"/>
  <c r="V91" i="3"/>
  <c r="V122" i="3"/>
  <c r="V60" i="3"/>
  <c r="AK242" i="3"/>
  <c r="AK89" i="3"/>
  <c r="AK120" i="3"/>
  <c r="AK58" i="3"/>
  <c r="Z241" i="3"/>
  <c r="Z119" i="3"/>
  <c r="Z88" i="3"/>
  <c r="Z57" i="3"/>
  <c r="AJ256" i="3"/>
  <c r="AJ134" i="3"/>
  <c r="AJ103" i="3"/>
  <c r="AJ72" i="3"/>
  <c r="AG236" i="3"/>
  <c r="AG114" i="3"/>
  <c r="AG83" i="3"/>
  <c r="AG52" i="3"/>
  <c r="V253" i="3"/>
  <c r="V100" i="3"/>
  <c r="V131" i="3"/>
  <c r="V69" i="3"/>
  <c r="U252" i="3"/>
  <c r="U99" i="3"/>
  <c r="U130" i="3"/>
  <c r="U68" i="3"/>
  <c r="AE234" i="3"/>
  <c r="AE112" i="3"/>
  <c r="AE81" i="3"/>
  <c r="AE50" i="3"/>
  <c r="U239" i="3"/>
  <c r="U117" i="3"/>
  <c r="U86" i="3"/>
  <c r="U55" i="3"/>
  <c r="AG250" i="3"/>
  <c r="AG128" i="3"/>
  <c r="AG97" i="3"/>
  <c r="AG66" i="3"/>
  <c r="AJ247" i="3"/>
  <c r="AJ125" i="3"/>
  <c r="AJ94" i="3"/>
  <c r="AJ63" i="3"/>
  <c r="W252" i="3"/>
  <c r="W130" i="3"/>
  <c r="W99" i="3"/>
  <c r="W68" i="3"/>
  <c r="Y242" i="3"/>
  <c r="Y120" i="3"/>
  <c r="Y89" i="3"/>
  <c r="Y58" i="3"/>
  <c r="Z239" i="3"/>
  <c r="Z117" i="3"/>
  <c r="Z86" i="3"/>
  <c r="Z55" i="3"/>
  <c r="AI249" i="3"/>
  <c r="AI127" i="3"/>
  <c r="AI96" i="3"/>
  <c r="AI65" i="3"/>
  <c r="U237" i="3"/>
  <c r="U115" i="3"/>
  <c r="U84" i="3"/>
  <c r="U53" i="3"/>
  <c r="AH234" i="3"/>
  <c r="AH112" i="3"/>
  <c r="AH81" i="3"/>
  <c r="AH50" i="3"/>
  <c r="V246" i="3"/>
  <c r="V93" i="3"/>
  <c r="V124" i="3"/>
  <c r="V62" i="3"/>
  <c r="X242" i="3"/>
  <c r="X120" i="3"/>
  <c r="X89" i="3"/>
  <c r="X58" i="3"/>
  <c r="AJ242" i="3"/>
  <c r="AJ120" i="3"/>
  <c r="AJ89" i="3"/>
  <c r="AJ58" i="3"/>
  <c r="AF254" i="3"/>
  <c r="AF132" i="3"/>
  <c r="AF101" i="3"/>
  <c r="AF70" i="3"/>
  <c r="AK238" i="3"/>
  <c r="AK116" i="3"/>
  <c r="AK85" i="3"/>
  <c r="AK54" i="3"/>
  <c r="Z243" i="3"/>
  <c r="Z121" i="3"/>
  <c r="Z90" i="3"/>
  <c r="Z59" i="3"/>
  <c r="AA247" i="3"/>
  <c r="AA125" i="3"/>
  <c r="AA94" i="3"/>
  <c r="AA63" i="3"/>
  <c r="V237" i="3"/>
  <c r="V115" i="3"/>
  <c r="V84" i="3"/>
  <c r="V53" i="3"/>
  <c r="AH241" i="3"/>
  <c r="AH119" i="3"/>
  <c r="AH88" i="3"/>
  <c r="AH57" i="3"/>
  <c r="X255" i="3"/>
  <c r="X133" i="3"/>
  <c r="X102" i="3"/>
  <c r="X71" i="3"/>
  <c r="V254" i="3"/>
  <c r="V132" i="3"/>
  <c r="V101" i="3"/>
  <c r="V70" i="3"/>
  <c r="Y246" i="3"/>
  <c r="Y124" i="3"/>
  <c r="Y93" i="3"/>
  <c r="Y62" i="3"/>
  <c r="U254" i="3"/>
  <c r="U132" i="3"/>
  <c r="U101" i="3"/>
  <c r="U70" i="3"/>
  <c r="U241" i="3"/>
  <c r="U88" i="3"/>
  <c r="U119" i="3"/>
  <c r="U57" i="3"/>
  <c r="AA256" i="3"/>
  <c r="AA134" i="3"/>
  <c r="AA103" i="3"/>
  <c r="AA72" i="3"/>
  <c r="AH255" i="3"/>
  <c r="AH133" i="3"/>
  <c r="AH102" i="3"/>
  <c r="AH71" i="3"/>
  <c r="AI235" i="3"/>
  <c r="AI82" i="3"/>
  <c r="AI113" i="3"/>
  <c r="AI51" i="3"/>
  <c r="Z242" i="3"/>
  <c r="Z120" i="3"/>
  <c r="Z89" i="3"/>
  <c r="Z58" i="3"/>
  <c r="W249" i="3"/>
  <c r="W127" i="3"/>
  <c r="W96" i="3"/>
  <c r="W65" i="3"/>
  <c r="Z249" i="3"/>
  <c r="Z127" i="3"/>
  <c r="Z96" i="3"/>
  <c r="Z65" i="3"/>
  <c r="AJ236" i="3"/>
  <c r="AJ83" i="3"/>
  <c r="AJ114" i="3"/>
  <c r="AJ52" i="3"/>
  <c r="AF255" i="3"/>
  <c r="AF133" i="3"/>
  <c r="AF102" i="3"/>
  <c r="AF71" i="3"/>
  <c r="AG256" i="3"/>
  <c r="AG134" i="3"/>
  <c r="AG103" i="3"/>
  <c r="AG72" i="3"/>
  <c r="AF256" i="3"/>
  <c r="AF134" i="3"/>
  <c r="AF103" i="3"/>
  <c r="AF72" i="3"/>
  <c r="X240" i="3"/>
  <c r="X118" i="3"/>
  <c r="X87" i="3"/>
  <c r="X56" i="3"/>
  <c r="AH237" i="3"/>
  <c r="AH115" i="3"/>
  <c r="AH84" i="3"/>
  <c r="AH53" i="3"/>
  <c r="AF235" i="3"/>
  <c r="AF82" i="3"/>
  <c r="AF113" i="3"/>
  <c r="AF51" i="3"/>
  <c r="AI238" i="3"/>
  <c r="AI85" i="3"/>
  <c r="AI116" i="3"/>
  <c r="AI54" i="3"/>
  <c r="AE253" i="3"/>
  <c r="AE131" i="3"/>
  <c r="AE100" i="3"/>
  <c r="AE69" i="3"/>
  <c r="AF239" i="3"/>
  <c r="AF117" i="3"/>
  <c r="AF86" i="3"/>
  <c r="AF55" i="3"/>
  <c r="U251" i="3"/>
  <c r="U129" i="3"/>
  <c r="U98" i="3"/>
  <c r="U67" i="3"/>
  <c r="AH250" i="3"/>
  <c r="AH97" i="3"/>
  <c r="AH128" i="3"/>
  <c r="AH66" i="3"/>
  <c r="W245" i="3"/>
  <c r="W123" i="3"/>
  <c r="W92" i="3"/>
  <c r="W61" i="3"/>
  <c r="U248" i="3"/>
  <c r="U126" i="3"/>
  <c r="U95" i="3"/>
  <c r="U64" i="3"/>
  <c r="X239" i="3"/>
  <c r="X117" i="3"/>
  <c r="X86" i="3"/>
  <c r="X55" i="3"/>
  <c r="X236" i="3"/>
  <c r="X83" i="3"/>
  <c r="X114" i="3"/>
  <c r="X52" i="3"/>
  <c r="AF237" i="3"/>
  <c r="AF115" i="3"/>
  <c r="AF84" i="3"/>
  <c r="AF53" i="3"/>
  <c r="AF233" i="3"/>
  <c r="AF111" i="3"/>
  <c r="AF80" i="3"/>
  <c r="AF49" i="3"/>
  <c r="AI234" i="3"/>
  <c r="AI112" i="3"/>
  <c r="AI81" i="3"/>
  <c r="AI50" i="3"/>
  <c r="W243" i="3"/>
  <c r="W121" i="3"/>
  <c r="W90" i="3"/>
  <c r="W59" i="3"/>
  <c r="W250" i="3"/>
  <c r="W128" i="3"/>
  <c r="W97" i="3"/>
  <c r="W66" i="3"/>
  <c r="U234" i="3"/>
  <c r="U112" i="3"/>
  <c r="U81" i="3"/>
  <c r="U50" i="3"/>
  <c r="AG249" i="3"/>
  <c r="AG127" i="3"/>
  <c r="AG96" i="3"/>
  <c r="AG65" i="3"/>
  <c r="Z255" i="3"/>
  <c r="Z133" i="3"/>
  <c r="Z102" i="3"/>
  <c r="Z71" i="3"/>
  <c r="U246" i="3"/>
  <c r="U124" i="3"/>
  <c r="U93" i="3"/>
  <c r="U62" i="3"/>
  <c r="Z250" i="3"/>
  <c r="Z128" i="3"/>
  <c r="Z97" i="3"/>
  <c r="Z66" i="3"/>
  <c r="AJ233" i="3"/>
  <c r="AJ80" i="3"/>
  <c r="AJ111" i="3"/>
  <c r="AJ49" i="3"/>
  <c r="AF247" i="3"/>
  <c r="AF94" i="3"/>
  <c r="AF125" i="3"/>
  <c r="AF63" i="3"/>
  <c r="AH248" i="3"/>
  <c r="AH95" i="3"/>
  <c r="AH126" i="3"/>
  <c r="AH64" i="3"/>
  <c r="U255" i="3"/>
  <c r="U102" i="3"/>
  <c r="U133" i="3"/>
  <c r="U71" i="3"/>
  <c r="AF245" i="3"/>
  <c r="AF92" i="3"/>
  <c r="AF123" i="3"/>
  <c r="AF61" i="3"/>
  <c r="Y240" i="3"/>
  <c r="Y87" i="3"/>
  <c r="Y118" i="3"/>
  <c r="Y56" i="3"/>
  <c r="X252" i="3"/>
  <c r="X130" i="3"/>
  <c r="X99" i="3"/>
  <c r="X68" i="3"/>
  <c r="AJ251" i="3"/>
  <c r="AJ129" i="3"/>
  <c r="AJ98" i="3"/>
  <c r="AJ67" i="3"/>
  <c r="AE239" i="3"/>
  <c r="AE117" i="3"/>
  <c r="AE86" i="3"/>
  <c r="AE55" i="3"/>
  <c r="Z253" i="3"/>
  <c r="Z131" i="3"/>
  <c r="Z100" i="3"/>
  <c r="Z69" i="3"/>
  <c r="Z234" i="3"/>
  <c r="Z81" i="3"/>
  <c r="Z112" i="3"/>
  <c r="Z50" i="3"/>
  <c r="AA239" i="3"/>
  <c r="AA117" i="3"/>
  <c r="AA86" i="3"/>
  <c r="AA55" i="3"/>
  <c r="Y235" i="3"/>
  <c r="Y82" i="3"/>
  <c r="Y113" i="3"/>
  <c r="Y51" i="3"/>
  <c r="Y241" i="3"/>
  <c r="Y88" i="3"/>
  <c r="Y119" i="3"/>
  <c r="Y57" i="3"/>
  <c r="V250" i="3"/>
  <c r="V97" i="3"/>
  <c r="V128" i="3"/>
  <c r="V66" i="3"/>
  <c r="X253" i="3"/>
  <c r="X131" i="3"/>
  <c r="X100" i="3"/>
  <c r="X69" i="3"/>
  <c r="AI240" i="3"/>
  <c r="AI87" i="3"/>
  <c r="AI118" i="3"/>
  <c r="AI56" i="3"/>
  <c r="Y237" i="3"/>
  <c r="Y115" i="3"/>
  <c r="Y84" i="3"/>
  <c r="Y53" i="3"/>
  <c r="AG235" i="3"/>
  <c r="AG113" i="3"/>
  <c r="AG82" i="3"/>
  <c r="AG51" i="3"/>
  <c r="W241" i="3"/>
  <c r="W88" i="3"/>
  <c r="W119" i="3"/>
  <c r="W57" i="3"/>
  <c r="AG252" i="3"/>
  <c r="AG99" i="3"/>
  <c r="AG130" i="3"/>
  <c r="AG68" i="3"/>
  <c r="AJ249" i="3"/>
  <c r="AJ127" i="3"/>
  <c r="AJ96" i="3"/>
  <c r="AJ65" i="3"/>
  <c r="AA254" i="3"/>
  <c r="AA101" i="3"/>
  <c r="AA132" i="3"/>
  <c r="AA70" i="3"/>
  <c r="Z238" i="3"/>
  <c r="Z116" i="3"/>
  <c r="Z85" i="3"/>
  <c r="Z54" i="3"/>
  <c r="Z237" i="3"/>
  <c r="Z84" i="3"/>
  <c r="Z115" i="3"/>
  <c r="Z53" i="3"/>
  <c r="U256" i="3"/>
  <c r="U103" i="3"/>
  <c r="U134" i="3"/>
  <c r="U72" i="3"/>
  <c r="AG254" i="3"/>
  <c r="AG132" i="3"/>
  <c r="AG101" i="3"/>
  <c r="AG70" i="3"/>
  <c r="AJ245" i="3"/>
  <c r="AJ123" i="3"/>
  <c r="AJ92" i="3"/>
  <c r="AJ61" i="3"/>
  <c r="AG255" i="3"/>
  <c r="AG133" i="3"/>
  <c r="AG102" i="3"/>
  <c r="AG71" i="3"/>
  <c r="U236" i="3"/>
  <c r="U83" i="3"/>
  <c r="U114" i="3"/>
  <c r="U52" i="3"/>
  <c r="W234" i="3"/>
  <c r="W112" i="3"/>
  <c r="W50" i="3"/>
  <c r="W81" i="3"/>
  <c r="AI239" i="3"/>
  <c r="AI117" i="3"/>
  <c r="AI86" i="3"/>
  <c r="AI55" i="3"/>
  <c r="Y238" i="3"/>
  <c r="Y85" i="3"/>
  <c r="Y116" i="3"/>
  <c r="Y54" i="3"/>
  <c r="U253" i="3"/>
  <c r="U131" i="3"/>
  <c r="U100" i="3"/>
  <c r="U69" i="3"/>
  <c r="AG238" i="3"/>
  <c r="AG116" i="3"/>
  <c r="AG85" i="3"/>
  <c r="AG54" i="3"/>
  <c r="AE251" i="3"/>
  <c r="AE129" i="3"/>
  <c r="AE98" i="3"/>
  <c r="AE67" i="3"/>
  <c r="AE244" i="3"/>
  <c r="AE91" i="3"/>
  <c r="AE122" i="3"/>
  <c r="AE60" i="3"/>
  <c r="AK245" i="3"/>
  <c r="AK92" i="3"/>
  <c r="AK123" i="3"/>
  <c r="AK61" i="3"/>
  <c r="AI245" i="3"/>
  <c r="AI123" i="3"/>
  <c r="AI92" i="3"/>
  <c r="AI61" i="3"/>
  <c r="Z233" i="3"/>
  <c r="Z80" i="3"/>
  <c r="Z111" i="3"/>
  <c r="Z49" i="3"/>
  <c r="Z254" i="3"/>
  <c r="Z132" i="3"/>
  <c r="Z101" i="3"/>
  <c r="Z70" i="3"/>
  <c r="AI236" i="3"/>
  <c r="AI83" i="3"/>
  <c r="AI114" i="3"/>
  <c r="AI52" i="3"/>
  <c r="AE236" i="3"/>
  <c r="AE114" i="3"/>
  <c r="AE83" i="3"/>
  <c r="AE52" i="3"/>
  <c r="U233" i="3"/>
  <c r="U80" i="3"/>
  <c r="U111" i="3"/>
  <c r="U49" i="3"/>
  <c r="Z240" i="3"/>
  <c r="Z118" i="3"/>
  <c r="Z87" i="3"/>
  <c r="Z56" i="3"/>
  <c r="X249" i="3"/>
  <c r="X127" i="3"/>
  <c r="X96" i="3"/>
  <c r="X65" i="3"/>
  <c r="AI250" i="3"/>
  <c r="AI128" i="3"/>
  <c r="AI97" i="3"/>
  <c r="AI66" i="3"/>
  <c r="U242" i="3"/>
  <c r="U120" i="3"/>
  <c r="U89" i="3"/>
  <c r="U58" i="3"/>
  <c r="V251" i="3"/>
  <c r="V129" i="3"/>
  <c r="V98" i="3"/>
  <c r="V67" i="3"/>
  <c r="AP32" i="10"/>
  <c r="AO40" i="10"/>
  <c r="AO39" i="10"/>
  <c r="AO38" i="10"/>
  <c r="AO37" i="10"/>
  <c r="AH41" i="10"/>
  <c r="AE41" i="10"/>
  <c r="AN37" i="10"/>
  <c r="AN40" i="10"/>
  <c r="AN38" i="10"/>
  <c r="AN39" i="10"/>
  <c r="AB41" i="10"/>
  <c r="AK41" i="10"/>
  <c r="P32" i="10"/>
  <c r="H32" i="10"/>
  <c r="P33" i="10"/>
  <c r="AL91" i="3" l="1"/>
  <c r="AB120" i="3"/>
  <c r="AL129" i="3"/>
  <c r="AL122" i="3"/>
  <c r="AL244" i="3"/>
  <c r="AB246" i="3"/>
  <c r="AL253" i="3"/>
  <c r="AB95" i="3"/>
  <c r="AB236" i="3"/>
  <c r="AB255" i="3"/>
  <c r="AB131" i="3"/>
  <c r="AB242" i="3"/>
  <c r="AL251" i="3"/>
  <c r="AL117" i="3"/>
  <c r="AB124" i="3"/>
  <c r="AL236" i="3"/>
  <c r="AL239" i="3"/>
  <c r="AJ257" i="3"/>
  <c r="AB123" i="3"/>
  <c r="AB114" i="3"/>
  <c r="AB134" i="3"/>
  <c r="AB133" i="3"/>
  <c r="AB81" i="3"/>
  <c r="AF104" i="3"/>
  <c r="AB130" i="3"/>
  <c r="AL120" i="3"/>
  <c r="AL119" i="3"/>
  <c r="Z135" i="3"/>
  <c r="AB83" i="3"/>
  <c r="AB126" i="3"/>
  <c r="AB89" i="3"/>
  <c r="AL98" i="3"/>
  <c r="AB100" i="3"/>
  <c r="AL100" i="3"/>
  <c r="AF223" i="3"/>
  <c r="M192" i="3" s="1"/>
  <c r="AH192" i="3" s="1"/>
  <c r="AF163" i="3"/>
  <c r="M39" i="3" s="1"/>
  <c r="AH39" i="3" s="1"/>
  <c r="Y202" i="3"/>
  <c r="Y142" i="3"/>
  <c r="F18" i="3" s="1"/>
  <c r="AB254" i="3"/>
  <c r="AB237" i="3"/>
  <c r="V218" i="3"/>
  <c r="C187" i="3" s="1"/>
  <c r="X187" i="3" s="1"/>
  <c r="V158" i="3"/>
  <c r="C34" i="3" s="1"/>
  <c r="X34" i="3" s="1"/>
  <c r="Y224" i="3"/>
  <c r="F193" i="3" s="1"/>
  <c r="AA193" i="3" s="1"/>
  <c r="Y164" i="3"/>
  <c r="F40" i="3" s="1"/>
  <c r="AA40" i="3" s="1"/>
  <c r="AI220" i="3"/>
  <c r="P189" i="3" s="1"/>
  <c r="AK189" i="3" s="1"/>
  <c r="AI160" i="3"/>
  <c r="P36" i="3" s="1"/>
  <c r="AK36" i="3" s="1"/>
  <c r="AB251" i="3"/>
  <c r="V204" i="3"/>
  <c r="C173" i="3" s="1"/>
  <c r="X173" i="3" s="1"/>
  <c r="V144" i="3"/>
  <c r="C20" i="3" s="1"/>
  <c r="X20" i="3" s="1"/>
  <c r="Y217" i="3"/>
  <c r="F186" i="3" s="1"/>
  <c r="AA186" i="3" s="1"/>
  <c r="Y157" i="3"/>
  <c r="F33" i="3" s="1"/>
  <c r="AA33" i="3" s="1"/>
  <c r="V221" i="3"/>
  <c r="C190" i="3" s="1"/>
  <c r="X190" i="3" s="1"/>
  <c r="V161" i="3"/>
  <c r="C37" i="3" s="1"/>
  <c r="X37" i="3" s="1"/>
  <c r="AI214" i="3"/>
  <c r="P183" i="3" s="1"/>
  <c r="AK183" i="3" s="1"/>
  <c r="AI154" i="3"/>
  <c r="P30" i="3" s="1"/>
  <c r="AK30" i="3" s="1"/>
  <c r="V208" i="3"/>
  <c r="C177" i="3" s="1"/>
  <c r="X177" i="3" s="1"/>
  <c r="V148" i="3"/>
  <c r="C24" i="3" s="1"/>
  <c r="X24" i="3" s="1"/>
  <c r="AF218" i="3"/>
  <c r="M187" i="3" s="1"/>
  <c r="AH187" i="3" s="1"/>
  <c r="AF158" i="3"/>
  <c r="M34" i="3" s="1"/>
  <c r="AH34" i="3" s="1"/>
  <c r="AI210" i="3"/>
  <c r="P179" i="3" s="1"/>
  <c r="AK179" i="3" s="1"/>
  <c r="AI150" i="3"/>
  <c r="P26" i="3" s="1"/>
  <c r="AK26" i="3" s="1"/>
  <c r="W212" i="3"/>
  <c r="D181" i="3" s="1"/>
  <c r="Y181" i="3" s="1"/>
  <c r="W152" i="3"/>
  <c r="D28" i="3" s="1"/>
  <c r="Y28" i="3" s="1"/>
  <c r="AI257" i="3"/>
  <c r="AF221" i="3"/>
  <c r="M190" i="3" s="1"/>
  <c r="AH190" i="3" s="1"/>
  <c r="AF161" i="3"/>
  <c r="M37" i="3" s="1"/>
  <c r="AH37" i="3" s="1"/>
  <c r="V224" i="3"/>
  <c r="C193" i="3" s="1"/>
  <c r="X193" i="3" s="1"/>
  <c r="V164" i="3"/>
  <c r="C40" i="3" s="1"/>
  <c r="X40" i="3" s="1"/>
  <c r="V216" i="3"/>
  <c r="C185" i="3" s="1"/>
  <c r="X185" i="3" s="1"/>
  <c r="V156" i="3"/>
  <c r="C32" i="3" s="1"/>
  <c r="X32" i="3" s="1"/>
  <c r="V220" i="3"/>
  <c r="C189" i="3" s="1"/>
  <c r="X189" i="3" s="1"/>
  <c r="V160" i="3"/>
  <c r="C36" i="3" s="1"/>
  <c r="X36" i="3" s="1"/>
  <c r="V225" i="3"/>
  <c r="C194" i="3" s="1"/>
  <c r="X194" i="3" s="1"/>
  <c r="V165" i="3"/>
  <c r="C41" i="3" s="1"/>
  <c r="X41" i="3" s="1"/>
  <c r="AF222" i="3"/>
  <c r="M191" i="3" s="1"/>
  <c r="AH191" i="3" s="1"/>
  <c r="AF162" i="3"/>
  <c r="M38" i="3" s="1"/>
  <c r="AH38" i="3" s="1"/>
  <c r="V222" i="3"/>
  <c r="C191" i="3" s="1"/>
  <c r="X191" i="3" s="1"/>
  <c r="V162" i="3"/>
  <c r="C38" i="3" s="1"/>
  <c r="X38" i="3" s="1"/>
  <c r="AL114" i="3"/>
  <c r="AJ104" i="3"/>
  <c r="AI218" i="3"/>
  <c r="P187" i="3" s="1"/>
  <c r="AK187" i="3" s="1"/>
  <c r="AI158" i="3"/>
  <c r="P34" i="3" s="1"/>
  <c r="AK34" i="3" s="1"/>
  <c r="AI222" i="3"/>
  <c r="P191" i="3" s="1"/>
  <c r="AK191" i="3" s="1"/>
  <c r="AI162" i="3"/>
  <c r="P38" i="3" s="1"/>
  <c r="AK38" i="3" s="1"/>
  <c r="Y213" i="3"/>
  <c r="F182" i="3" s="1"/>
  <c r="AA182" i="3" s="1"/>
  <c r="Y153" i="3"/>
  <c r="F29" i="3" s="1"/>
  <c r="AA29" i="3" s="1"/>
  <c r="Y206" i="3"/>
  <c r="F175" i="3" s="1"/>
  <c r="AA175" i="3" s="1"/>
  <c r="Y146" i="3"/>
  <c r="F22" i="3" s="1"/>
  <c r="AA22" i="3" s="1"/>
  <c r="AI203" i="3"/>
  <c r="P172" i="3" s="1"/>
  <c r="AK172" i="3" s="1"/>
  <c r="AI143" i="3"/>
  <c r="P19" i="3" s="1"/>
  <c r="AK19" i="3" s="1"/>
  <c r="AI224" i="3"/>
  <c r="P193" i="3" s="1"/>
  <c r="AK193" i="3" s="1"/>
  <c r="AI164" i="3"/>
  <c r="P40" i="3" s="1"/>
  <c r="AK40" i="3" s="1"/>
  <c r="AB129" i="3"/>
  <c r="AL131" i="3"/>
  <c r="AB132" i="3"/>
  <c r="AB115" i="3"/>
  <c r="AG209" i="3"/>
  <c r="N178" i="3" s="1"/>
  <c r="AI178" i="3" s="1"/>
  <c r="AG149" i="3"/>
  <c r="N25" i="3" s="1"/>
  <c r="AI25" i="3" s="1"/>
  <c r="AG224" i="3"/>
  <c r="N193" i="3" s="1"/>
  <c r="AI193" i="3" s="1"/>
  <c r="AG164" i="3"/>
  <c r="N40" i="3" s="1"/>
  <c r="AI40" i="3" s="1"/>
  <c r="W204" i="3"/>
  <c r="D173" i="3" s="1"/>
  <c r="Y173" i="3" s="1"/>
  <c r="W144" i="3"/>
  <c r="D20" i="3" s="1"/>
  <c r="Y20" i="3" s="1"/>
  <c r="W205" i="3"/>
  <c r="D174" i="3" s="1"/>
  <c r="Y174" i="3" s="1"/>
  <c r="W145" i="3"/>
  <c r="D21" i="3" s="1"/>
  <c r="Y21" i="3" s="1"/>
  <c r="AG225" i="3"/>
  <c r="N194" i="3" s="1"/>
  <c r="AI194" i="3" s="1"/>
  <c r="AG165" i="3"/>
  <c r="N41" i="3" s="1"/>
  <c r="AI41" i="3" s="1"/>
  <c r="AG223" i="3"/>
  <c r="N192" i="3" s="1"/>
  <c r="AI192" i="3" s="1"/>
  <c r="AG163" i="3"/>
  <c r="N39" i="3" s="1"/>
  <c r="AI39" i="3" s="1"/>
  <c r="AL112" i="3"/>
  <c r="AL118" i="3"/>
  <c r="AI135" i="3"/>
  <c r="AL134" i="3"/>
  <c r="AB85" i="3"/>
  <c r="AG135" i="3"/>
  <c r="AH104" i="3"/>
  <c r="AB92" i="3"/>
  <c r="AH212" i="3"/>
  <c r="O181" i="3" s="1"/>
  <c r="AJ181" i="3" s="1"/>
  <c r="AH152" i="3"/>
  <c r="O28" i="3" s="1"/>
  <c r="AJ28" i="3" s="1"/>
  <c r="X220" i="3"/>
  <c r="E189" i="3" s="1"/>
  <c r="Z189" i="3" s="1"/>
  <c r="X160" i="3"/>
  <c r="E36" i="3" s="1"/>
  <c r="Z36" i="3" s="1"/>
  <c r="AH214" i="3"/>
  <c r="O183" i="3" s="1"/>
  <c r="AJ183" i="3" s="1"/>
  <c r="AH154" i="3"/>
  <c r="O30" i="3" s="1"/>
  <c r="AJ30" i="3" s="1"/>
  <c r="X206" i="3"/>
  <c r="E175" i="3" s="1"/>
  <c r="Z175" i="3" s="1"/>
  <c r="X146" i="3"/>
  <c r="E22" i="3" s="1"/>
  <c r="Z22" i="3" s="1"/>
  <c r="AH211" i="3"/>
  <c r="O180" i="3" s="1"/>
  <c r="AJ180" i="3" s="1"/>
  <c r="AH151" i="3"/>
  <c r="O27" i="3" s="1"/>
  <c r="AJ27" i="3" s="1"/>
  <c r="X211" i="3"/>
  <c r="E180" i="3" s="1"/>
  <c r="Z180" i="3" s="1"/>
  <c r="X151" i="3"/>
  <c r="E27" i="3" s="1"/>
  <c r="Z27" i="3" s="1"/>
  <c r="V104" i="3"/>
  <c r="AL124" i="3"/>
  <c r="AA135" i="3"/>
  <c r="AJ209" i="3"/>
  <c r="Q178" i="3" s="1"/>
  <c r="AL178" i="3" s="1"/>
  <c r="AJ149" i="3"/>
  <c r="Z209" i="3"/>
  <c r="G178" i="3" s="1"/>
  <c r="AB178" i="3" s="1"/>
  <c r="Z149" i="3"/>
  <c r="G25" i="3" s="1"/>
  <c r="AB25" i="3" s="1"/>
  <c r="AJ207" i="3"/>
  <c r="Q176" i="3" s="1"/>
  <c r="AL176" i="3" s="1"/>
  <c r="AJ147" i="3"/>
  <c r="Q23" i="3" s="1"/>
  <c r="AL23" i="3" s="1"/>
  <c r="Z215" i="3"/>
  <c r="G184" i="3" s="1"/>
  <c r="AB184" i="3" s="1"/>
  <c r="Z155" i="3"/>
  <c r="G31" i="3" s="1"/>
  <c r="AB31" i="3" s="1"/>
  <c r="AJ212" i="3"/>
  <c r="Q181" i="3" s="1"/>
  <c r="AL181" i="3" s="1"/>
  <c r="AJ152" i="3"/>
  <c r="Q28" i="3" s="1"/>
  <c r="AL28" i="3" s="1"/>
  <c r="Z212" i="3"/>
  <c r="G181" i="3" s="1"/>
  <c r="AB181" i="3" s="1"/>
  <c r="Z152" i="3"/>
  <c r="G28" i="3" s="1"/>
  <c r="AB28" i="3" s="1"/>
  <c r="AB96" i="3"/>
  <c r="U222" i="3"/>
  <c r="U162" i="3"/>
  <c r="AE219" i="3"/>
  <c r="AE159" i="3"/>
  <c r="L35" i="3" s="1"/>
  <c r="U224" i="3"/>
  <c r="U164" i="3"/>
  <c r="B40" i="3" s="1"/>
  <c r="AE216" i="3"/>
  <c r="AE156" i="3"/>
  <c r="L32" i="3" s="1"/>
  <c r="AE212" i="3"/>
  <c r="AE152" i="3"/>
  <c r="U203" i="3"/>
  <c r="U143" i="3"/>
  <c r="B19" i="3" s="1"/>
  <c r="AB87" i="3"/>
  <c r="AL84" i="3"/>
  <c r="AK207" i="3"/>
  <c r="R176" i="3" s="1"/>
  <c r="AM176" i="3" s="1"/>
  <c r="AK147" i="3"/>
  <c r="R23" i="3" s="1"/>
  <c r="AM23" i="3" s="1"/>
  <c r="AK203" i="3"/>
  <c r="R172" i="3" s="1"/>
  <c r="AM172" i="3" s="1"/>
  <c r="AK143" i="3"/>
  <c r="R19" i="3" s="1"/>
  <c r="AM19" i="3" s="1"/>
  <c r="AA206" i="3"/>
  <c r="H175" i="3" s="1"/>
  <c r="AC175" i="3" s="1"/>
  <c r="AA146" i="3"/>
  <c r="H22" i="3" s="1"/>
  <c r="AC22" i="3" s="1"/>
  <c r="AK223" i="3"/>
  <c r="R192" i="3" s="1"/>
  <c r="AM192" i="3" s="1"/>
  <c r="AK163" i="3"/>
  <c r="R39" i="3" s="1"/>
  <c r="AM39" i="3" s="1"/>
  <c r="AA224" i="3"/>
  <c r="H193" i="3" s="1"/>
  <c r="AC193" i="3" s="1"/>
  <c r="AA164" i="3"/>
  <c r="H40" i="3" s="1"/>
  <c r="AC40" i="3" s="1"/>
  <c r="AK217" i="3"/>
  <c r="R186" i="3" s="1"/>
  <c r="AM186" i="3" s="1"/>
  <c r="AK157" i="3"/>
  <c r="R33" i="3" s="1"/>
  <c r="AM33" i="3" s="1"/>
  <c r="AK73" i="3"/>
  <c r="AB63" i="3"/>
  <c r="Q25" i="3"/>
  <c r="AL25" i="3" s="1"/>
  <c r="AB60" i="3"/>
  <c r="AL71" i="3"/>
  <c r="AB66" i="3"/>
  <c r="AH208" i="3"/>
  <c r="O177" i="3" s="1"/>
  <c r="AJ177" i="3" s="1"/>
  <c r="AH148" i="3"/>
  <c r="O24" i="3" s="1"/>
  <c r="AJ24" i="3" s="1"/>
  <c r="X216" i="3"/>
  <c r="E185" i="3" s="1"/>
  <c r="Z185" i="3" s="1"/>
  <c r="X156" i="3"/>
  <c r="E32" i="3" s="1"/>
  <c r="Z32" i="3" s="1"/>
  <c r="AH210" i="3"/>
  <c r="O179" i="3" s="1"/>
  <c r="AJ179" i="3" s="1"/>
  <c r="AH150" i="3"/>
  <c r="O26" i="3" s="1"/>
  <c r="AJ26" i="3" s="1"/>
  <c r="X202" i="3"/>
  <c r="X142" i="3"/>
  <c r="E18" i="3" s="1"/>
  <c r="AH207" i="3"/>
  <c r="O176" i="3" s="1"/>
  <c r="AJ176" i="3" s="1"/>
  <c r="AH147" i="3"/>
  <c r="O23" i="3" s="1"/>
  <c r="AJ23" i="3" s="1"/>
  <c r="X207" i="3"/>
  <c r="E176" i="3" s="1"/>
  <c r="Z176" i="3" s="1"/>
  <c r="X147" i="3"/>
  <c r="E23" i="3" s="1"/>
  <c r="Z23" i="3" s="1"/>
  <c r="V135" i="3"/>
  <c r="AL93" i="3"/>
  <c r="AA104" i="3"/>
  <c r="AJ205" i="3"/>
  <c r="Q174" i="3" s="1"/>
  <c r="AL174" i="3" s="1"/>
  <c r="AJ145" i="3"/>
  <c r="Q21" i="3" s="1"/>
  <c r="AL21" i="3" s="1"/>
  <c r="Z205" i="3"/>
  <c r="G174" i="3" s="1"/>
  <c r="AB174" i="3" s="1"/>
  <c r="Z145" i="3"/>
  <c r="G21" i="3" s="1"/>
  <c r="AB21" i="3" s="1"/>
  <c r="AJ203" i="3"/>
  <c r="Q172" i="3" s="1"/>
  <c r="AL172" i="3" s="1"/>
  <c r="AJ143" i="3"/>
  <c r="Q19" i="3" s="1"/>
  <c r="AL19" i="3" s="1"/>
  <c r="Z211" i="3"/>
  <c r="G180" i="3" s="1"/>
  <c r="AB180" i="3" s="1"/>
  <c r="Z151" i="3"/>
  <c r="G27" i="3" s="1"/>
  <c r="AB27" i="3" s="1"/>
  <c r="AJ208" i="3"/>
  <c r="Q177" i="3" s="1"/>
  <c r="AL177" i="3" s="1"/>
  <c r="AJ148" i="3"/>
  <c r="Q24" i="3" s="1"/>
  <c r="AL24" i="3" s="1"/>
  <c r="Z208" i="3"/>
  <c r="G177" i="3" s="1"/>
  <c r="AB177" i="3" s="1"/>
  <c r="Z148" i="3"/>
  <c r="G24" i="3" s="1"/>
  <c r="AB24" i="3" s="1"/>
  <c r="AB127" i="3"/>
  <c r="U218" i="3"/>
  <c r="U158" i="3"/>
  <c r="B34" i="3" s="1"/>
  <c r="AE215" i="3"/>
  <c r="AE155" i="3"/>
  <c r="L31" i="3" s="1"/>
  <c r="U220" i="3"/>
  <c r="U160" i="3"/>
  <c r="B36" i="3" s="1"/>
  <c r="AE225" i="3"/>
  <c r="AE165" i="3"/>
  <c r="L41" i="3" s="1"/>
  <c r="U225" i="3"/>
  <c r="U165" i="3"/>
  <c r="B41" i="3" s="1"/>
  <c r="AE222" i="3"/>
  <c r="AE162" i="3"/>
  <c r="L38" i="3" s="1"/>
  <c r="AB118" i="3"/>
  <c r="AL115" i="3"/>
  <c r="AA221" i="3"/>
  <c r="H190" i="3" s="1"/>
  <c r="AC190" i="3" s="1"/>
  <c r="AA161" i="3"/>
  <c r="H37" i="3" s="1"/>
  <c r="AC37" i="3" s="1"/>
  <c r="AA225" i="3"/>
  <c r="H194" i="3" s="1"/>
  <c r="AC194" i="3" s="1"/>
  <c r="AA165" i="3"/>
  <c r="H41" i="3" s="1"/>
  <c r="AC41" i="3" s="1"/>
  <c r="AA223" i="3"/>
  <c r="H192" i="3" s="1"/>
  <c r="AC192" i="3" s="1"/>
  <c r="AA163" i="3"/>
  <c r="H39" i="3" s="1"/>
  <c r="AC39" i="3" s="1"/>
  <c r="AK224" i="3"/>
  <c r="R193" i="3" s="1"/>
  <c r="AM193" i="3" s="1"/>
  <c r="AK164" i="3"/>
  <c r="R40" i="3" s="1"/>
  <c r="AM40" i="3" s="1"/>
  <c r="AA220" i="3"/>
  <c r="H189" i="3" s="1"/>
  <c r="AC189" i="3" s="1"/>
  <c r="AA160" i="3"/>
  <c r="H36" i="3" s="1"/>
  <c r="AC36" i="3" s="1"/>
  <c r="AK213" i="3"/>
  <c r="R182" i="3" s="1"/>
  <c r="AM182" i="3" s="1"/>
  <c r="AK153" i="3"/>
  <c r="R29" i="3" s="1"/>
  <c r="AM29" i="3" s="1"/>
  <c r="AK104" i="3"/>
  <c r="AB125" i="3"/>
  <c r="AB91" i="3"/>
  <c r="AL133" i="3"/>
  <c r="AB97" i="3"/>
  <c r="AF219" i="3"/>
  <c r="M188" i="3" s="1"/>
  <c r="AH188" i="3" s="1"/>
  <c r="AF159" i="3"/>
  <c r="M35" i="3" s="1"/>
  <c r="AH35" i="3" s="1"/>
  <c r="V223" i="3"/>
  <c r="C192" i="3" s="1"/>
  <c r="X192" i="3" s="1"/>
  <c r="V163" i="3"/>
  <c r="C39" i="3" s="1"/>
  <c r="X39" i="3" s="1"/>
  <c r="AF225" i="3"/>
  <c r="M194" i="3" s="1"/>
  <c r="AH194" i="3" s="1"/>
  <c r="AF165" i="3"/>
  <c r="M41" i="3" s="1"/>
  <c r="AH41" i="3" s="1"/>
  <c r="V217" i="3"/>
  <c r="C186" i="3" s="1"/>
  <c r="X186" i="3" s="1"/>
  <c r="V157" i="3"/>
  <c r="C33" i="3" s="1"/>
  <c r="X33" i="3" s="1"/>
  <c r="AF214" i="3"/>
  <c r="M183" i="3" s="1"/>
  <c r="AH183" i="3" s="1"/>
  <c r="AF154" i="3"/>
  <c r="M30" i="3" s="1"/>
  <c r="AH30" i="3" s="1"/>
  <c r="V214" i="3"/>
  <c r="C183" i="3" s="1"/>
  <c r="X183" i="3" s="1"/>
  <c r="V154" i="3"/>
  <c r="C30" i="3" s="1"/>
  <c r="X30" i="3" s="1"/>
  <c r="AB58" i="3"/>
  <c r="AB49" i="3"/>
  <c r="AL67" i="3"/>
  <c r="AB69" i="3"/>
  <c r="AB52" i="3"/>
  <c r="AB72" i="3"/>
  <c r="AB71" i="3"/>
  <c r="Y220" i="3"/>
  <c r="F189" i="3" s="1"/>
  <c r="AA189" i="3" s="1"/>
  <c r="Y160" i="3"/>
  <c r="F36" i="3" s="1"/>
  <c r="AA36" i="3" s="1"/>
  <c r="AI225" i="3"/>
  <c r="P194" i="3" s="1"/>
  <c r="AK194" i="3" s="1"/>
  <c r="AI165" i="3"/>
  <c r="P41" i="3" s="1"/>
  <c r="AK41" i="3" s="1"/>
  <c r="AI206" i="3"/>
  <c r="P175" i="3" s="1"/>
  <c r="AK175" i="3" s="1"/>
  <c r="AI146" i="3"/>
  <c r="P22" i="3" s="1"/>
  <c r="AK22" i="3" s="1"/>
  <c r="Y209" i="3"/>
  <c r="F178" i="3" s="1"/>
  <c r="AA178" i="3" s="1"/>
  <c r="Y149" i="3"/>
  <c r="F25" i="3" s="1"/>
  <c r="AA25" i="3" s="1"/>
  <c r="Y223" i="3"/>
  <c r="F192" i="3" s="1"/>
  <c r="AA192" i="3" s="1"/>
  <c r="Y163" i="3"/>
  <c r="F39" i="3" s="1"/>
  <c r="AA39" i="3" s="1"/>
  <c r="AI216" i="3"/>
  <c r="P185" i="3" s="1"/>
  <c r="AK185" i="3" s="1"/>
  <c r="AI156" i="3"/>
  <c r="P32" i="3" s="1"/>
  <c r="AK32" i="3" s="1"/>
  <c r="AB50" i="3"/>
  <c r="AF73" i="3"/>
  <c r="AB64" i="3"/>
  <c r="AB57" i="3"/>
  <c r="W219" i="3"/>
  <c r="D188" i="3" s="1"/>
  <c r="Y188" i="3" s="1"/>
  <c r="W159" i="3"/>
  <c r="D35" i="3" s="1"/>
  <c r="Y35" i="3" s="1"/>
  <c r="AG216" i="3"/>
  <c r="N185" i="3" s="1"/>
  <c r="AI185" i="3" s="1"/>
  <c r="AG156" i="3"/>
  <c r="N32" i="3" s="1"/>
  <c r="AI32" i="3" s="1"/>
  <c r="AG213" i="3"/>
  <c r="N182" i="3" s="1"/>
  <c r="AI182" i="3" s="1"/>
  <c r="AG153" i="3"/>
  <c r="N29" i="3" s="1"/>
  <c r="AI29" i="3" s="1"/>
  <c r="AG222" i="3"/>
  <c r="N191" i="3" s="1"/>
  <c r="AI191" i="3" s="1"/>
  <c r="AG162" i="3"/>
  <c r="N38" i="3" s="1"/>
  <c r="AI38" i="3" s="1"/>
  <c r="W218" i="3"/>
  <c r="D187" i="3" s="1"/>
  <c r="Y187" i="3" s="1"/>
  <c r="W158" i="3"/>
  <c r="D34" i="3" s="1"/>
  <c r="Y34" i="3" s="1"/>
  <c r="AG215" i="3"/>
  <c r="N184" i="3" s="1"/>
  <c r="AI184" i="3" s="1"/>
  <c r="AG155" i="3"/>
  <c r="N31" i="3" s="1"/>
  <c r="AI31" i="3" s="1"/>
  <c r="AB55" i="3"/>
  <c r="AB68" i="3"/>
  <c r="AL58" i="3"/>
  <c r="AL66" i="3"/>
  <c r="AK74" i="3"/>
  <c r="AL49" i="3"/>
  <c r="AE73" i="3"/>
  <c r="AL57" i="3"/>
  <c r="AL64" i="3"/>
  <c r="AL51" i="3"/>
  <c r="AB245" i="3"/>
  <c r="AH204" i="3"/>
  <c r="O173" i="3" s="1"/>
  <c r="AJ173" i="3" s="1"/>
  <c r="AH144" i="3"/>
  <c r="O20" i="3" s="1"/>
  <c r="AJ20" i="3" s="1"/>
  <c r="X212" i="3"/>
  <c r="E181" i="3" s="1"/>
  <c r="Z181" i="3" s="1"/>
  <c r="X152" i="3"/>
  <c r="E28" i="3" s="1"/>
  <c r="Z28" i="3" s="1"/>
  <c r="AH206" i="3"/>
  <c r="O175" i="3" s="1"/>
  <c r="AJ175" i="3" s="1"/>
  <c r="AH146" i="3"/>
  <c r="O22" i="3" s="1"/>
  <c r="AJ22" i="3" s="1"/>
  <c r="AH221" i="3"/>
  <c r="O190" i="3" s="1"/>
  <c r="AJ190" i="3" s="1"/>
  <c r="AH161" i="3"/>
  <c r="O37" i="3" s="1"/>
  <c r="AJ37" i="3" s="1"/>
  <c r="AH203" i="3"/>
  <c r="O172" i="3" s="1"/>
  <c r="AJ172" i="3" s="1"/>
  <c r="AH143" i="3"/>
  <c r="O19" i="3" s="1"/>
  <c r="AJ19" i="3" s="1"/>
  <c r="X203" i="3"/>
  <c r="E172" i="3" s="1"/>
  <c r="Z172" i="3" s="1"/>
  <c r="X143" i="3"/>
  <c r="E19" i="3" s="1"/>
  <c r="Z19" i="3" s="1"/>
  <c r="V257" i="3"/>
  <c r="AL246" i="3"/>
  <c r="AA257" i="3"/>
  <c r="AJ218" i="3"/>
  <c r="Q187" i="3" s="1"/>
  <c r="AL187" i="3" s="1"/>
  <c r="AJ158" i="3"/>
  <c r="Q34" i="3" s="1"/>
  <c r="AL34" i="3" s="1"/>
  <c r="AJ210" i="3"/>
  <c r="Q179" i="3" s="1"/>
  <c r="AL179" i="3" s="1"/>
  <c r="AJ150" i="3"/>
  <c r="Q26" i="3" s="1"/>
  <c r="AL26" i="3" s="1"/>
  <c r="AJ222" i="3"/>
  <c r="Q191" i="3" s="1"/>
  <c r="AL191" i="3" s="1"/>
  <c r="AJ162" i="3"/>
  <c r="Q38" i="3" s="1"/>
  <c r="AL38" i="3" s="1"/>
  <c r="Z207" i="3"/>
  <c r="G176" i="3" s="1"/>
  <c r="AB176" i="3" s="1"/>
  <c r="Z147" i="3"/>
  <c r="G23" i="3" s="1"/>
  <c r="AB23" i="3" s="1"/>
  <c r="AJ204" i="3"/>
  <c r="Q173" i="3" s="1"/>
  <c r="AL173" i="3" s="1"/>
  <c r="AJ144" i="3"/>
  <c r="Q20" i="3" s="1"/>
  <c r="AL20" i="3" s="1"/>
  <c r="Z204" i="3"/>
  <c r="G173" i="3" s="1"/>
  <c r="AB173" i="3" s="1"/>
  <c r="Z144" i="3"/>
  <c r="G20" i="3" s="1"/>
  <c r="AB20" i="3" s="1"/>
  <c r="AB249" i="3"/>
  <c r="U214" i="3"/>
  <c r="U154" i="3"/>
  <c r="B30" i="3" s="1"/>
  <c r="AE211" i="3"/>
  <c r="AE151" i="3"/>
  <c r="U216" i="3"/>
  <c r="U156" i="3"/>
  <c r="AE221" i="3"/>
  <c r="AE161" i="3"/>
  <c r="L37" i="3" s="1"/>
  <c r="U221" i="3"/>
  <c r="U161" i="3"/>
  <c r="B37" i="3" s="1"/>
  <c r="AE218" i="3"/>
  <c r="AE158" i="3"/>
  <c r="L34" i="3" s="1"/>
  <c r="AB240" i="3"/>
  <c r="AL237" i="3"/>
  <c r="AA217" i="3"/>
  <c r="H186" i="3" s="1"/>
  <c r="AC186" i="3" s="1"/>
  <c r="AA157" i="3"/>
  <c r="H33" i="3" s="1"/>
  <c r="AC33" i="3" s="1"/>
  <c r="AK222" i="3"/>
  <c r="R191" i="3" s="1"/>
  <c r="AM191" i="3" s="1"/>
  <c r="AK162" i="3"/>
  <c r="R38" i="3" s="1"/>
  <c r="AM38" i="3" s="1"/>
  <c r="AA219" i="3"/>
  <c r="H188" i="3" s="1"/>
  <c r="AC188" i="3" s="1"/>
  <c r="AA159" i="3"/>
  <c r="H35" i="3" s="1"/>
  <c r="AC35" i="3" s="1"/>
  <c r="AK220" i="3"/>
  <c r="R189" i="3" s="1"/>
  <c r="AM189" i="3" s="1"/>
  <c r="AK160" i="3"/>
  <c r="R36" i="3" s="1"/>
  <c r="AM36" i="3" s="1"/>
  <c r="AA216" i="3"/>
  <c r="H185" i="3" s="1"/>
  <c r="AC185" i="3" s="1"/>
  <c r="AA156" i="3"/>
  <c r="H32" i="3" s="1"/>
  <c r="AC32" i="3" s="1"/>
  <c r="AK209" i="3"/>
  <c r="R178" i="3" s="1"/>
  <c r="AM178" i="3" s="1"/>
  <c r="AK149" i="3"/>
  <c r="R25" i="3" s="1"/>
  <c r="AM25" i="3" s="1"/>
  <c r="AK135" i="3"/>
  <c r="AB94" i="3"/>
  <c r="AB122" i="3"/>
  <c r="AL102" i="3"/>
  <c r="AB128" i="3"/>
  <c r="W222" i="3"/>
  <c r="D191" i="3" s="1"/>
  <c r="Y191" i="3" s="1"/>
  <c r="W162" i="3"/>
  <c r="D38" i="3" s="1"/>
  <c r="Y38" i="3" s="1"/>
  <c r="AL256" i="3"/>
  <c r="AG257" i="3"/>
  <c r="W215" i="3"/>
  <c r="D184" i="3" s="1"/>
  <c r="Y184" i="3" s="1"/>
  <c r="W155" i="3"/>
  <c r="D31" i="3" s="1"/>
  <c r="Y31" i="3" s="1"/>
  <c r="AG212" i="3"/>
  <c r="N181" i="3" s="1"/>
  <c r="AI181" i="3" s="1"/>
  <c r="AG152" i="3"/>
  <c r="N28" i="3" s="1"/>
  <c r="AI28" i="3" s="1"/>
  <c r="W225" i="3"/>
  <c r="D194" i="3" s="1"/>
  <c r="Y194" i="3" s="1"/>
  <c r="W165" i="3"/>
  <c r="D41" i="3" s="1"/>
  <c r="Y41" i="3" s="1"/>
  <c r="AG218" i="3"/>
  <c r="N187" i="3" s="1"/>
  <c r="AI187" i="3" s="1"/>
  <c r="AG158" i="3"/>
  <c r="N34" i="3" s="1"/>
  <c r="AI34" i="3" s="1"/>
  <c r="AG211" i="3"/>
  <c r="N180" i="3" s="1"/>
  <c r="AI180" i="3" s="1"/>
  <c r="AG151" i="3"/>
  <c r="N27" i="3" s="1"/>
  <c r="AI27" i="3" s="1"/>
  <c r="W135" i="3"/>
  <c r="AL128" i="3"/>
  <c r="X135" i="3"/>
  <c r="AE135" i="3"/>
  <c r="AL111" i="3"/>
  <c r="AK136" i="3"/>
  <c r="AL95" i="3"/>
  <c r="AL113" i="3"/>
  <c r="AL68" i="3"/>
  <c r="AL70" i="3"/>
  <c r="X213" i="3"/>
  <c r="E182" i="3" s="1"/>
  <c r="Z182" i="3" s="1"/>
  <c r="X153" i="3"/>
  <c r="E29" i="3" s="1"/>
  <c r="Z29" i="3" s="1"/>
  <c r="AH225" i="3"/>
  <c r="O194" i="3" s="1"/>
  <c r="AJ194" i="3" s="1"/>
  <c r="AH165" i="3"/>
  <c r="O41" i="3" s="1"/>
  <c r="AJ41" i="3" s="1"/>
  <c r="X208" i="3"/>
  <c r="E177" i="3" s="1"/>
  <c r="Z177" i="3" s="1"/>
  <c r="X148" i="3"/>
  <c r="E24" i="3" s="1"/>
  <c r="Z24" i="3" s="1"/>
  <c r="AH202" i="3"/>
  <c r="AH142" i="3"/>
  <c r="O18" i="3" s="1"/>
  <c r="X221" i="3"/>
  <c r="E190" i="3" s="1"/>
  <c r="Z190" i="3" s="1"/>
  <c r="X161" i="3"/>
  <c r="E37" i="3" s="1"/>
  <c r="Z37" i="3" s="1"/>
  <c r="AH213" i="3"/>
  <c r="O182" i="3" s="1"/>
  <c r="AJ182" i="3" s="1"/>
  <c r="AH153" i="3"/>
  <c r="O29" i="3" s="1"/>
  <c r="AJ29" i="3" s="1"/>
  <c r="AL61" i="3"/>
  <c r="AB51" i="3"/>
  <c r="Z202" i="3"/>
  <c r="Z142" i="3"/>
  <c r="Z206" i="3"/>
  <c r="G175" i="3" s="1"/>
  <c r="AB175" i="3" s="1"/>
  <c r="Z146" i="3"/>
  <c r="G22" i="3" s="1"/>
  <c r="AB22" i="3" s="1"/>
  <c r="Z214" i="3"/>
  <c r="G183" i="3" s="1"/>
  <c r="AB183" i="3" s="1"/>
  <c r="Z154" i="3"/>
  <c r="G30" i="3" s="1"/>
  <c r="AB30" i="3" s="1"/>
  <c r="AJ206" i="3"/>
  <c r="Q175" i="3" s="1"/>
  <c r="AL175" i="3" s="1"/>
  <c r="AJ146" i="3"/>
  <c r="Q22" i="3" s="1"/>
  <c r="AL22" i="3" s="1"/>
  <c r="Z203" i="3"/>
  <c r="G172" i="3" s="1"/>
  <c r="AB172" i="3" s="1"/>
  <c r="Z143" i="3"/>
  <c r="G19" i="3" s="1"/>
  <c r="AB19" i="3" s="1"/>
  <c r="Z222" i="3"/>
  <c r="G191" i="3" s="1"/>
  <c r="AB191" i="3" s="1"/>
  <c r="Z162" i="3"/>
  <c r="G38" i="3" s="1"/>
  <c r="AB38" i="3" s="1"/>
  <c r="AL54" i="3"/>
  <c r="U210" i="3"/>
  <c r="U150" i="3"/>
  <c r="AE207" i="3"/>
  <c r="AE147" i="3"/>
  <c r="U212" i="3"/>
  <c r="U152" i="3"/>
  <c r="B28" i="3" s="1"/>
  <c r="AE217" i="3"/>
  <c r="AE157" i="3"/>
  <c r="U217" i="3"/>
  <c r="U157" i="3"/>
  <c r="AE214" i="3"/>
  <c r="AE154" i="3"/>
  <c r="L30" i="3" s="1"/>
  <c r="AL59" i="3"/>
  <c r="AL63" i="3"/>
  <c r="AA213" i="3"/>
  <c r="H182" i="3" s="1"/>
  <c r="AC182" i="3" s="1"/>
  <c r="AA153" i="3"/>
  <c r="H29" i="3" s="1"/>
  <c r="AC29" i="3" s="1"/>
  <c r="AK218" i="3"/>
  <c r="R187" i="3" s="1"/>
  <c r="AM187" i="3" s="1"/>
  <c r="AK158" i="3"/>
  <c r="R34" i="3" s="1"/>
  <c r="AM34" i="3" s="1"/>
  <c r="AA215" i="3"/>
  <c r="H184" i="3" s="1"/>
  <c r="AC184" i="3" s="1"/>
  <c r="AA155" i="3"/>
  <c r="H31" i="3" s="1"/>
  <c r="AC31" i="3" s="1"/>
  <c r="AK216" i="3"/>
  <c r="R185" i="3" s="1"/>
  <c r="AM185" i="3" s="1"/>
  <c r="AK156" i="3"/>
  <c r="R32" i="3" s="1"/>
  <c r="AM32" i="3" s="1"/>
  <c r="AA212" i="3"/>
  <c r="H181" i="3" s="1"/>
  <c r="AC181" i="3" s="1"/>
  <c r="AA152" i="3"/>
  <c r="H28" i="3" s="1"/>
  <c r="AC28" i="3" s="1"/>
  <c r="AK205" i="3"/>
  <c r="R174" i="3" s="1"/>
  <c r="AM174" i="3" s="1"/>
  <c r="AK145" i="3"/>
  <c r="R21" i="3" s="1"/>
  <c r="AM21" i="3" s="1"/>
  <c r="AK257" i="3"/>
  <c r="AB247" i="3"/>
  <c r="AB244" i="3"/>
  <c r="AL255" i="3"/>
  <c r="AB250" i="3"/>
  <c r="AL234" i="3"/>
  <c r="AH257" i="3"/>
  <c r="V219" i="3"/>
  <c r="C188" i="3" s="1"/>
  <c r="X188" i="3" s="1"/>
  <c r="V159" i="3"/>
  <c r="C35" i="3" s="1"/>
  <c r="X35" i="3" s="1"/>
  <c r="AF210" i="3"/>
  <c r="M179" i="3" s="1"/>
  <c r="AH179" i="3" s="1"/>
  <c r="AF150" i="3"/>
  <c r="M26" i="3" s="1"/>
  <c r="AH26" i="3" s="1"/>
  <c r="AB111" i="3"/>
  <c r="AA136" i="3"/>
  <c r="U135" i="3"/>
  <c r="Y216" i="3"/>
  <c r="F185" i="3" s="1"/>
  <c r="AA185" i="3" s="1"/>
  <c r="Y156" i="3"/>
  <c r="F32" i="3" s="1"/>
  <c r="AA32" i="3" s="1"/>
  <c r="Y219" i="3"/>
  <c r="F188" i="3" s="1"/>
  <c r="AA188" i="3" s="1"/>
  <c r="Y159" i="3"/>
  <c r="F35" i="3" s="1"/>
  <c r="AA35" i="3" s="1"/>
  <c r="AB119" i="3"/>
  <c r="AB86" i="3"/>
  <c r="AF211" i="3"/>
  <c r="M180" i="3" s="1"/>
  <c r="AH180" i="3" s="1"/>
  <c r="AF151" i="3"/>
  <c r="M27" i="3" s="1"/>
  <c r="AH27" i="3" s="1"/>
  <c r="V215" i="3"/>
  <c r="C184" i="3" s="1"/>
  <c r="X184" i="3" s="1"/>
  <c r="V155" i="3"/>
  <c r="C31" i="3" s="1"/>
  <c r="X31" i="3" s="1"/>
  <c r="AF217" i="3"/>
  <c r="M186" i="3" s="1"/>
  <c r="AH186" i="3" s="1"/>
  <c r="AF157" i="3"/>
  <c r="M33" i="3" s="1"/>
  <c r="AH33" i="3" s="1"/>
  <c r="V209" i="3"/>
  <c r="C178" i="3" s="1"/>
  <c r="X178" i="3" s="1"/>
  <c r="V149" i="3"/>
  <c r="C25" i="3" s="1"/>
  <c r="X25" i="3" s="1"/>
  <c r="AF206" i="3"/>
  <c r="M175" i="3" s="1"/>
  <c r="AH175" i="3" s="1"/>
  <c r="AF146" i="3"/>
  <c r="M22" i="3" s="1"/>
  <c r="AH22" i="3" s="1"/>
  <c r="V206" i="3"/>
  <c r="C175" i="3" s="1"/>
  <c r="X175" i="3" s="1"/>
  <c r="V146" i="3"/>
  <c r="C22" i="3" s="1"/>
  <c r="X22" i="3" s="1"/>
  <c r="AA105" i="3"/>
  <c r="AB80" i="3"/>
  <c r="U104" i="3"/>
  <c r="Z104" i="3"/>
  <c r="AB103" i="3"/>
  <c r="AB102" i="3"/>
  <c r="Y212" i="3"/>
  <c r="F181" i="3" s="1"/>
  <c r="AA181" i="3" s="1"/>
  <c r="Y152" i="3"/>
  <c r="F28" i="3" s="1"/>
  <c r="AA28" i="3" s="1"/>
  <c r="AI217" i="3"/>
  <c r="P186" i="3" s="1"/>
  <c r="AK186" i="3" s="1"/>
  <c r="AI157" i="3"/>
  <c r="P33" i="3" s="1"/>
  <c r="AK33" i="3" s="1"/>
  <c r="Y222" i="3"/>
  <c r="F191" i="3" s="1"/>
  <c r="AA191" i="3" s="1"/>
  <c r="Y162" i="3"/>
  <c r="F38" i="3" s="1"/>
  <c r="AA38" i="3" s="1"/>
  <c r="AI219" i="3"/>
  <c r="P188" i="3" s="1"/>
  <c r="AK188" i="3" s="1"/>
  <c r="AI159" i="3"/>
  <c r="P35" i="3" s="1"/>
  <c r="AK35" i="3" s="1"/>
  <c r="Y215" i="3"/>
  <c r="F184" i="3" s="1"/>
  <c r="AA184" i="3" s="1"/>
  <c r="Y155" i="3"/>
  <c r="F31" i="3" s="1"/>
  <c r="AA31" i="3" s="1"/>
  <c r="AI208" i="3"/>
  <c r="P177" i="3" s="1"/>
  <c r="AK177" i="3" s="1"/>
  <c r="AI148" i="3"/>
  <c r="P24" i="3" s="1"/>
  <c r="AK24" i="3" s="1"/>
  <c r="AB112" i="3"/>
  <c r="AF135" i="3"/>
  <c r="AB88" i="3"/>
  <c r="W211" i="3"/>
  <c r="D180" i="3" s="1"/>
  <c r="Y180" i="3" s="1"/>
  <c r="W151" i="3"/>
  <c r="D27" i="3" s="1"/>
  <c r="Y27" i="3" s="1"/>
  <c r="AG208" i="3"/>
  <c r="N177" i="3" s="1"/>
  <c r="AI177" i="3" s="1"/>
  <c r="AG148" i="3"/>
  <c r="N24" i="3" s="1"/>
  <c r="AI24" i="3" s="1"/>
  <c r="W221" i="3"/>
  <c r="D190" i="3" s="1"/>
  <c r="Y190" i="3" s="1"/>
  <c r="W161" i="3"/>
  <c r="D37" i="3" s="1"/>
  <c r="Y37" i="3" s="1"/>
  <c r="AG214" i="3"/>
  <c r="N183" i="3" s="1"/>
  <c r="AI183" i="3" s="1"/>
  <c r="AG154" i="3"/>
  <c r="N30" i="3" s="1"/>
  <c r="AI30" i="3" s="1"/>
  <c r="W210" i="3"/>
  <c r="D179" i="3" s="1"/>
  <c r="Y179" i="3" s="1"/>
  <c r="W150" i="3"/>
  <c r="D26" i="3" s="1"/>
  <c r="Y26" i="3" s="1"/>
  <c r="AG207" i="3"/>
  <c r="N176" i="3" s="1"/>
  <c r="AI176" i="3" s="1"/>
  <c r="AG147" i="3"/>
  <c r="N23" i="3" s="1"/>
  <c r="AI23" i="3" s="1"/>
  <c r="AB117" i="3"/>
  <c r="AB99" i="3"/>
  <c r="W104" i="3"/>
  <c r="AL89" i="3"/>
  <c r="AL97" i="3"/>
  <c r="X104" i="3"/>
  <c r="AE104" i="3"/>
  <c r="AL80" i="3"/>
  <c r="AK105" i="3"/>
  <c r="AL88" i="3"/>
  <c r="AL126" i="3"/>
  <c r="AL82" i="3"/>
  <c r="AL99" i="3"/>
  <c r="AL101" i="3"/>
  <c r="Y104" i="3"/>
  <c r="X205" i="3"/>
  <c r="E174" i="3" s="1"/>
  <c r="Z174" i="3" s="1"/>
  <c r="X145" i="3"/>
  <c r="E21" i="3" s="1"/>
  <c r="Z21" i="3" s="1"/>
  <c r="AH205" i="3"/>
  <c r="O174" i="3" s="1"/>
  <c r="AJ174" i="3" s="1"/>
  <c r="AH145" i="3"/>
  <c r="O21" i="3" s="1"/>
  <c r="AJ21" i="3" s="1"/>
  <c r="X204" i="3"/>
  <c r="E173" i="3" s="1"/>
  <c r="Z173" i="3" s="1"/>
  <c r="X144" i="3"/>
  <c r="E20" i="3" s="1"/>
  <c r="Z20" i="3" s="1"/>
  <c r="X222" i="3"/>
  <c r="E191" i="3" s="1"/>
  <c r="Z191" i="3" s="1"/>
  <c r="X162" i="3"/>
  <c r="E38" i="3" s="1"/>
  <c r="Z38" i="3" s="1"/>
  <c r="X217" i="3"/>
  <c r="E186" i="3" s="1"/>
  <c r="Z186" i="3" s="1"/>
  <c r="X157" i="3"/>
  <c r="E33" i="3" s="1"/>
  <c r="Z33" i="3" s="1"/>
  <c r="AH209" i="3"/>
  <c r="O178" i="3" s="1"/>
  <c r="AJ178" i="3" s="1"/>
  <c r="AH149" i="3"/>
  <c r="O25" i="3" s="1"/>
  <c r="AJ25" i="3" s="1"/>
  <c r="AL92" i="3"/>
  <c r="AB113" i="3"/>
  <c r="AJ225" i="3"/>
  <c r="Q194" i="3" s="1"/>
  <c r="AL194" i="3" s="1"/>
  <c r="AJ165" i="3"/>
  <c r="Q41" i="3" s="1"/>
  <c r="AL41" i="3" s="1"/>
  <c r="Z225" i="3"/>
  <c r="G194" i="3" s="1"/>
  <c r="AB194" i="3" s="1"/>
  <c r="Z165" i="3"/>
  <c r="G41" i="3" s="1"/>
  <c r="AB41" i="3" s="1"/>
  <c r="AJ223" i="3"/>
  <c r="Q192" i="3" s="1"/>
  <c r="AL192" i="3" s="1"/>
  <c r="AJ163" i="3"/>
  <c r="Q39" i="3" s="1"/>
  <c r="AL39" i="3" s="1"/>
  <c r="AJ202" i="3"/>
  <c r="AJ142" i="3"/>
  <c r="Q18" i="3" s="1"/>
  <c r="AJ214" i="3"/>
  <c r="Q183" i="3" s="1"/>
  <c r="AL183" i="3" s="1"/>
  <c r="AJ154" i="3"/>
  <c r="Q30" i="3" s="1"/>
  <c r="AL30" i="3" s="1"/>
  <c r="Z218" i="3"/>
  <c r="G187" i="3" s="1"/>
  <c r="AB187" i="3" s="1"/>
  <c r="Z158" i="3"/>
  <c r="G34" i="3" s="1"/>
  <c r="AB34" i="3" s="1"/>
  <c r="AL85" i="3"/>
  <c r="U206" i="3"/>
  <c r="U146" i="3"/>
  <c r="B22" i="3" s="1"/>
  <c r="AE203" i="3"/>
  <c r="AE143" i="3"/>
  <c r="U208" i="3"/>
  <c r="U148" i="3"/>
  <c r="B24" i="3" s="1"/>
  <c r="AE213" i="3"/>
  <c r="AE153" i="3"/>
  <c r="L29" i="3" s="1"/>
  <c r="U213" i="3"/>
  <c r="U153" i="3"/>
  <c r="AE210" i="3"/>
  <c r="AE150" i="3"/>
  <c r="AL121" i="3"/>
  <c r="AL94" i="3"/>
  <c r="AA222" i="3"/>
  <c r="H191" i="3" s="1"/>
  <c r="AC191" i="3" s="1"/>
  <c r="AA162" i="3"/>
  <c r="H38" i="3" s="1"/>
  <c r="AC38" i="3" s="1"/>
  <c r="AA209" i="3"/>
  <c r="H178" i="3" s="1"/>
  <c r="AC178" i="3" s="1"/>
  <c r="AA149" i="3"/>
  <c r="H25" i="3" s="1"/>
  <c r="AC25" i="3" s="1"/>
  <c r="AK214" i="3"/>
  <c r="R183" i="3" s="1"/>
  <c r="AM183" i="3" s="1"/>
  <c r="AK154" i="3"/>
  <c r="R30" i="3" s="1"/>
  <c r="AM30" i="3" s="1"/>
  <c r="AA211" i="3"/>
  <c r="H180" i="3" s="1"/>
  <c r="AC180" i="3" s="1"/>
  <c r="AA151" i="3"/>
  <c r="H27" i="3" s="1"/>
  <c r="AC27" i="3" s="1"/>
  <c r="AK212" i="3"/>
  <c r="R181" i="3" s="1"/>
  <c r="AM181" i="3" s="1"/>
  <c r="AK152" i="3"/>
  <c r="R28" i="3" s="1"/>
  <c r="AM28" i="3" s="1"/>
  <c r="AA208" i="3"/>
  <c r="H177" i="3" s="1"/>
  <c r="AC177" i="3" s="1"/>
  <c r="AA148" i="3"/>
  <c r="H24" i="3" s="1"/>
  <c r="AC24" i="3" s="1"/>
  <c r="AL65" i="3"/>
  <c r="AB59" i="3"/>
  <c r="AG220" i="3"/>
  <c r="N189" i="3" s="1"/>
  <c r="AI189" i="3" s="1"/>
  <c r="AG160" i="3"/>
  <c r="N36" i="3" s="1"/>
  <c r="AI36" i="3" s="1"/>
  <c r="V213" i="3"/>
  <c r="C182" i="3" s="1"/>
  <c r="X182" i="3" s="1"/>
  <c r="V153" i="3"/>
  <c r="C29" i="3" s="1"/>
  <c r="X29" i="3" s="1"/>
  <c r="AI202" i="3"/>
  <c r="AI142" i="3"/>
  <c r="P18" i="3" s="1"/>
  <c r="AI212" i="3"/>
  <c r="P181" i="3" s="1"/>
  <c r="AK181" i="3" s="1"/>
  <c r="AI152" i="3"/>
  <c r="P28" i="3" s="1"/>
  <c r="AK28" i="3" s="1"/>
  <c r="AF207" i="3"/>
  <c r="M176" i="3" s="1"/>
  <c r="AH176" i="3" s="1"/>
  <c r="AF147" i="3"/>
  <c r="M23" i="3" s="1"/>
  <c r="AH23" i="3" s="1"/>
  <c r="V211" i="3"/>
  <c r="C180" i="3" s="1"/>
  <c r="X180" i="3" s="1"/>
  <c r="V151" i="3"/>
  <c r="C27" i="3" s="1"/>
  <c r="X27" i="3" s="1"/>
  <c r="AF213" i="3"/>
  <c r="M182" i="3" s="1"/>
  <c r="AH182" i="3" s="1"/>
  <c r="AF153" i="3"/>
  <c r="M29" i="3" s="1"/>
  <c r="AH29" i="3" s="1"/>
  <c r="V205" i="3"/>
  <c r="C174" i="3" s="1"/>
  <c r="X174" i="3" s="1"/>
  <c r="V145" i="3"/>
  <c r="C21" i="3" s="1"/>
  <c r="X21" i="3" s="1"/>
  <c r="AF202" i="3"/>
  <c r="AF142" i="3"/>
  <c r="M18" i="3" s="1"/>
  <c r="V202" i="3"/>
  <c r="V142" i="3"/>
  <c r="C18" i="3" s="1"/>
  <c r="U257" i="3"/>
  <c r="AA258" i="3"/>
  <c r="AB233" i="3"/>
  <c r="Z257" i="3"/>
  <c r="AB253" i="3"/>
  <c r="AB256" i="3"/>
  <c r="Y208" i="3"/>
  <c r="F177" i="3" s="1"/>
  <c r="AA177" i="3" s="1"/>
  <c r="Y148" i="3"/>
  <c r="F24" i="3" s="1"/>
  <c r="AA24" i="3" s="1"/>
  <c r="AI213" i="3"/>
  <c r="P182" i="3" s="1"/>
  <c r="AK182" i="3" s="1"/>
  <c r="AI153" i="3"/>
  <c r="P29" i="3" s="1"/>
  <c r="AK29" i="3" s="1"/>
  <c r="Y218" i="3"/>
  <c r="F187" i="3" s="1"/>
  <c r="AA187" i="3" s="1"/>
  <c r="Y158" i="3"/>
  <c r="F34" i="3" s="1"/>
  <c r="AA34" i="3" s="1"/>
  <c r="AI215" i="3"/>
  <c r="P184" i="3" s="1"/>
  <c r="AK184" i="3" s="1"/>
  <c r="AI155" i="3"/>
  <c r="P31" i="3" s="1"/>
  <c r="AK31" i="3" s="1"/>
  <c r="Y211" i="3"/>
  <c r="F180" i="3" s="1"/>
  <c r="AA180" i="3" s="1"/>
  <c r="Y151" i="3"/>
  <c r="F27" i="3" s="1"/>
  <c r="AA27" i="3" s="1"/>
  <c r="AI204" i="3"/>
  <c r="P173" i="3" s="1"/>
  <c r="AK173" i="3" s="1"/>
  <c r="AI144" i="3"/>
  <c r="P20" i="3" s="1"/>
  <c r="AK20" i="3" s="1"/>
  <c r="AB234" i="3"/>
  <c r="AF257" i="3"/>
  <c r="AB248" i="3"/>
  <c r="AB241" i="3"/>
  <c r="W207" i="3"/>
  <c r="D176" i="3" s="1"/>
  <c r="Y176" i="3" s="1"/>
  <c r="W147" i="3"/>
  <c r="D23" i="3" s="1"/>
  <c r="Y23" i="3" s="1"/>
  <c r="AG204" i="3"/>
  <c r="N173" i="3" s="1"/>
  <c r="AI173" i="3" s="1"/>
  <c r="AG144" i="3"/>
  <c r="N20" i="3" s="1"/>
  <c r="AI20" i="3" s="1"/>
  <c r="W217" i="3"/>
  <c r="D186" i="3" s="1"/>
  <c r="Y186" i="3" s="1"/>
  <c r="W157" i="3"/>
  <c r="D33" i="3" s="1"/>
  <c r="Y33" i="3" s="1"/>
  <c r="AG210" i="3"/>
  <c r="N179" i="3" s="1"/>
  <c r="AI179" i="3" s="1"/>
  <c r="AG150" i="3"/>
  <c r="N26" i="3" s="1"/>
  <c r="AI26" i="3" s="1"/>
  <c r="W206" i="3"/>
  <c r="D175" i="3" s="1"/>
  <c r="Y175" i="3" s="1"/>
  <c r="W146" i="3"/>
  <c r="D22" i="3" s="1"/>
  <c r="Y22" i="3" s="1"/>
  <c r="AG203" i="3"/>
  <c r="N172" i="3" s="1"/>
  <c r="AI172" i="3" s="1"/>
  <c r="AG143" i="3"/>
  <c r="N19" i="3" s="1"/>
  <c r="AI19" i="3" s="1"/>
  <c r="AB239" i="3"/>
  <c r="AB252" i="3"/>
  <c r="W257" i="3"/>
  <c r="AL242" i="3"/>
  <c r="AL250" i="3"/>
  <c r="X257" i="3"/>
  <c r="AE257" i="3"/>
  <c r="AK258" i="3"/>
  <c r="AL233" i="3"/>
  <c r="AL241" i="3"/>
  <c r="AL248" i="3"/>
  <c r="AL235" i="3"/>
  <c r="AL130" i="3"/>
  <c r="AL132" i="3"/>
  <c r="Y135" i="3"/>
  <c r="AH224" i="3"/>
  <c r="O193" i="3" s="1"/>
  <c r="AJ193" i="3" s="1"/>
  <c r="AH164" i="3"/>
  <c r="O40" i="3" s="1"/>
  <c r="AJ40" i="3" s="1"/>
  <c r="X225" i="3"/>
  <c r="E194" i="3" s="1"/>
  <c r="Z194" i="3" s="1"/>
  <c r="X165" i="3"/>
  <c r="E41" i="3" s="1"/>
  <c r="Z41" i="3" s="1"/>
  <c r="AH217" i="3"/>
  <c r="O186" i="3" s="1"/>
  <c r="AJ186" i="3" s="1"/>
  <c r="AH157" i="3"/>
  <c r="O33" i="3" s="1"/>
  <c r="AJ33" i="3" s="1"/>
  <c r="X218" i="3"/>
  <c r="E187" i="3" s="1"/>
  <c r="Z187" i="3" s="1"/>
  <c r="X158" i="3"/>
  <c r="E34" i="3" s="1"/>
  <c r="Z34" i="3" s="1"/>
  <c r="AH223" i="3"/>
  <c r="O192" i="3" s="1"/>
  <c r="AJ192" i="3" s="1"/>
  <c r="AH163" i="3"/>
  <c r="O39" i="3" s="1"/>
  <c r="AJ39" i="3" s="1"/>
  <c r="X223" i="3"/>
  <c r="E192" i="3" s="1"/>
  <c r="Z192" i="3" s="1"/>
  <c r="X163" i="3"/>
  <c r="E39" i="3" s="1"/>
  <c r="Z39" i="3" s="1"/>
  <c r="AL123" i="3"/>
  <c r="AB82" i="3"/>
  <c r="AJ221" i="3"/>
  <c r="Q190" i="3" s="1"/>
  <c r="AL190" i="3" s="1"/>
  <c r="AJ161" i="3"/>
  <c r="Q37" i="3" s="1"/>
  <c r="AL37" i="3" s="1"/>
  <c r="Z221" i="3"/>
  <c r="G190" i="3" s="1"/>
  <c r="AB190" i="3" s="1"/>
  <c r="Z161" i="3"/>
  <c r="G37" i="3" s="1"/>
  <c r="AB37" i="3" s="1"/>
  <c r="AJ219" i="3"/>
  <c r="Q188" i="3" s="1"/>
  <c r="AL188" i="3" s="1"/>
  <c r="AJ159" i="3"/>
  <c r="Q35" i="3" s="1"/>
  <c r="AL35" i="3" s="1"/>
  <c r="Z210" i="3"/>
  <c r="G179" i="3" s="1"/>
  <c r="AB179" i="3" s="1"/>
  <c r="Z150" i="3"/>
  <c r="G26" i="3" s="1"/>
  <c r="AB26" i="3" s="1"/>
  <c r="AJ224" i="3"/>
  <c r="Q193" i="3" s="1"/>
  <c r="AL193" i="3" s="1"/>
  <c r="AJ164" i="3"/>
  <c r="Q40" i="3" s="1"/>
  <c r="AL40" i="3" s="1"/>
  <c r="Z224" i="3"/>
  <c r="G193" i="3" s="1"/>
  <c r="AB193" i="3" s="1"/>
  <c r="Z164" i="3"/>
  <c r="G40" i="3" s="1"/>
  <c r="AB40" i="3" s="1"/>
  <c r="AL116" i="3"/>
  <c r="P72" i="10"/>
  <c r="U202" i="3"/>
  <c r="U142" i="3"/>
  <c r="B18" i="3" s="1"/>
  <c r="AE224" i="3"/>
  <c r="AE164" i="3"/>
  <c r="U204" i="3"/>
  <c r="U144" i="3"/>
  <c r="B20" i="3" s="1"/>
  <c r="AE209" i="3"/>
  <c r="AE149" i="3"/>
  <c r="L25" i="3" s="1"/>
  <c r="U209" i="3"/>
  <c r="U149" i="3"/>
  <c r="B25" i="3" s="1"/>
  <c r="AE206" i="3"/>
  <c r="AE146" i="3"/>
  <c r="L22" i="3" s="1"/>
  <c r="AL90" i="3"/>
  <c r="AL125" i="3"/>
  <c r="AA202" i="3"/>
  <c r="AA142" i="3"/>
  <c r="H18" i="3" s="1"/>
  <c r="AA205" i="3"/>
  <c r="H174" i="3" s="1"/>
  <c r="AC174" i="3" s="1"/>
  <c r="AA145" i="3"/>
  <c r="H21" i="3" s="1"/>
  <c r="AC21" i="3" s="1"/>
  <c r="AK210" i="3"/>
  <c r="R179" i="3" s="1"/>
  <c r="AM179" i="3" s="1"/>
  <c r="AK150" i="3"/>
  <c r="R26" i="3" s="1"/>
  <c r="AM26" i="3" s="1"/>
  <c r="AA207" i="3"/>
  <c r="H176" i="3" s="1"/>
  <c r="AC176" i="3" s="1"/>
  <c r="AA147" i="3"/>
  <c r="H23" i="3" s="1"/>
  <c r="AC23" i="3" s="1"/>
  <c r="AK208" i="3"/>
  <c r="R177" i="3" s="1"/>
  <c r="AM177" i="3" s="1"/>
  <c r="AK148" i="3"/>
  <c r="R24" i="3" s="1"/>
  <c r="AM24" i="3" s="1"/>
  <c r="AA204" i="3"/>
  <c r="H173" i="3" s="1"/>
  <c r="AC173" i="3" s="1"/>
  <c r="AA144" i="3"/>
  <c r="H20" i="3" s="1"/>
  <c r="AC20" i="3" s="1"/>
  <c r="AL96" i="3"/>
  <c r="AB121" i="3"/>
  <c r="AG217" i="3"/>
  <c r="N186" i="3" s="1"/>
  <c r="AI186" i="3" s="1"/>
  <c r="AG157" i="3"/>
  <c r="N33" i="3" s="1"/>
  <c r="AI33" i="3" s="1"/>
  <c r="AG219" i="3"/>
  <c r="N188" i="3" s="1"/>
  <c r="AI188" i="3" s="1"/>
  <c r="AG159" i="3"/>
  <c r="N35" i="3" s="1"/>
  <c r="AI35" i="3" s="1"/>
  <c r="AF215" i="3"/>
  <c r="M184" i="3" s="1"/>
  <c r="AH184" i="3" s="1"/>
  <c r="AF155" i="3"/>
  <c r="M31" i="3" s="1"/>
  <c r="AH31" i="3" s="1"/>
  <c r="V210" i="3"/>
  <c r="C179" i="3" s="1"/>
  <c r="X179" i="3" s="1"/>
  <c r="V150" i="3"/>
  <c r="C26" i="3" s="1"/>
  <c r="X26" i="3" s="1"/>
  <c r="AI221" i="3"/>
  <c r="P190" i="3" s="1"/>
  <c r="AK190" i="3" s="1"/>
  <c r="AI161" i="3"/>
  <c r="P37" i="3" s="1"/>
  <c r="AK37" i="3" s="1"/>
  <c r="W214" i="3"/>
  <c r="D183" i="3" s="1"/>
  <c r="Y183" i="3" s="1"/>
  <c r="W154" i="3"/>
  <c r="D30" i="3" s="1"/>
  <c r="Y30" i="3" s="1"/>
  <c r="AF216" i="3"/>
  <c r="M185" i="3" s="1"/>
  <c r="AH185" i="3" s="1"/>
  <c r="AF156" i="3"/>
  <c r="M32" i="3" s="1"/>
  <c r="AH32" i="3" s="1"/>
  <c r="AF203" i="3"/>
  <c r="M172" i="3" s="1"/>
  <c r="AH172" i="3" s="1"/>
  <c r="AF143" i="3"/>
  <c r="M19" i="3" s="1"/>
  <c r="AH19" i="3" s="1"/>
  <c r="V207" i="3"/>
  <c r="C176" i="3" s="1"/>
  <c r="X176" i="3" s="1"/>
  <c r="V147" i="3"/>
  <c r="C23" i="3" s="1"/>
  <c r="X23" i="3" s="1"/>
  <c r="AF209" i="3"/>
  <c r="M178" i="3" s="1"/>
  <c r="AH178" i="3" s="1"/>
  <c r="AF149" i="3"/>
  <c r="M25" i="3" s="1"/>
  <c r="AH25" i="3" s="1"/>
  <c r="AF224" i="3"/>
  <c r="M193" i="3" s="1"/>
  <c r="AH193" i="3" s="1"/>
  <c r="AF164" i="3"/>
  <c r="M40" i="3" s="1"/>
  <c r="AH40" i="3" s="1"/>
  <c r="AF220" i="3"/>
  <c r="M189" i="3" s="1"/>
  <c r="AH189" i="3" s="1"/>
  <c r="AF160" i="3"/>
  <c r="M36" i="3" s="1"/>
  <c r="AH36" i="3" s="1"/>
  <c r="AL52" i="3"/>
  <c r="AL60" i="3"/>
  <c r="AL55" i="3"/>
  <c r="AJ73" i="3"/>
  <c r="AB62" i="3"/>
  <c r="Y225" i="3"/>
  <c r="F194" i="3" s="1"/>
  <c r="AA194" i="3" s="1"/>
  <c r="Y165" i="3"/>
  <c r="F41" i="3" s="1"/>
  <c r="AA41" i="3" s="1"/>
  <c r="Y204" i="3"/>
  <c r="F173" i="3" s="1"/>
  <c r="AA173" i="3" s="1"/>
  <c r="Y144" i="3"/>
  <c r="F20" i="3" s="1"/>
  <c r="AA20" i="3" s="1"/>
  <c r="AI209" i="3"/>
  <c r="P178" i="3" s="1"/>
  <c r="AK178" i="3" s="1"/>
  <c r="AI149" i="3"/>
  <c r="P25" i="3" s="1"/>
  <c r="AK25" i="3" s="1"/>
  <c r="Y214" i="3"/>
  <c r="F183" i="3" s="1"/>
  <c r="AA183" i="3" s="1"/>
  <c r="Y154" i="3"/>
  <c r="F30" i="3" s="1"/>
  <c r="AA30" i="3" s="1"/>
  <c r="AI211" i="3"/>
  <c r="P180" i="3" s="1"/>
  <c r="AK180" i="3" s="1"/>
  <c r="AI151" i="3"/>
  <c r="P27" i="3" s="1"/>
  <c r="AK27" i="3" s="1"/>
  <c r="Y207" i="3"/>
  <c r="F176" i="3" s="1"/>
  <c r="AA176" i="3" s="1"/>
  <c r="Y147" i="3"/>
  <c r="F23" i="3" s="1"/>
  <c r="AA23" i="3" s="1"/>
  <c r="AB67" i="3"/>
  <c r="AL69" i="3"/>
  <c r="AB70" i="3"/>
  <c r="AB53" i="3"/>
  <c r="W208" i="3"/>
  <c r="D177" i="3" s="1"/>
  <c r="Y177" i="3" s="1"/>
  <c r="W148" i="3"/>
  <c r="D24" i="3" s="1"/>
  <c r="Y24" i="3" s="1"/>
  <c r="W203" i="3"/>
  <c r="D172" i="3" s="1"/>
  <c r="Y172" i="3" s="1"/>
  <c r="W143" i="3"/>
  <c r="D19" i="3" s="1"/>
  <c r="Y19" i="3" s="1"/>
  <c r="W224" i="3"/>
  <c r="D193" i="3" s="1"/>
  <c r="Y193" i="3" s="1"/>
  <c r="W164" i="3"/>
  <c r="D40" i="3" s="1"/>
  <c r="Y40" i="3" s="1"/>
  <c r="W213" i="3"/>
  <c r="D182" i="3" s="1"/>
  <c r="Y182" i="3" s="1"/>
  <c r="W153" i="3"/>
  <c r="D29" i="3" s="1"/>
  <c r="Y29" i="3" s="1"/>
  <c r="AG206" i="3"/>
  <c r="N175" i="3" s="1"/>
  <c r="AI175" i="3" s="1"/>
  <c r="AG146" i="3"/>
  <c r="N22" i="3" s="1"/>
  <c r="AI22" i="3" s="1"/>
  <c r="W202" i="3"/>
  <c r="W142" i="3"/>
  <c r="D18" i="3" s="1"/>
  <c r="AL50" i="3"/>
  <c r="AL56" i="3"/>
  <c r="AI73" i="3"/>
  <c r="AL72" i="3"/>
  <c r="AB54" i="3"/>
  <c r="AG73" i="3"/>
  <c r="AH73" i="3"/>
  <c r="AL252" i="3"/>
  <c r="AL254" i="3"/>
  <c r="Y257" i="3"/>
  <c r="AH220" i="3"/>
  <c r="O189" i="3" s="1"/>
  <c r="AJ189" i="3" s="1"/>
  <c r="AH160" i="3"/>
  <c r="O36" i="3" s="1"/>
  <c r="AJ36" i="3" s="1"/>
  <c r="X209" i="3"/>
  <c r="E178" i="3" s="1"/>
  <c r="Z178" i="3" s="1"/>
  <c r="X149" i="3"/>
  <c r="E25" i="3" s="1"/>
  <c r="Z25" i="3" s="1"/>
  <c r="AH222" i="3"/>
  <c r="O191" i="3" s="1"/>
  <c r="AJ191" i="3" s="1"/>
  <c r="AH162" i="3"/>
  <c r="O38" i="3" s="1"/>
  <c r="AJ38" i="3" s="1"/>
  <c r="X214" i="3"/>
  <c r="E183" i="3" s="1"/>
  <c r="Z183" i="3" s="1"/>
  <c r="X154" i="3"/>
  <c r="E30" i="3" s="1"/>
  <c r="Z30" i="3" s="1"/>
  <c r="AH219" i="3"/>
  <c r="O188" i="3" s="1"/>
  <c r="AJ188" i="3" s="1"/>
  <c r="AH159" i="3"/>
  <c r="O35" i="3" s="1"/>
  <c r="AJ35" i="3" s="1"/>
  <c r="X219" i="3"/>
  <c r="E188" i="3" s="1"/>
  <c r="Z188" i="3" s="1"/>
  <c r="X159" i="3"/>
  <c r="E35" i="3" s="1"/>
  <c r="Z35" i="3" s="1"/>
  <c r="AL245" i="3"/>
  <c r="AB235" i="3"/>
  <c r="AJ217" i="3"/>
  <c r="Q186" i="3" s="1"/>
  <c r="AL186" i="3" s="1"/>
  <c r="AJ157" i="3"/>
  <c r="Q33" i="3" s="1"/>
  <c r="AL33" i="3" s="1"/>
  <c r="Z217" i="3"/>
  <c r="G186" i="3" s="1"/>
  <c r="AB186" i="3" s="1"/>
  <c r="Z157" i="3"/>
  <c r="G33" i="3" s="1"/>
  <c r="AB33" i="3" s="1"/>
  <c r="AJ215" i="3"/>
  <c r="Q184" i="3" s="1"/>
  <c r="AL184" i="3" s="1"/>
  <c r="AJ155" i="3"/>
  <c r="Q31" i="3" s="1"/>
  <c r="AL31" i="3" s="1"/>
  <c r="Z223" i="3"/>
  <c r="G192" i="3" s="1"/>
  <c r="AB192" i="3" s="1"/>
  <c r="Z163" i="3"/>
  <c r="G39" i="3" s="1"/>
  <c r="AB39" i="3" s="1"/>
  <c r="AJ220" i="3"/>
  <c r="Q189" i="3" s="1"/>
  <c r="AL189" i="3" s="1"/>
  <c r="AJ160" i="3"/>
  <c r="Q36" i="3" s="1"/>
  <c r="AL36" i="3" s="1"/>
  <c r="Z220" i="3"/>
  <c r="G189" i="3" s="1"/>
  <c r="AB189" i="3" s="1"/>
  <c r="Z160" i="3"/>
  <c r="G36" i="3" s="1"/>
  <c r="AB36" i="3" s="1"/>
  <c r="AL238" i="3"/>
  <c r="U211" i="3"/>
  <c r="U151" i="3"/>
  <c r="B27" i="3" s="1"/>
  <c r="AE208" i="3"/>
  <c r="AE148" i="3"/>
  <c r="U215" i="3"/>
  <c r="U155" i="3"/>
  <c r="AE205" i="3"/>
  <c r="AE145" i="3"/>
  <c r="U205" i="3"/>
  <c r="U145" i="3"/>
  <c r="H72" i="10"/>
  <c r="O23" i="15" s="1"/>
  <c r="P73" i="10"/>
  <c r="AE202" i="3"/>
  <c r="AE142" i="3"/>
  <c r="AL243" i="3"/>
  <c r="AL247" i="3"/>
  <c r="AK215" i="3"/>
  <c r="R184" i="3" s="1"/>
  <c r="AM184" i="3" s="1"/>
  <c r="AK155" i="3"/>
  <c r="R31" i="3" s="1"/>
  <c r="AM31" i="3" s="1"/>
  <c r="AA214" i="3"/>
  <c r="H183" i="3" s="1"/>
  <c r="AC183" i="3" s="1"/>
  <c r="AA154" i="3"/>
  <c r="H30" i="3" s="1"/>
  <c r="AC30" i="3" s="1"/>
  <c r="AK206" i="3"/>
  <c r="R175" i="3" s="1"/>
  <c r="AM175" i="3" s="1"/>
  <c r="AK146" i="3"/>
  <c r="R22" i="3" s="1"/>
  <c r="AM22" i="3" s="1"/>
  <c r="AA203" i="3"/>
  <c r="H172" i="3" s="1"/>
  <c r="AC172" i="3" s="1"/>
  <c r="AA143" i="3"/>
  <c r="H19" i="3" s="1"/>
  <c r="AC19" i="3" s="1"/>
  <c r="AK204" i="3"/>
  <c r="R173" i="3" s="1"/>
  <c r="AM173" i="3" s="1"/>
  <c r="AK144" i="3"/>
  <c r="R20" i="3" s="1"/>
  <c r="AM20" i="3" s="1"/>
  <c r="AK225" i="3"/>
  <c r="R194" i="3" s="1"/>
  <c r="AM194" i="3" s="1"/>
  <c r="AK165" i="3"/>
  <c r="R41" i="3" s="1"/>
  <c r="AM41" i="3" s="1"/>
  <c r="AL127" i="3"/>
  <c r="AB90" i="3"/>
  <c r="W223" i="3"/>
  <c r="D192" i="3" s="1"/>
  <c r="Y192" i="3" s="1"/>
  <c r="W163" i="3"/>
  <c r="D39" i="3" s="1"/>
  <c r="Y39" i="3" s="1"/>
  <c r="AL240" i="3"/>
  <c r="AB238" i="3"/>
  <c r="AI223" i="3"/>
  <c r="P192" i="3" s="1"/>
  <c r="AK192" i="3" s="1"/>
  <c r="AI163" i="3"/>
  <c r="P39" i="3" s="1"/>
  <c r="AK39" i="3" s="1"/>
  <c r="AF212" i="3"/>
  <c r="M181" i="3" s="1"/>
  <c r="AH181" i="3" s="1"/>
  <c r="AF152" i="3"/>
  <c r="M28" i="3" s="1"/>
  <c r="AH28" i="3" s="1"/>
  <c r="AF208" i="3"/>
  <c r="M177" i="3" s="1"/>
  <c r="AH177" i="3" s="1"/>
  <c r="AF148" i="3"/>
  <c r="M24" i="3" s="1"/>
  <c r="AH24" i="3" s="1"/>
  <c r="V203" i="3"/>
  <c r="C172" i="3" s="1"/>
  <c r="X172" i="3" s="1"/>
  <c r="V143" i="3"/>
  <c r="C19" i="3" s="1"/>
  <c r="X19" i="3" s="1"/>
  <c r="AF205" i="3"/>
  <c r="M174" i="3" s="1"/>
  <c r="AH174" i="3" s="1"/>
  <c r="AF145" i="3"/>
  <c r="M21" i="3" s="1"/>
  <c r="AH21" i="3" s="1"/>
  <c r="AF204" i="3"/>
  <c r="M173" i="3" s="1"/>
  <c r="AH173" i="3" s="1"/>
  <c r="AF144" i="3"/>
  <c r="M20" i="3" s="1"/>
  <c r="AH20" i="3" s="1"/>
  <c r="V212" i="3"/>
  <c r="C181" i="3" s="1"/>
  <c r="X181" i="3" s="1"/>
  <c r="V152" i="3"/>
  <c r="C28" i="3" s="1"/>
  <c r="X28" i="3" s="1"/>
  <c r="AL83" i="3"/>
  <c r="AL86" i="3"/>
  <c r="AJ135" i="3"/>
  <c r="AB93" i="3"/>
  <c r="Y205" i="3"/>
  <c r="F174" i="3" s="1"/>
  <c r="AA174" i="3" s="1"/>
  <c r="Y145" i="3"/>
  <c r="F21" i="3" s="1"/>
  <c r="AA21" i="3" s="1"/>
  <c r="Y221" i="3"/>
  <c r="F190" i="3" s="1"/>
  <c r="AA190" i="3" s="1"/>
  <c r="Y161" i="3"/>
  <c r="F37" i="3" s="1"/>
  <c r="AA37" i="3" s="1"/>
  <c r="AI205" i="3"/>
  <c r="P174" i="3" s="1"/>
  <c r="AK174" i="3" s="1"/>
  <c r="AI145" i="3"/>
  <c r="P21" i="3" s="1"/>
  <c r="AK21" i="3" s="1"/>
  <c r="Y210" i="3"/>
  <c r="F179" i="3" s="1"/>
  <c r="AA179" i="3" s="1"/>
  <c r="Y150" i="3"/>
  <c r="F26" i="3" s="1"/>
  <c r="AA26" i="3" s="1"/>
  <c r="AI207" i="3"/>
  <c r="P176" i="3" s="1"/>
  <c r="AK176" i="3" s="1"/>
  <c r="AI147" i="3"/>
  <c r="P23" i="3" s="1"/>
  <c r="AK23" i="3" s="1"/>
  <c r="Y203" i="3"/>
  <c r="F172" i="3" s="1"/>
  <c r="AA172" i="3" s="1"/>
  <c r="Y143" i="3"/>
  <c r="F19" i="3" s="1"/>
  <c r="AA19" i="3" s="1"/>
  <c r="AB98" i="3"/>
  <c r="AB101" i="3"/>
  <c r="AB84" i="3"/>
  <c r="AG221" i="3"/>
  <c r="N190" i="3" s="1"/>
  <c r="AI190" i="3" s="1"/>
  <c r="AG161" i="3"/>
  <c r="N37" i="3" s="1"/>
  <c r="AI37" i="3" s="1"/>
  <c r="AG205" i="3"/>
  <c r="N174" i="3" s="1"/>
  <c r="AI174" i="3" s="1"/>
  <c r="AG145" i="3"/>
  <c r="N21" i="3" s="1"/>
  <c r="AI21" i="3" s="1"/>
  <c r="W220" i="3"/>
  <c r="D189" i="3" s="1"/>
  <c r="Y189" i="3" s="1"/>
  <c r="W160" i="3"/>
  <c r="D36" i="3" s="1"/>
  <c r="Y36" i="3" s="1"/>
  <c r="W209" i="3"/>
  <c r="D178" i="3" s="1"/>
  <c r="Y178" i="3" s="1"/>
  <c r="W149" i="3"/>
  <c r="D25" i="3" s="1"/>
  <c r="Y25" i="3" s="1"/>
  <c r="AG202" i="3"/>
  <c r="AG142" i="3"/>
  <c r="W216" i="3"/>
  <c r="D185" i="3" s="1"/>
  <c r="Y185" i="3" s="1"/>
  <c r="W156" i="3"/>
  <c r="D32" i="3" s="1"/>
  <c r="Y32" i="3" s="1"/>
  <c r="AL81" i="3"/>
  <c r="AL87" i="3"/>
  <c r="AI104" i="3"/>
  <c r="AL103" i="3"/>
  <c r="AB116" i="3"/>
  <c r="AG104" i="3"/>
  <c r="AH135" i="3"/>
  <c r="AB61" i="3"/>
  <c r="AH216" i="3"/>
  <c r="O185" i="3" s="1"/>
  <c r="AJ185" i="3" s="1"/>
  <c r="AH156" i="3"/>
  <c r="O32" i="3" s="1"/>
  <c r="AJ32" i="3" s="1"/>
  <c r="X224" i="3"/>
  <c r="E193" i="3" s="1"/>
  <c r="Z193" i="3" s="1"/>
  <c r="X164" i="3"/>
  <c r="E40" i="3" s="1"/>
  <c r="Z40" i="3" s="1"/>
  <c r="AH218" i="3"/>
  <c r="O187" i="3" s="1"/>
  <c r="AJ187" i="3" s="1"/>
  <c r="AH158" i="3"/>
  <c r="O34" i="3" s="1"/>
  <c r="AJ34" i="3" s="1"/>
  <c r="X210" i="3"/>
  <c r="E179" i="3" s="1"/>
  <c r="Z179" i="3" s="1"/>
  <c r="X150" i="3"/>
  <c r="E26" i="3" s="1"/>
  <c r="Z26" i="3" s="1"/>
  <c r="AH215" i="3"/>
  <c r="O184" i="3" s="1"/>
  <c r="AJ184" i="3" s="1"/>
  <c r="AH155" i="3"/>
  <c r="O31" i="3" s="1"/>
  <c r="AJ31" i="3" s="1"/>
  <c r="X215" i="3"/>
  <c r="E184" i="3" s="1"/>
  <c r="Z184" i="3" s="1"/>
  <c r="X155" i="3"/>
  <c r="E31" i="3" s="1"/>
  <c r="Z31" i="3" s="1"/>
  <c r="AL62" i="3"/>
  <c r="AJ213" i="3"/>
  <c r="Q182" i="3" s="1"/>
  <c r="AL182" i="3" s="1"/>
  <c r="AJ153" i="3"/>
  <c r="Q29" i="3" s="1"/>
  <c r="AL29" i="3" s="1"/>
  <c r="Z213" i="3"/>
  <c r="G182" i="3" s="1"/>
  <c r="AB182" i="3" s="1"/>
  <c r="Z153" i="3"/>
  <c r="G29" i="3" s="1"/>
  <c r="AB29" i="3" s="1"/>
  <c r="AJ211" i="3"/>
  <c r="Q180" i="3" s="1"/>
  <c r="AL180" i="3" s="1"/>
  <c r="AJ151" i="3"/>
  <c r="Q27" i="3" s="1"/>
  <c r="AL27" i="3" s="1"/>
  <c r="Z219" i="3"/>
  <c r="G188" i="3" s="1"/>
  <c r="AB188" i="3" s="1"/>
  <c r="Z159" i="3"/>
  <c r="G35" i="3" s="1"/>
  <c r="AB35" i="3" s="1"/>
  <c r="AJ216" i="3"/>
  <c r="Q185" i="3" s="1"/>
  <c r="AL185" i="3" s="1"/>
  <c r="AJ156" i="3"/>
  <c r="Q32" i="3" s="1"/>
  <c r="AL32" i="3" s="1"/>
  <c r="Z216" i="3"/>
  <c r="G185" i="3" s="1"/>
  <c r="AB185" i="3" s="1"/>
  <c r="Z156" i="3"/>
  <c r="G32" i="3" s="1"/>
  <c r="AB32" i="3" s="1"/>
  <c r="AB65" i="3"/>
  <c r="U219" i="3"/>
  <c r="U159" i="3"/>
  <c r="AE223" i="3"/>
  <c r="AE163" i="3"/>
  <c r="AE204" i="3"/>
  <c r="AE144" i="3"/>
  <c r="AE220" i="3"/>
  <c r="AE160" i="3"/>
  <c r="L36" i="3" s="1"/>
  <c r="U207" i="3"/>
  <c r="U147" i="3"/>
  <c r="B23" i="3" s="1"/>
  <c r="U223" i="3"/>
  <c r="U163" i="3"/>
  <c r="B39" i="3" s="1"/>
  <c r="AB56" i="3"/>
  <c r="AL53" i="3"/>
  <c r="AK211" i="3"/>
  <c r="R180" i="3" s="1"/>
  <c r="AM180" i="3" s="1"/>
  <c r="AK151" i="3"/>
  <c r="R27" i="3" s="1"/>
  <c r="AM27" i="3" s="1"/>
  <c r="AK219" i="3"/>
  <c r="R188" i="3" s="1"/>
  <c r="AM188" i="3" s="1"/>
  <c r="AK159" i="3"/>
  <c r="R35" i="3" s="1"/>
  <c r="AM35" i="3" s="1"/>
  <c r="AK202" i="3"/>
  <c r="AK142" i="3"/>
  <c r="R18" i="3" s="1"/>
  <c r="AA218" i="3"/>
  <c r="H187" i="3" s="1"/>
  <c r="AC187" i="3" s="1"/>
  <c r="AA158" i="3"/>
  <c r="H34" i="3" s="1"/>
  <c r="AC34" i="3" s="1"/>
  <c r="AA210" i="3"/>
  <c r="H179" i="3" s="1"/>
  <c r="AC179" i="3" s="1"/>
  <c r="AA150" i="3"/>
  <c r="H26" i="3" s="1"/>
  <c r="AC26" i="3" s="1"/>
  <c r="AK221" i="3"/>
  <c r="R190" i="3" s="1"/>
  <c r="AM190" i="3" s="1"/>
  <c r="AK161" i="3"/>
  <c r="R37" i="3" s="1"/>
  <c r="AM37" i="3" s="1"/>
  <c r="AL249" i="3"/>
  <c r="AB243" i="3"/>
  <c r="AN41" i="10"/>
  <c r="AO41" i="10"/>
  <c r="U73" i="3"/>
  <c r="W73" i="3"/>
  <c r="Y73" i="3"/>
  <c r="X73" i="3"/>
  <c r="AA73" i="3"/>
  <c r="Z73" i="3"/>
  <c r="V73" i="3"/>
  <c r="AA74" i="3"/>
  <c r="J23" i="15"/>
  <c r="AD33" i="15" l="1"/>
  <c r="AO33" i="15"/>
  <c r="G33" i="15"/>
  <c r="R33" i="15"/>
  <c r="O24" i="15"/>
  <c r="AL152" i="3"/>
  <c r="AB162" i="3"/>
  <c r="AB145" i="3"/>
  <c r="AL150" i="3"/>
  <c r="AL143" i="3"/>
  <c r="AB157" i="3"/>
  <c r="W24" i="3"/>
  <c r="AD24" i="3" s="1"/>
  <c r="I24" i="3"/>
  <c r="W27" i="3"/>
  <c r="AD27" i="3" s="1"/>
  <c r="I27" i="3"/>
  <c r="W37" i="3"/>
  <c r="AD37" i="3" s="1"/>
  <c r="I37" i="3"/>
  <c r="AG36" i="3"/>
  <c r="AN36" i="3" s="1"/>
  <c r="S36" i="3"/>
  <c r="AH18" i="3"/>
  <c r="AH42" i="3" s="1"/>
  <c r="AH43" i="3" s="1"/>
  <c r="M42" i="3"/>
  <c r="M43" i="3" s="1"/>
  <c r="AG30" i="3"/>
  <c r="AN30" i="3" s="1"/>
  <c r="S30" i="3"/>
  <c r="Y18" i="3"/>
  <c r="Y42" i="3" s="1"/>
  <c r="Y43" i="3" s="1"/>
  <c r="D42" i="3"/>
  <c r="D43" i="3" s="1"/>
  <c r="AM18" i="3"/>
  <c r="AM42" i="3" s="1"/>
  <c r="AM43" i="3" s="1"/>
  <c r="R42" i="3"/>
  <c r="R43" i="3" s="1"/>
  <c r="W20" i="3"/>
  <c r="AD20" i="3" s="1"/>
  <c r="I20" i="3"/>
  <c r="X18" i="3"/>
  <c r="X42" i="3" s="1"/>
  <c r="X43" i="3" s="1"/>
  <c r="C42" i="3"/>
  <c r="C43" i="3" s="1"/>
  <c r="W25" i="3"/>
  <c r="AD25" i="3" s="1"/>
  <c r="I25" i="3"/>
  <c r="AB163" i="3"/>
  <c r="AL163" i="3"/>
  <c r="L174" i="3"/>
  <c r="AL205" i="3"/>
  <c r="AJ18" i="3"/>
  <c r="AJ42" i="3" s="1"/>
  <c r="AJ43" i="3" s="1"/>
  <c r="O42" i="3"/>
  <c r="O43" i="3" s="1"/>
  <c r="W36" i="3"/>
  <c r="AD36" i="3" s="1"/>
  <c r="I36" i="3"/>
  <c r="B173" i="3"/>
  <c r="AB204" i="3"/>
  <c r="AI166" i="3"/>
  <c r="L179" i="3"/>
  <c r="AL210" i="3"/>
  <c r="L172" i="3"/>
  <c r="AL203" i="3"/>
  <c r="AJ166" i="3"/>
  <c r="B186" i="3"/>
  <c r="AB217" i="3"/>
  <c r="B179" i="3"/>
  <c r="AB210" i="3"/>
  <c r="AA18" i="3"/>
  <c r="AA42" i="3" s="1"/>
  <c r="AA43" i="3" s="1"/>
  <c r="F42" i="3"/>
  <c r="F43" i="3" s="1"/>
  <c r="B185" i="3"/>
  <c r="AB216" i="3"/>
  <c r="AL73" i="3"/>
  <c r="B38" i="3"/>
  <c r="AB160" i="3"/>
  <c r="L181" i="3"/>
  <c r="AL212" i="3"/>
  <c r="B191" i="3"/>
  <c r="AB222" i="3"/>
  <c r="W30" i="3"/>
  <c r="AD30" i="3" s="1"/>
  <c r="I30" i="3"/>
  <c r="D171" i="3"/>
  <c r="W226" i="3"/>
  <c r="W18" i="3"/>
  <c r="AG22" i="3"/>
  <c r="AN22" i="3" s="1"/>
  <c r="S22" i="3"/>
  <c r="B192" i="3"/>
  <c r="AB223" i="3"/>
  <c r="L192" i="3"/>
  <c r="AL223" i="3"/>
  <c r="AG166" i="3"/>
  <c r="AK167" i="3"/>
  <c r="AL142" i="3"/>
  <c r="AE166" i="3"/>
  <c r="AB155" i="3"/>
  <c r="AG29" i="3"/>
  <c r="AN29" i="3" s="1"/>
  <c r="S29" i="3"/>
  <c r="AL146" i="3"/>
  <c r="AL164" i="3"/>
  <c r="AI226" i="3"/>
  <c r="P171" i="3"/>
  <c r="AB153" i="3"/>
  <c r="AB146" i="3"/>
  <c r="Q171" i="3"/>
  <c r="AJ226" i="3"/>
  <c r="L28" i="3"/>
  <c r="AL157" i="3"/>
  <c r="AL158" i="3"/>
  <c r="AL151" i="3"/>
  <c r="L27" i="3"/>
  <c r="B189" i="3"/>
  <c r="AB220" i="3"/>
  <c r="L40" i="3"/>
  <c r="AL156" i="3"/>
  <c r="AG35" i="3"/>
  <c r="AN35" i="3" s="1"/>
  <c r="S35" i="3"/>
  <c r="L194" i="3"/>
  <c r="AL225" i="3"/>
  <c r="AB147" i="3"/>
  <c r="AG226" i="3"/>
  <c r="N171" i="3"/>
  <c r="L171" i="3"/>
  <c r="AK227" i="3"/>
  <c r="AE226" i="3"/>
  <c r="AL202" i="3"/>
  <c r="B184" i="3"/>
  <c r="AB215" i="3"/>
  <c r="N18" i="3"/>
  <c r="AK18" i="3"/>
  <c r="AK42" i="3" s="1"/>
  <c r="AK43" i="3" s="1"/>
  <c r="P42" i="3"/>
  <c r="P43" i="3" s="1"/>
  <c r="L175" i="3"/>
  <c r="AL206" i="3"/>
  <c r="L193" i="3"/>
  <c r="AL224" i="3"/>
  <c r="V166" i="3"/>
  <c r="AG34" i="3"/>
  <c r="AN34" i="3" s="1"/>
  <c r="S34" i="3"/>
  <c r="B182" i="3"/>
  <c r="AB213" i="3"/>
  <c r="B175" i="3"/>
  <c r="AB206" i="3"/>
  <c r="AB135" i="3"/>
  <c r="L186" i="3"/>
  <c r="AL217" i="3"/>
  <c r="L187" i="3"/>
  <c r="AL218" i="3"/>
  <c r="L180" i="3"/>
  <c r="AL211" i="3"/>
  <c r="L18" i="3"/>
  <c r="W41" i="3"/>
  <c r="AD41" i="3" s="1"/>
  <c r="I41" i="3"/>
  <c r="AL162" i="3"/>
  <c r="AL155" i="3"/>
  <c r="X166" i="3"/>
  <c r="L185" i="3"/>
  <c r="AL216" i="3"/>
  <c r="R171" i="3"/>
  <c r="AK226" i="3"/>
  <c r="W23" i="3"/>
  <c r="AD23" i="3" s="1"/>
  <c r="I23" i="3"/>
  <c r="AL257" i="3"/>
  <c r="AB257" i="3"/>
  <c r="AB150" i="3"/>
  <c r="AB156" i="3"/>
  <c r="B33" i="3"/>
  <c r="AB159" i="3"/>
  <c r="B176" i="3"/>
  <c r="AB207" i="3"/>
  <c r="B188" i="3"/>
  <c r="AB219" i="3"/>
  <c r="AL148" i="3"/>
  <c r="L24" i="3"/>
  <c r="AB149" i="3"/>
  <c r="AB142" i="3"/>
  <c r="U166" i="3"/>
  <c r="AA167" i="3"/>
  <c r="C171" i="3"/>
  <c r="V226" i="3"/>
  <c r="AL153" i="3"/>
  <c r="AB152" i="3"/>
  <c r="AL135" i="3"/>
  <c r="AB161" i="3"/>
  <c r="AB154" i="3"/>
  <c r="L191" i="3"/>
  <c r="AL222" i="3"/>
  <c r="L184" i="3"/>
  <c r="AL215" i="3"/>
  <c r="X226" i="3"/>
  <c r="E171" i="3"/>
  <c r="AB164" i="3"/>
  <c r="Y166" i="3"/>
  <c r="L173" i="3"/>
  <c r="AL204" i="3"/>
  <c r="AL145" i="3"/>
  <c r="AG41" i="3"/>
  <c r="AN41" i="3" s="1"/>
  <c r="S41" i="3"/>
  <c r="AB144" i="3"/>
  <c r="W28" i="3"/>
  <c r="AD28" i="3" s="1"/>
  <c r="I28" i="3"/>
  <c r="AL160" i="3"/>
  <c r="L177" i="3"/>
  <c r="AL208" i="3"/>
  <c r="L19" i="3"/>
  <c r="B31" i="3"/>
  <c r="B178" i="3"/>
  <c r="AB209" i="3"/>
  <c r="B171" i="3"/>
  <c r="U226" i="3"/>
  <c r="AA227" i="3"/>
  <c r="AB202" i="3"/>
  <c r="AF166" i="3"/>
  <c r="L182" i="3"/>
  <c r="AL213" i="3"/>
  <c r="AB104" i="3"/>
  <c r="AG32" i="3"/>
  <c r="AN32" i="3" s="1"/>
  <c r="S32" i="3"/>
  <c r="B181" i="3"/>
  <c r="AB212" i="3"/>
  <c r="Z166" i="3"/>
  <c r="L39" i="3"/>
  <c r="B190" i="3"/>
  <c r="AB221" i="3"/>
  <c r="B183" i="3"/>
  <c r="AB214" i="3"/>
  <c r="L33" i="3"/>
  <c r="Z18" i="3"/>
  <c r="Z42" i="3" s="1"/>
  <c r="Z43" i="3" s="1"/>
  <c r="E42" i="3"/>
  <c r="E43" i="3" s="1"/>
  <c r="B26" i="3"/>
  <c r="G18" i="3"/>
  <c r="I18" i="3" s="1"/>
  <c r="AB165" i="3"/>
  <c r="AB158" i="3"/>
  <c r="B193" i="3"/>
  <c r="AB224" i="3"/>
  <c r="Y226" i="3"/>
  <c r="F171" i="3"/>
  <c r="M171" i="3"/>
  <c r="AF226" i="3"/>
  <c r="AB148" i="3"/>
  <c r="AL104" i="3"/>
  <c r="AL154" i="3"/>
  <c r="AL147" i="3"/>
  <c r="L23" i="3"/>
  <c r="G171" i="3"/>
  <c r="Z226" i="3"/>
  <c r="AH166" i="3"/>
  <c r="AL161" i="3"/>
  <c r="W19" i="3"/>
  <c r="AD19" i="3" s="1"/>
  <c r="I19" i="3"/>
  <c r="B21" i="3"/>
  <c r="B194" i="3"/>
  <c r="AB225" i="3"/>
  <c r="B187" i="3"/>
  <c r="AB218" i="3"/>
  <c r="B35" i="3"/>
  <c r="B29" i="3"/>
  <c r="AB143" i="3"/>
  <c r="AL159" i="3"/>
  <c r="L189" i="3"/>
  <c r="AL220" i="3"/>
  <c r="W34" i="3"/>
  <c r="AD34" i="3" s="1"/>
  <c r="I34" i="3"/>
  <c r="AC18" i="3"/>
  <c r="AC42" i="3" s="1"/>
  <c r="AC43" i="3" s="1"/>
  <c r="H42" i="3"/>
  <c r="H43" i="3" s="1"/>
  <c r="AG31" i="3"/>
  <c r="AN31" i="3" s="1"/>
  <c r="S31" i="3"/>
  <c r="AB151" i="3"/>
  <c r="AG25" i="3"/>
  <c r="AN25" i="3" s="1"/>
  <c r="S25" i="3"/>
  <c r="W22" i="3"/>
  <c r="AD22" i="3" s="1"/>
  <c r="I22" i="3"/>
  <c r="W39" i="3"/>
  <c r="AD39" i="3" s="1"/>
  <c r="I39" i="3"/>
  <c r="L21" i="3"/>
  <c r="AA166" i="3"/>
  <c r="AL149" i="3"/>
  <c r="AK166" i="3"/>
  <c r="AL144" i="3"/>
  <c r="B174" i="3"/>
  <c r="AB205" i="3"/>
  <c r="B180" i="3"/>
  <c r="AB211" i="3"/>
  <c r="W166" i="3"/>
  <c r="AG38" i="3"/>
  <c r="AN38" i="3" s="1"/>
  <c r="S38" i="3"/>
  <c r="AL18" i="3"/>
  <c r="AL42" i="3" s="1"/>
  <c r="AL43" i="3" s="1"/>
  <c r="Q42" i="3"/>
  <c r="Q43" i="3" s="1"/>
  <c r="H171" i="3"/>
  <c r="AA226" i="3"/>
  <c r="L178" i="3"/>
  <c r="AL209" i="3"/>
  <c r="B177" i="3"/>
  <c r="AB208" i="3"/>
  <c r="L183" i="3"/>
  <c r="AL214" i="3"/>
  <c r="L176" i="3"/>
  <c r="AL207" i="3"/>
  <c r="O171" i="3"/>
  <c r="AH226" i="3"/>
  <c r="AG37" i="3"/>
  <c r="AN37" i="3" s="1"/>
  <c r="S37" i="3"/>
  <c r="L190" i="3"/>
  <c r="AL221" i="3"/>
  <c r="L20" i="3"/>
  <c r="L26" i="3"/>
  <c r="W40" i="3"/>
  <c r="AD40" i="3" s="1"/>
  <c r="I40" i="3"/>
  <c r="AB73" i="3"/>
  <c r="AL165" i="3"/>
  <c r="B32" i="3"/>
  <c r="B172" i="3"/>
  <c r="AB203" i="3"/>
  <c r="L188" i="3"/>
  <c r="AL219" i="3"/>
  <c r="J24" i="15"/>
  <c r="G36" i="15" l="1"/>
  <c r="G44" i="15" s="1"/>
  <c r="G35" i="15"/>
  <c r="G43" i="15" s="1"/>
  <c r="G37" i="15"/>
  <c r="G45" i="15" s="1"/>
  <c r="G34" i="15"/>
  <c r="B33" i="15"/>
  <c r="M33" i="15"/>
  <c r="Y33" i="15"/>
  <c r="AJ33" i="15"/>
  <c r="AD37" i="15"/>
  <c r="AD36" i="15"/>
  <c r="AD34" i="15"/>
  <c r="AD35" i="15"/>
  <c r="AE33" i="15"/>
  <c r="AD38" i="15"/>
  <c r="AG33" i="15"/>
  <c r="AD39" i="15"/>
  <c r="AD40" i="15"/>
  <c r="AD41" i="15"/>
  <c r="AD46" i="15"/>
  <c r="AD47" i="15"/>
  <c r="AD48" i="15"/>
  <c r="AD49" i="15"/>
  <c r="AD50" i="15"/>
  <c r="AD55" i="15"/>
  <c r="AD60" i="15"/>
  <c r="AD61" i="15"/>
  <c r="AD62" i="15"/>
  <c r="AD63" i="15"/>
  <c r="AD64" i="15"/>
  <c r="AD65" i="15"/>
  <c r="AD66" i="15"/>
  <c r="AD67" i="15"/>
  <c r="AD68" i="15"/>
  <c r="AD69" i="15"/>
  <c r="AD70" i="15"/>
  <c r="AD71" i="15"/>
  <c r="AD72" i="15"/>
  <c r="AD73" i="15"/>
  <c r="AD74" i="15"/>
  <c r="AD75" i="15"/>
  <c r="AD80" i="15"/>
  <c r="AD81" i="15"/>
  <c r="AD82" i="15"/>
  <c r="AD83" i="15"/>
  <c r="AP33" i="15"/>
  <c r="AO75" i="15"/>
  <c r="AR33" i="15"/>
  <c r="W171" i="3"/>
  <c r="B195" i="3"/>
  <c r="I171" i="3"/>
  <c r="AG190" i="3"/>
  <c r="AN190" i="3" s="1"/>
  <c r="S190" i="3"/>
  <c r="AG183" i="3"/>
  <c r="AN183" i="3" s="1"/>
  <c r="S183" i="3"/>
  <c r="W35" i="3"/>
  <c r="AD35" i="3" s="1"/>
  <c r="I35" i="3"/>
  <c r="AB166" i="3"/>
  <c r="W38" i="3"/>
  <c r="AD38" i="3" s="1"/>
  <c r="I38" i="3"/>
  <c r="AB18" i="3"/>
  <c r="AB42" i="3" s="1"/>
  <c r="AB43" i="3" s="1"/>
  <c r="G42" i="3"/>
  <c r="G43" i="3" s="1"/>
  <c r="W190" i="3"/>
  <c r="AD190" i="3" s="1"/>
  <c r="I190" i="3"/>
  <c r="W178" i="3"/>
  <c r="AD178" i="3" s="1"/>
  <c r="I178" i="3"/>
  <c r="Z171" i="3"/>
  <c r="Z195" i="3" s="1"/>
  <c r="Z196" i="3" s="1"/>
  <c r="E195" i="3"/>
  <c r="E196" i="3" s="1"/>
  <c r="AG186" i="3"/>
  <c r="AN186" i="3" s="1"/>
  <c r="S186" i="3"/>
  <c r="W189" i="3"/>
  <c r="AD189" i="3" s="1"/>
  <c r="I189" i="3"/>
  <c r="W192" i="3"/>
  <c r="AD192" i="3" s="1"/>
  <c r="I192" i="3"/>
  <c r="W186" i="3"/>
  <c r="AD186" i="3" s="1"/>
  <c r="I186" i="3"/>
  <c r="W173" i="3"/>
  <c r="AD173" i="3" s="1"/>
  <c r="I173" i="3"/>
  <c r="W29" i="3"/>
  <c r="AD29" i="3" s="1"/>
  <c r="I29" i="3"/>
  <c r="AL171" i="3"/>
  <c r="AL195" i="3" s="1"/>
  <c r="AL196" i="3" s="1"/>
  <c r="Q195" i="3"/>
  <c r="Q196" i="3" s="1"/>
  <c r="Y171" i="3"/>
  <c r="Y195" i="3" s="1"/>
  <c r="Y196" i="3" s="1"/>
  <c r="D195" i="3"/>
  <c r="D196" i="3" s="1"/>
  <c r="W177" i="3"/>
  <c r="AD177" i="3" s="1"/>
  <c r="I177" i="3"/>
  <c r="W187" i="3"/>
  <c r="AD187" i="3" s="1"/>
  <c r="I187" i="3"/>
  <c r="AH171" i="3"/>
  <c r="AH195" i="3" s="1"/>
  <c r="AH196" i="3" s="1"/>
  <c r="M195" i="3"/>
  <c r="M196" i="3" s="1"/>
  <c r="W26" i="3"/>
  <c r="AD26" i="3" s="1"/>
  <c r="AE24" i="3" s="1"/>
  <c r="I26" i="3"/>
  <c r="J24" i="3" s="1"/>
  <c r="AG39" i="3"/>
  <c r="AN39" i="3" s="1"/>
  <c r="S39" i="3"/>
  <c r="AG182" i="3"/>
  <c r="AN182" i="3" s="1"/>
  <c r="S182" i="3"/>
  <c r="W31" i="3"/>
  <c r="AD31" i="3" s="1"/>
  <c r="I31" i="3"/>
  <c r="AG24" i="3"/>
  <c r="AN24" i="3" s="1"/>
  <c r="S24" i="3"/>
  <c r="W33" i="3"/>
  <c r="AD33" i="3" s="1"/>
  <c r="I33" i="3"/>
  <c r="AM171" i="3"/>
  <c r="AM195" i="3" s="1"/>
  <c r="AM196" i="3" s="1"/>
  <c r="R195" i="3"/>
  <c r="R196" i="3" s="1"/>
  <c r="W184" i="3"/>
  <c r="AD184" i="3" s="1"/>
  <c r="I184" i="3"/>
  <c r="AG27" i="3"/>
  <c r="AN27" i="3" s="1"/>
  <c r="S27" i="3"/>
  <c r="W32" i="3"/>
  <c r="AD32" i="3" s="1"/>
  <c r="I32" i="3"/>
  <c r="W176" i="3"/>
  <c r="AD176" i="3" s="1"/>
  <c r="I176" i="3"/>
  <c r="AI18" i="3"/>
  <c r="AI42" i="3" s="1"/>
  <c r="AI43" i="3" s="1"/>
  <c r="N42" i="3"/>
  <c r="N43" i="3" s="1"/>
  <c r="AG189" i="3"/>
  <c r="AN189" i="3" s="1"/>
  <c r="S189" i="3"/>
  <c r="AB171" i="3"/>
  <c r="AB195" i="3" s="1"/>
  <c r="AB196" i="3" s="1"/>
  <c r="G195" i="3"/>
  <c r="G196" i="3" s="1"/>
  <c r="AA171" i="3"/>
  <c r="AA195" i="3" s="1"/>
  <c r="AA196" i="3" s="1"/>
  <c r="F195" i="3"/>
  <c r="F196" i="3" s="1"/>
  <c r="AG19" i="3"/>
  <c r="AN19" i="3" s="1"/>
  <c r="S19" i="3"/>
  <c r="AG18" i="3"/>
  <c r="L42" i="3"/>
  <c r="S18" i="3"/>
  <c r="AG193" i="3"/>
  <c r="AN193" i="3" s="1"/>
  <c r="S193" i="3"/>
  <c r="AL226" i="3"/>
  <c r="AG194" i="3"/>
  <c r="AN194" i="3" s="1"/>
  <c r="S194" i="3"/>
  <c r="AK171" i="3"/>
  <c r="AK195" i="3" s="1"/>
  <c r="AK196" i="3" s="1"/>
  <c r="P195" i="3"/>
  <c r="P196" i="3" s="1"/>
  <c r="AL166" i="3"/>
  <c r="W185" i="3"/>
  <c r="AD185" i="3" s="1"/>
  <c r="I185" i="3"/>
  <c r="AG178" i="3"/>
  <c r="AN178" i="3" s="1"/>
  <c r="S178" i="3"/>
  <c r="AG184" i="3"/>
  <c r="AN184" i="3" s="1"/>
  <c r="S184" i="3"/>
  <c r="W191" i="3"/>
  <c r="AD191" i="3" s="1"/>
  <c r="I191" i="3"/>
  <c r="AG172" i="3"/>
  <c r="AN172" i="3" s="1"/>
  <c r="S172" i="3"/>
  <c r="W172" i="3"/>
  <c r="AD172" i="3" s="1"/>
  <c r="I172" i="3"/>
  <c r="W194" i="3"/>
  <c r="AD194" i="3" s="1"/>
  <c r="I194" i="3"/>
  <c r="AB226" i="3"/>
  <c r="W175" i="3"/>
  <c r="AD175" i="3" s="1"/>
  <c r="I175" i="3"/>
  <c r="AG26" i="3"/>
  <c r="AN26" i="3" s="1"/>
  <c r="S26" i="3"/>
  <c r="W180" i="3"/>
  <c r="AD180" i="3" s="1"/>
  <c r="I180" i="3"/>
  <c r="W21" i="3"/>
  <c r="AD21" i="3" s="1"/>
  <c r="I21" i="3"/>
  <c r="J37" i="3" s="1"/>
  <c r="AG33" i="3"/>
  <c r="AN33" i="3" s="1"/>
  <c r="AO33" i="3" s="1"/>
  <c r="S33" i="3"/>
  <c r="T33" i="3" s="1"/>
  <c r="I36" i="15" s="1"/>
  <c r="W181" i="3"/>
  <c r="AD181" i="3" s="1"/>
  <c r="I181" i="3"/>
  <c r="AG177" i="3"/>
  <c r="AN177" i="3" s="1"/>
  <c r="S177" i="3"/>
  <c r="X171" i="3"/>
  <c r="X195" i="3" s="1"/>
  <c r="X196" i="3" s="1"/>
  <c r="C195" i="3"/>
  <c r="C196" i="3" s="1"/>
  <c r="AG185" i="3"/>
  <c r="AN185" i="3" s="1"/>
  <c r="S185" i="3"/>
  <c r="AG180" i="3"/>
  <c r="AN180" i="3" s="1"/>
  <c r="S180" i="3"/>
  <c r="AG175" i="3"/>
  <c r="AN175" i="3" s="1"/>
  <c r="S175" i="3"/>
  <c r="B42" i="3"/>
  <c r="W174" i="3"/>
  <c r="AD174" i="3" s="1"/>
  <c r="I174" i="3"/>
  <c r="W183" i="3"/>
  <c r="AD183" i="3" s="1"/>
  <c r="I183" i="3"/>
  <c r="AJ171" i="3"/>
  <c r="AJ195" i="3" s="1"/>
  <c r="AJ196" i="3" s="1"/>
  <c r="O195" i="3"/>
  <c r="O196" i="3" s="1"/>
  <c r="AG21" i="3"/>
  <c r="AN21" i="3" s="1"/>
  <c r="S21" i="3"/>
  <c r="AG23" i="3"/>
  <c r="AN23" i="3" s="1"/>
  <c r="S23" i="3"/>
  <c r="AG188" i="3"/>
  <c r="AN188" i="3" s="1"/>
  <c r="S188" i="3"/>
  <c r="AG20" i="3"/>
  <c r="AN20" i="3" s="1"/>
  <c r="S20" i="3"/>
  <c r="AG176" i="3"/>
  <c r="AN176" i="3" s="1"/>
  <c r="S176" i="3"/>
  <c r="AC171" i="3"/>
  <c r="AC195" i="3" s="1"/>
  <c r="AC196" i="3" s="1"/>
  <c r="H195" i="3"/>
  <c r="H196" i="3" s="1"/>
  <c r="W193" i="3"/>
  <c r="AD193" i="3" s="1"/>
  <c r="I193" i="3"/>
  <c r="AG173" i="3"/>
  <c r="AN173" i="3" s="1"/>
  <c r="S173" i="3"/>
  <c r="AG191" i="3"/>
  <c r="AN191" i="3" s="1"/>
  <c r="S191" i="3"/>
  <c r="W188" i="3"/>
  <c r="AD188" i="3" s="1"/>
  <c r="I188" i="3"/>
  <c r="W182" i="3"/>
  <c r="AD182" i="3" s="1"/>
  <c r="I182" i="3"/>
  <c r="AG171" i="3"/>
  <c r="S171" i="3"/>
  <c r="L195" i="3"/>
  <c r="AG28" i="3"/>
  <c r="AN28" i="3" s="1"/>
  <c r="S28" i="3"/>
  <c r="AG181" i="3"/>
  <c r="AN181" i="3" s="1"/>
  <c r="S181" i="3"/>
  <c r="AG179" i="3"/>
  <c r="AN179" i="3" s="1"/>
  <c r="S179" i="3"/>
  <c r="AG187" i="3"/>
  <c r="AN187" i="3" s="1"/>
  <c r="S187" i="3"/>
  <c r="AI171" i="3"/>
  <c r="AI195" i="3" s="1"/>
  <c r="AI196" i="3" s="1"/>
  <c r="N195" i="3"/>
  <c r="N196" i="3" s="1"/>
  <c r="AG40" i="3"/>
  <c r="AN40" i="3" s="1"/>
  <c r="S40" i="3"/>
  <c r="AG192" i="3"/>
  <c r="AN192" i="3" s="1"/>
  <c r="S192" i="3"/>
  <c r="W179" i="3"/>
  <c r="AD179" i="3" s="1"/>
  <c r="I179" i="3"/>
  <c r="AG174" i="3"/>
  <c r="AN174" i="3" s="1"/>
  <c r="S174" i="3"/>
  <c r="R39" i="15"/>
  <c r="R62" i="15"/>
  <c r="R70" i="15"/>
  <c r="R80" i="15"/>
  <c r="R40" i="15"/>
  <c r="R63" i="15"/>
  <c r="R71" i="15"/>
  <c r="R60" i="15"/>
  <c r="R41" i="15"/>
  <c r="R64" i="15"/>
  <c r="R72" i="15"/>
  <c r="R55" i="15"/>
  <c r="R47" i="15"/>
  <c r="R65" i="15"/>
  <c r="R73" i="15"/>
  <c r="R46" i="15"/>
  <c r="R48" i="15"/>
  <c r="R66" i="15"/>
  <c r="R74" i="15"/>
  <c r="R38" i="15"/>
  <c r="R82" i="15"/>
  <c r="R49" i="15"/>
  <c r="R67" i="15"/>
  <c r="R75" i="15"/>
  <c r="S75" i="15" s="1"/>
  <c r="R83" i="15"/>
  <c r="R69" i="15"/>
  <c r="R50" i="15"/>
  <c r="R68" i="15"/>
  <c r="R81" i="15"/>
  <c r="R61" i="15"/>
  <c r="G47" i="15"/>
  <c r="G65" i="15"/>
  <c r="G73" i="15"/>
  <c r="G55" i="15"/>
  <c r="G48" i="15"/>
  <c r="G66" i="15"/>
  <c r="G74" i="15"/>
  <c r="G46" i="15"/>
  <c r="G49" i="15"/>
  <c r="G67" i="15"/>
  <c r="G75" i="15"/>
  <c r="G39" i="15"/>
  <c r="G50" i="15"/>
  <c r="G68" i="15"/>
  <c r="G81" i="15"/>
  <c r="G40" i="15"/>
  <c r="G61" i="15"/>
  <c r="G69" i="15"/>
  <c r="G82" i="15"/>
  <c r="G41" i="15"/>
  <c r="G60" i="15"/>
  <c r="G62" i="15"/>
  <c r="G70" i="15"/>
  <c r="G83" i="15"/>
  <c r="G38" i="15"/>
  <c r="G72" i="15"/>
  <c r="G63" i="15"/>
  <c r="G71" i="15"/>
  <c r="G80" i="15"/>
  <c r="G64" i="15"/>
  <c r="H33" i="15"/>
  <c r="S33" i="15"/>
  <c r="U33" i="15"/>
  <c r="J33" i="15"/>
  <c r="M36" i="15" l="1"/>
  <c r="M37" i="15"/>
  <c r="M35" i="15"/>
  <c r="M34" i="15"/>
  <c r="AJ37" i="15"/>
  <c r="AJ34" i="15"/>
  <c r="AJ35" i="15"/>
  <c r="AJ36" i="15"/>
  <c r="Y37" i="15"/>
  <c r="Y36" i="15"/>
  <c r="Y34" i="15"/>
  <c r="Y35" i="15"/>
  <c r="B37" i="15"/>
  <c r="B36" i="15"/>
  <c r="B35" i="15"/>
  <c r="B34" i="15"/>
  <c r="J33" i="3"/>
  <c r="D36" i="15" s="1"/>
  <c r="AD18" i="3"/>
  <c r="AE37" i="3" s="1"/>
  <c r="AE28" i="3"/>
  <c r="Z33" i="15"/>
  <c r="Y38" i="15"/>
  <c r="AB33" i="15"/>
  <c r="Y75" i="15"/>
  <c r="Y39" i="15"/>
  <c r="Y40" i="15"/>
  <c r="Y41" i="15"/>
  <c r="Y46" i="15"/>
  <c r="Y47" i="15"/>
  <c r="Y48" i="15"/>
  <c r="Y49" i="15"/>
  <c r="Y50" i="15"/>
  <c r="Y55" i="15"/>
  <c r="Y60" i="15"/>
  <c r="Y61" i="15"/>
  <c r="Y62" i="15"/>
  <c r="Y63" i="15"/>
  <c r="Y64" i="15"/>
  <c r="Y65" i="15"/>
  <c r="Y66" i="15"/>
  <c r="Y67" i="15"/>
  <c r="Y68" i="15"/>
  <c r="Y69" i="15"/>
  <c r="Y70" i="15"/>
  <c r="Y71" i="15"/>
  <c r="Y72" i="15"/>
  <c r="Y73" i="15"/>
  <c r="Y74" i="15"/>
  <c r="Y80" i="15"/>
  <c r="Y81" i="15"/>
  <c r="Y82" i="15"/>
  <c r="Y83" i="15"/>
  <c r="AG39" i="15"/>
  <c r="AE39" i="15"/>
  <c r="AE74" i="15"/>
  <c r="AG74" i="15"/>
  <c r="AG66" i="15"/>
  <c r="AE66" i="15"/>
  <c r="AG50" i="15"/>
  <c r="AE50" i="15"/>
  <c r="AE37" i="15"/>
  <c r="AP37" i="15" s="1"/>
  <c r="AG37" i="15"/>
  <c r="AR37" i="15" s="1"/>
  <c r="AO37" i="15"/>
  <c r="AD45" i="15"/>
  <c r="AD54" i="15"/>
  <c r="AD59" i="15"/>
  <c r="AD79" i="15"/>
  <c r="AE55" i="15"/>
  <c r="AG55" i="15"/>
  <c r="AO38" i="15"/>
  <c r="AR75" i="15"/>
  <c r="AO80" i="15"/>
  <c r="AP75" i="15"/>
  <c r="AG73" i="15"/>
  <c r="AE73" i="15"/>
  <c r="AG65" i="15"/>
  <c r="AE65" i="15"/>
  <c r="AG49" i="15"/>
  <c r="AE49" i="15"/>
  <c r="AG34" i="15"/>
  <c r="AR34" i="15" s="1"/>
  <c r="AO34" i="15"/>
  <c r="AE34" i="15"/>
  <c r="AP34" i="15" s="1"/>
  <c r="AD42" i="15"/>
  <c r="AD51" i="15"/>
  <c r="AD56" i="15"/>
  <c r="AD76" i="15"/>
  <c r="AE67" i="15"/>
  <c r="AG67" i="15"/>
  <c r="AG72" i="15"/>
  <c r="AE72" i="15"/>
  <c r="AE64" i="15"/>
  <c r="AG64" i="15"/>
  <c r="AG48" i="15"/>
  <c r="AE48" i="15"/>
  <c r="AG83" i="15"/>
  <c r="AE83" i="15"/>
  <c r="AE71" i="15"/>
  <c r="AG71" i="15"/>
  <c r="AG63" i="15"/>
  <c r="AE63" i="15"/>
  <c r="AE47" i="15"/>
  <c r="AG47" i="15"/>
  <c r="AE38" i="15"/>
  <c r="AG38" i="15"/>
  <c r="AG82" i="15"/>
  <c r="AE82" i="15"/>
  <c r="AG70" i="15"/>
  <c r="AE70" i="15"/>
  <c r="AG62" i="15"/>
  <c r="AE62" i="15"/>
  <c r="AG46" i="15"/>
  <c r="AE46" i="15"/>
  <c r="AE36" i="15"/>
  <c r="AP36" i="15" s="1"/>
  <c r="AO36" i="15"/>
  <c r="AG36" i="15"/>
  <c r="AR36" i="15" s="1"/>
  <c r="AD44" i="15"/>
  <c r="AD53" i="15"/>
  <c r="AD58" i="15"/>
  <c r="AD78" i="15"/>
  <c r="AG81" i="15"/>
  <c r="AE81" i="15"/>
  <c r="AG69" i="15"/>
  <c r="AE69" i="15"/>
  <c r="AG61" i="15"/>
  <c r="AE61" i="15"/>
  <c r="AE41" i="15"/>
  <c r="AG41" i="15"/>
  <c r="AE75" i="15"/>
  <c r="AG75" i="15"/>
  <c r="J28" i="3"/>
  <c r="AK33" i="15"/>
  <c r="AM33" i="15"/>
  <c r="AJ75" i="15"/>
  <c r="AE80" i="15"/>
  <c r="AG80" i="15"/>
  <c r="AG68" i="15"/>
  <c r="AE68" i="15"/>
  <c r="AE60" i="15"/>
  <c r="AG60" i="15"/>
  <c r="AE40" i="15"/>
  <c r="AG40" i="15"/>
  <c r="AE35" i="15"/>
  <c r="AP35" i="15" s="1"/>
  <c r="AO35" i="15"/>
  <c r="AG35" i="15"/>
  <c r="AR35" i="15" s="1"/>
  <c r="AD43" i="15"/>
  <c r="AD52" i="15"/>
  <c r="AD57" i="15"/>
  <c r="AD77" i="15"/>
  <c r="T24" i="3"/>
  <c r="I34" i="15" s="1"/>
  <c r="AE186" i="3"/>
  <c r="AO24" i="3"/>
  <c r="AO186" i="3"/>
  <c r="T37" i="3"/>
  <c r="I37" i="15" s="1"/>
  <c r="M10" i="3"/>
  <c r="S42" i="3"/>
  <c r="L43" i="3"/>
  <c r="S43" i="3" s="1"/>
  <c r="I33" i="15" s="1"/>
  <c r="T33" i="15" s="1"/>
  <c r="V33" i="15" s="1"/>
  <c r="AN171" i="3"/>
  <c r="AO190" i="3" s="1"/>
  <c r="AG195" i="3"/>
  <c r="J181" i="3"/>
  <c r="AG42" i="3"/>
  <c r="AN18" i="3"/>
  <c r="AO37" i="3" s="1"/>
  <c r="T28" i="3"/>
  <c r="N12" i="3"/>
  <c r="I44" i="15" s="1"/>
  <c r="AE181" i="3"/>
  <c r="AO28" i="3"/>
  <c r="AO177" i="3"/>
  <c r="W42" i="3"/>
  <c r="T181" i="3"/>
  <c r="AF35" i="15" s="1"/>
  <c r="T190" i="3"/>
  <c r="AF37" i="15" s="1"/>
  <c r="AO181" i="3"/>
  <c r="J177" i="3"/>
  <c r="B43" i="3"/>
  <c r="I43" i="3" s="1"/>
  <c r="D33" i="15" s="1"/>
  <c r="I42" i="3"/>
  <c r="J42" i="3"/>
  <c r="J25" i="3" s="1"/>
  <c r="T186" i="3"/>
  <c r="AF36" i="15" s="1"/>
  <c r="J186" i="3"/>
  <c r="AE177" i="3"/>
  <c r="B196" i="3"/>
  <c r="I196" i="3" s="1"/>
  <c r="AA33" i="15" s="1"/>
  <c r="I195" i="3"/>
  <c r="L196" i="3"/>
  <c r="S196" i="3" s="1"/>
  <c r="AF33" i="15" s="1"/>
  <c r="AH33" i="15" s="1"/>
  <c r="S195" i="3"/>
  <c r="T177" i="3"/>
  <c r="AF34" i="15" s="1"/>
  <c r="AE33" i="3"/>
  <c r="J190" i="3"/>
  <c r="AD171" i="3"/>
  <c r="AE190" i="3" s="1"/>
  <c r="W195" i="3"/>
  <c r="G76" i="15"/>
  <c r="G42" i="15"/>
  <c r="U75" i="15"/>
  <c r="M80" i="15"/>
  <c r="M68" i="15"/>
  <c r="M60" i="15"/>
  <c r="M40" i="15"/>
  <c r="M65" i="15"/>
  <c r="M61" i="15"/>
  <c r="M69" i="15"/>
  <c r="M55" i="15"/>
  <c r="M41" i="15"/>
  <c r="M81" i="15"/>
  <c r="M83" i="15"/>
  <c r="M62" i="15"/>
  <c r="M70" i="15"/>
  <c r="M50" i="15"/>
  <c r="M73" i="15"/>
  <c r="M67" i="15"/>
  <c r="M63" i="15"/>
  <c r="M71" i="15"/>
  <c r="M49" i="15"/>
  <c r="M38" i="15"/>
  <c r="M47" i="15"/>
  <c r="M75" i="15"/>
  <c r="M64" i="15"/>
  <c r="M72" i="15"/>
  <c r="M48" i="15"/>
  <c r="M82" i="15"/>
  <c r="M66" i="15"/>
  <c r="M74" i="15"/>
  <c r="M46" i="15"/>
  <c r="M39" i="15"/>
  <c r="B45" i="15"/>
  <c r="B82" i="15"/>
  <c r="B66" i="15"/>
  <c r="B74" i="15"/>
  <c r="B46" i="15"/>
  <c r="B83" i="15"/>
  <c r="B67" i="15"/>
  <c r="B75" i="15"/>
  <c r="B41" i="15"/>
  <c r="B80" i="15"/>
  <c r="B68" i="15"/>
  <c r="B60" i="15"/>
  <c r="B39" i="15"/>
  <c r="B61" i="15"/>
  <c r="B69" i="15"/>
  <c r="B55" i="15"/>
  <c r="B40" i="15"/>
  <c r="B62" i="15"/>
  <c r="B70" i="15"/>
  <c r="B50" i="15"/>
  <c r="B38" i="15"/>
  <c r="B63" i="15"/>
  <c r="B71" i="15"/>
  <c r="B49" i="15"/>
  <c r="B64" i="15"/>
  <c r="B72" i="15"/>
  <c r="B48" i="15"/>
  <c r="B81" i="15"/>
  <c r="B65" i="15"/>
  <c r="B73" i="15"/>
  <c r="B47" i="15"/>
  <c r="N33" i="15"/>
  <c r="P33" i="15"/>
  <c r="S38" i="15"/>
  <c r="U38" i="15"/>
  <c r="S39" i="15"/>
  <c r="U39" i="15"/>
  <c r="S80" i="15"/>
  <c r="U80" i="15"/>
  <c r="C33" i="15"/>
  <c r="B58" i="15"/>
  <c r="E33" i="15"/>
  <c r="G59" i="15"/>
  <c r="G79" i="15"/>
  <c r="G54" i="15"/>
  <c r="G58" i="15"/>
  <c r="G78" i="15"/>
  <c r="G53" i="15"/>
  <c r="G77" i="15"/>
  <c r="G52" i="15"/>
  <c r="G57" i="15"/>
  <c r="G51" i="15"/>
  <c r="G56" i="15"/>
  <c r="R34" i="15"/>
  <c r="R42" i="15" s="1"/>
  <c r="R37" i="15"/>
  <c r="R45" i="15" s="1"/>
  <c r="T36" i="15"/>
  <c r="R36" i="15"/>
  <c r="R44" i="15" s="1"/>
  <c r="R35" i="15"/>
  <c r="R43" i="15" s="1"/>
  <c r="D34" i="15"/>
  <c r="O34" i="15"/>
  <c r="D37" i="15"/>
  <c r="O37" i="15"/>
  <c r="J34" i="15"/>
  <c r="U34" i="15" s="1"/>
  <c r="H34" i="15"/>
  <c r="S34" i="15" s="1"/>
  <c r="J37" i="15"/>
  <c r="U37" i="15" s="1"/>
  <c r="H37" i="15"/>
  <c r="S37" i="15" s="1"/>
  <c r="J36" i="15"/>
  <c r="H36" i="15"/>
  <c r="S36" i="15" s="1"/>
  <c r="H35" i="15"/>
  <c r="S35" i="15" s="1"/>
  <c r="J35" i="15"/>
  <c r="U35" i="15" s="1"/>
  <c r="O36" i="15" l="1"/>
  <c r="D42" i="15"/>
  <c r="M11" i="3"/>
  <c r="O35" i="15"/>
  <c r="D35" i="15"/>
  <c r="T42" i="3"/>
  <c r="T29" i="3" s="1"/>
  <c r="AG45" i="15"/>
  <c r="AE45" i="15"/>
  <c r="Z74" i="15"/>
  <c r="AB74" i="15"/>
  <c r="AB75" i="15"/>
  <c r="Z75" i="15"/>
  <c r="AA36" i="15"/>
  <c r="AL36" i="15"/>
  <c r="AQ37" i="15"/>
  <c r="AH37" i="15"/>
  <c r="AS37" i="15" s="1"/>
  <c r="AE52" i="15"/>
  <c r="AG52" i="15"/>
  <c r="AJ56" i="15"/>
  <c r="AM34" i="15"/>
  <c r="AJ42" i="15"/>
  <c r="AK34" i="15"/>
  <c r="AJ51" i="15"/>
  <c r="AJ76" i="15"/>
  <c r="AG58" i="15"/>
  <c r="AE58" i="15"/>
  <c r="AO59" i="15"/>
  <c r="AO45" i="15"/>
  <c r="AO79" i="15"/>
  <c r="AO54" i="15"/>
  <c r="AB73" i="15"/>
  <c r="Z73" i="15"/>
  <c r="Z65" i="15"/>
  <c r="AB65" i="15"/>
  <c r="Z49" i="15"/>
  <c r="AB49" i="15"/>
  <c r="AB66" i="15"/>
  <c r="Z66" i="15"/>
  <c r="AQ36" i="15"/>
  <c r="AH36" i="15"/>
  <c r="AS36" i="15" s="1"/>
  <c r="AQ35" i="15"/>
  <c r="AH35" i="15"/>
  <c r="AS35" i="15" s="1"/>
  <c r="AG43" i="15"/>
  <c r="AE43" i="15"/>
  <c r="AG53" i="15"/>
  <c r="AE53" i="15"/>
  <c r="AG76" i="15"/>
  <c r="AE76" i="15"/>
  <c r="AP38" i="15"/>
  <c r="AR38" i="15"/>
  <c r="AO39" i="15"/>
  <c r="AB72" i="15"/>
  <c r="Z72" i="15"/>
  <c r="AB64" i="15"/>
  <c r="Z64" i="15"/>
  <c r="Z48" i="15"/>
  <c r="AB48" i="15"/>
  <c r="AB35" i="15"/>
  <c r="Z35" i="15"/>
  <c r="Y43" i="15"/>
  <c r="Y52" i="15"/>
  <c r="Y57" i="15"/>
  <c r="Y77" i="15"/>
  <c r="AE78" i="15"/>
  <c r="AG78" i="15"/>
  <c r="Z50" i="15"/>
  <c r="AB50" i="15"/>
  <c r="I35" i="15"/>
  <c r="T35" i="15" s="1"/>
  <c r="AQ34" i="15"/>
  <c r="AH34" i="15"/>
  <c r="AS34" i="15" s="1"/>
  <c r="AG44" i="15"/>
  <c r="AE44" i="15"/>
  <c r="AE56" i="15"/>
  <c r="AG56" i="15"/>
  <c r="AB71" i="15"/>
  <c r="Z71" i="15"/>
  <c r="AB63" i="15"/>
  <c r="Z63" i="15"/>
  <c r="Z47" i="15"/>
  <c r="AB47" i="15"/>
  <c r="Z34" i="15"/>
  <c r="AB34" i="15"/>
  <c r="Y42" i="15"/>
  <c r="Y51" i="15"/>
  <c r="Y56" i="15"/>
  <c r="Y76" i="15"/>
  <c r="AA35" i="15"/>
  <c r="AL35" i="15"/>
  <c r="AO43" i="15"/>
  <c r="AO57" i="15"/>
  <c r="AO52" i="15"/>
  <c r="AO77" i="15"/>
  <c r="AK37" i="15"/>
  <c r="AJ45" i="15"/>
  <c r="AM37" i="15"/>
  <c r="AJ59" i="15"/>
  <c r="AJ54" i="15"/>
  <c r="AJ79" i="15"/>
  <c r="AG51" i="15"/>
  <c r="AE51" i="15"/>
  <c r="AB83" i="15"/>
  <c r="Z83" i="15"/>
  <c r="AB70" i="15"/>
  <c r="Z70" i="15"/>
  <c r="AB62" i="15"/>
  <c r="Z62" i="15"/>
  <c r="Z46" i="15"/>
  <c r="AB46" i="15"/>
  <c r="Z37" i="15"/>
  <c r="AB37" i="15"/>
  <c r="Y45" i="15"/>
  <c r="Y54" i="15"/>
  <c r="Y59" i="15"/>
  <c r="Y79" i="15"/>
  <c r="AL37" i="15"/>
  <c r="AA37" i="15"/>
  <c r="AQ33" i="15"/>
  <c r="AS33" i="15" s="1"/>
  <c r="AO58" i="15"/>
  <c r="AO53" i="15"/>
  <c r="AO44" i="15"/>
  <c r="AO78" i="15"/>
  <c r="AG42" i="15"/>
  <c r="AE42" i="15"/>
  <c r="AE79" i="15"/>
  <c r="AG79" i="15"/>
  <c r="Z82" i="15"/>
  <c r="AB82" i="15"/>
  <c r="Z69" i="15"/>
  <c r="AB69" i="15"/>
  <c r="Z61" i="15"/>
  <c r="AB61" i="15"/>
  <c r="Z41" i="15"/>
  <c r="AB41" i="15"/>
  <c r="Z38" i="15"/>
  <c r="AB38" i="15"/>
  <c r="AJ38" i="15"/>
  <c r="AM75" i="15"/>
  <c r="AJ80" i="15"/>
  <c r="AK75" i="15"/>
  <c r="AR80" i="15"/>
  <c r="AO81" i="15"/>
  <c r="AP80" i="15"/>
  <c r="AL34" i="15"/>
  <c r="AA34" i="15"/>
  <c r="AM35" i="15"/>
  <c r="AJ57" i="15"/>
  <c r="AJ52" i="15"/>
  <c r="AJ43" i="15"/>
  <c r="AK35" i="15"/>
  <c r="AJ77" i="15"/>
  <c r="AG59" i="15"/>
  <c r="AE59" i="15"/>
  <c r="Z81" i="15"/>
  <c r="AB81" i="15"/>
  <c r="AB68" i="15"/>
  <c r="Z68" i="15"/>
  <c r="Z60" i="15"/>
  <c r="AB60" i="15"/>
  <c r="AB40" i="15"/>
  <c r="Z40" i="15"/>
  <c r="AE57" i="15"/>
  <c r="AG57" i="15"/>
  <c r="AL33" i="15"/>
  <c r="AN33" i="15" s="1"/>
  <c r="AC33" i="15"/>
  <c r="AG77" i="15"/>
  <c r="AE77" i="15"/>
  <c r="AJ58" i="15"/>
  <c r="AJ44" i="15"/>
  <c r="AM36" i="15"/>
  <c r="AJ53" i="15"/>
  <c r="AK36" i="15"/>
  <c r="AJ78" i="15"/>
  <c r="AO56" i="15"/>
  <c r="AO51" i="15"/>
  <c r="AO42" i="15"/>
  <c r="AO76" i="15"/>
  <c r="AG54" i="15"/>
  <c r="AE54" i="15"/>
  <c r="AB80" i="15"/>
  <c r="Z80" i="15"/>
  <c r="Z67" i="15"/>
  <c r="AB67" i="15"/>
  <c r="Z55" i="15"/>
  <c r="AB55" i="15"/>
  <c r="Z39" i="15"/>
  <c r="AB39" i="15"/>
  <c r="Z36" i="15"/>
  <c r="AB36" i="15"/>
  <c r="Y44" i="15"/>
  <c r="Y53" i="15"/>
  <c r="Y58" i="15"/>
  <c r="Y78" i="15"/>
  <c r="N10" i="3"/>
  <c r="I42" i="15" s="1"/>
  <c r="J34" i="3"/>
  <c r="T44" i="15"/>
  <c r="J38" i="3"/>
  <c r="O13" i="3"/>
  <c r="AE195" i="3"/>
  <c r="AE178" i="3" s="1"/>
  <c r="AO42" i="3"/>
  <c r="AO29" i="3" s="1"/>
  <c r="N13" i="3"/>
  <c r="I45" i="15" s="1"/>
  <c r="W196" i="3"/>
  <c r="AD196" i="3" s="1"/>
  <c r="AD195" i="3"/>
  <c r="O10" i="3"/>
  <c r="AD42" i="3"/>
  <c r="W43" i="3"/>
  <c r="AD43" i="3" s="1"/>
  <c r="P13" i="3"/>
  <c r="AF79" i="15" s="1"/>
  <c r="AO195" i="3"/>
  <c r="P11" i="3"/>
  <c r="AF43" i="15" s="1"/>
  <c r="P10" i="3"/>
  <c r="AF42" i="15" s="1"/>
  <c r="J195" i="3"/>
  <c r="J178" i="3" s="1"/>
  <c r="M13" i="3"/>
  <c r="D45" i="15" s="1"/>
  <c r="AE42" i="3"/>
  <c r="AE38" i="3" s="1"/>
  <c r="N11" i="3"/>
  <c r="AN42" i="3"/>
  <c r="AG43" i="3"/>
  <c r="AN43" i="3" s="1"/>
  <c r="M12" i="3"/>
  <c r="D78" i="15" s="1"/>
  <c r="O12" i="3"/>
  <c r="O11" i="3"/>
  <c r="J29" i="3"/>
  <c r="T195" i="3"/>
  <c r="AN195" i="3"/>
  <c r="AG196" i="3"/>
  <c r="AN196" i="3" s="1"/>
  <c r="P12" i="3"/>
  <c r="AF44" i="15" s="1"/>
  <c r="O33" i="15"/>
  <c r="Q33" i="15" s="1"/>
  <c r="C36" i="15"/>
  <c r="B59" i="15"/>
  <c r="E37" i="15"/>
  <c r="F37" i="15" s="1"/>
  <c r="B54" i="15"/>
  <c r="C37" i="15"/>
  <c r="B79" i="15"/>
  <c r="B78" i="15"/>
  <c r="B44" i="15"/>
  <c r="B52" i="15"/>
  <c r="B43" i="15"/>
  <c r="B53" i="15"/>
  <c r="B77" i="15"/>
  <c r="B51" i="15"/>
  <c r="B42" i="15"/>
  <c r="E34" i="15"/>
  <c r="F34" i="15" s="1"/>
  <c r="C35" i="15"/>
  <c r="B56" i="15"/>
  <c r="B76" i="15"/>
  <c r="C34" i="15"/>
  <c r="B57" i="15"/>
  <c r="E35" i="15"/>
  <c r="E36" i="15"/>
  <c r="F36" i="15" s="1"/>
  <c r="S40" i="15"/>
  <c r="U40" i="15"/>
  <c r="S81" i="15"/>
  <c r="U81" i="15"/>
  <c r="N36" i="15"/>
  <c r="P36" i="15"/>
  <c r="Q36" i="15" s="1"/>
  <c r="N35" i="15"/>
  <c r="P35" i="15"/>
  <c r="N37" i="15"/>
  <c r="P37" i="15"/>
  <c r="Q37" i="15" s="1"/>
  <c r="N75" i="15"/>
  <c r="P75" i="15"/>
  <c r="N34" i="15"/>
  <c r="P34" i="15"/>
  <c r="Q34" i="15" s="1"/>
  <c r="M43" i="15"/>
  <c r="M52" i="15"/>
  <c r="M57" i="15"/>
  <c r="M77" i="15"/>
  <c r="M42" i="15"/>
  <c r="M51" i="15"/>
  <c r="M76" i="15"/>
  <c r="M56" i="15"/>
  <c r="M45" i="15"/>
  <c r="M79" i="15"/>
  <c r="M54" i="15"/>
  <c r="M59" i="15"/>
  <c r="M44" i="15"/>
  <c r="M78" i="15"/>
  <c r="M53" i="15"/>
  <c r="M58" i="15"/>
  <c r="E45" i="15"/>
  <c r="C45" i="15"/>
  <c r="J51" i="15"/>
  <c r="H51" i="15"/>
  <c r="J76" i="15"/>
  <c r="H76" i="15"/>
  <c r="J54" i="15"/>
  <c r="H54" i="15"/>
  <c r="R79" i="15"/>
  <c r="R54" i="15"/>
  <c r="R59" i="15"/>
  <c r="J79" i="15"/>
  <c r="H79" i="15"/>
  <c r="J59" i="15"/>
  <c r="H59" i="15"/>
  <c r="R56" i="15"/>
  <c r="R76" i="15"/>
  <c r="R51" i="15"/>
  <c r="J57" i="15"/>
  <c r="H57" i="15"/>
  <c r="R77" i="15"/>
  <c r="R52" i="15"/>
  <c r="R57" i="15"/>
  <c r="J52" i="15"/>
  <c r="H52" i="15"/>
  <c r="H53" i="15"/>
  <c r="J53" i="15"/>
  <c r="J77" i="15"/>
  <c r="H77" i="15"/>
  <c r="J78" i="15"/>
  <c r="H78" i="15"/>
  <c r="R78" i="15"/>
  <c r="R53" i="15"/>
  <c r="R58" i="15"/>
  <c r="J56" i="15"/>
  <c r="H56" i="15"/>
  <c r="H58" i="15"/>
  <c r="J58" i="15"/>
  <c r="T78" i="15"/>
  <c r="T58" i="15"/>
  <c r="T53" i="15"/>
  <c r="I53" i="15"/>
  <c r="I58" i="15"/>
  <c r="I78" i="15"/>
  <c r="S43" i="15"/>
  <c r="O42" i="15"/>
  <c r="C58" i="15"/>
  <c r="E58" i="15"/>
  <c r="D51" i="15"/>
  <c r="D56" i="15"/>
  <c r="D76" i="15"/>
  <c r="T34" i="15"/>
  <c r="T37" i="15"/>
  <c r="O51" i="15"/>
  <c r="O76" i="15"/>
  <c r="O56" i="15"/>
  <c r="K36" i="15"/>
  <c r="V36" i="15" s="1"/>
  <c r="U36" i="15"/>
  <c r="K37" i="15"/>
  <c r="K34" i="15"/>
  <c r="H43" i="15"/>
  <c r="J43" i="15"/>
  <c r="J45" i="15"/>
  <c r="H45" i="15"/>
  <c r="J44" i="15"/>
  <c r="K44" i="15" s="1"/>
  <c r="H44" i="15"/>
  <c r="J42" i="15"/>
  <c r="H42" i="15"/>
  <c r="H75" i="15"/>
  <c r="O79" i="15" l="1"/>
  <c r="D59" i="15"/>
  <c r="O45" i="15"/>
  <c r="O59" i="15"/>
  <c r="D79" i="15"/>
  <c r="O54" i="15"/>
  <c r="D53" i="15"/>
  <c r="Q35" i="15"/>
  <c r="F35" i="15"/>
  <c r="I56" i="15"/>
  <c r="K56" i="15" s="1"/>
  <c r="I51" i="15"/>
  <c r="K51" i="15" s="1"/>
  <c r="I76" i="15"/>
  <c r="K76" i="15" s="1"/>
  <c r="T42" i="15"/>
  <c r="O43" i="15"/>
  <c r="D57" i="15"/>
  <c r="D43" i="15"/>
  <c r="O52" i="15"/>
  <c r="O57" i="15"/>
  <c r="D52" i="15"/>
  <c r="O77" i="15"/>
  <c r="D77" i="15"/>
  <c r="D54" i="15"/>
  <c r="T25" i="3"/>
  <c r="T34" i="3"/>
  <c r="T38" i="3"/>
  <c r="AN36" i="15"/>
  <c r="C79" i="15"/>
  <c r="C78" i="15"/>
  <c r="C54" i="15"/>
  <c r="O53" i="15"/>
  <c r="I59" i="15"/>
  <c r="K59" i="15" s="1"/>
  <c r="T45" i="15"/>
  <c r="AC36" i="15"/>
  <c r="I79" i="15"/>
  <c r="K79" i="15" s="1"/>
  <c r="I54" i="15"/>
  <c r="K54" i="15" s="1"/>
  <c r="T43" i="15"/>
  <c r="AN35" i="15"/>
  <c r="AF59" i="15"/>
  <c r="AH59" i="15" s="1"/>
  <c r="AK53" i="15"/>
  <c r="AM53" i="15"/>
  <c r="AH79" i="15"/>
  <c r="AK54" i="15"/>
  <c r="AM54" i="15"/>
  <c r="AB42" i="15"/>
  <c r="Z42" i="15"/>
  <c r="K35" i="15"/>
  <c r="V35" i="15" s="1"/>
  <c r="I52" i="15"/>
  <c r="K52" i="15" s="1"/>
  <c r="Z53" i="15"/>
  <c r="AB53" i="15"/>
  <c r="AP42" i="15"/>
  <c r="AR42" i="15"/>
  <c r="AK57" i="15"/>
  <c r="AM57" i="15"/>
  <c r="AA45" i="15"/>
  <c r="AA54" i="15"/>
  <c r="AA59" i="15"/>
  <c r="AA79" i="15"/>
  <c r="AK59" i="15"/>
  <c r="AM59" i="15"/>
  <c r="AP43" i="15"/>
  <c r="AR43" i="15"/>
  <c r="AC34" i="15"/>
  <c r="AR39" i="15"/>
  <c r="AO40" i="15"/>
  <c r="AP39" i="15"/>
  <c r="AQ52" i="15"/>
  <c r="AQ43" i="15"/>
  <c r="AQ57" i="15"/>
  <c r="AQ77" i="15"/>
  <c r="AR79" i="15"/>
  <c r="AP79" i="15"/>
  <c r="AF54" i="15"/>
  <c r="AH54" i="15" s="1"/>
  <c r="AK52" i="15"/>
  <c r="AM52" i="15"/>
  <c r="I57" i="15"/>
  <c r="K57" i="15" s="1"/>
  <c r="Z44" i="15"/>
  <c r="AB44" i="15"/>
  <c r="AP51" i="15"/>
  <c r="AR51" i="15"/>
  <c r="AK44" i="15"/>
  <c r="AM44" i="15"/>
  <c r="AM80" i="15"/>
  <c r="AK80" i="15"/>
  <c r="AJ81" i="15"/>
  <c r="AL45" i="15"/>
  <c r="AL54" i="15"/>
  <c r="AL59" i="15"/>
  <c r="AL79" i="15"/>
  <c r="AN37" i="15"/>
  <c r="AL43" i="15"/>
  <c r="AL52" i="15"/>
  <c r="AL57" i="15"/>
  <c r="AL77" i="15"/>
  <c r="AF76" i="15"/>
  <c r="AH76" i="15" s="1"/>
  <c r="AC35" i="15"/>
  <c r="AF78" i="15"/>
  <c r="AH78" i="15" s="1"/>
  <c r="AR45" i="15"/>
  <c r="AP45" i="15"/>
  <c r="AK42" i="15"/>
  <c r="AM42" i="15"/>
  <c r="AF45" i="15"/>
  <c r="AH45" i="15" s="1"/>
  <c r="AB58" i="15"/>
  <c r="Z58" i="15"/>
  <c r="AM51" i="15"/>
  <c r="AK51" i="15"/>
  <c r="I77" i="15"/>
  <c r="K77" i="15" s="1"/>
  <c r="I43" i="15"/>
  <c r="K43" i="15" s="1"/>
  <c r="AR56" i="15"/>
  <c r="AP56" i="15"/>
  <c r="AM58" i="15"/>
  <c r="AK58" i="15"/>
  <c r="AH42" i="15"/>
  <c r="Z79" i="15"/>
  <c r="AB79" i="15"/>
  <c r="AM45" i="15"/>
  <c r="AK45" i="15"/>
  <c r="AA43" i="15"/>
  <c r="AA52" i="15"/>
  <c r="AA57" i="15"/>
  <c r="AA77" i="15"/>
  <c r="AF56" i="15"/>
  <c r="AH56" i="15" s="1"/>
  <c r="AH43" i="15"/>
  <c r="AF58" i="15"/>
  <c r="AH58" i="15" s="1"/>
  <c r="AP59" i="15"/>
  <c r="AR59" i="15"/>
  <c r="AN34" i="15"/>
  <c r="AA42" i="15"/>
  <c r="AA51" i="15"/>
  <c r="AA56" i="15"/>
  <c r="AA76" i="15"/>
  <c r="AK38" i="15"/>
  <c r="AM38" i="15"/>
  <c r="AJ39" i="15"/>
  <c r="Z59" i="15"/>
  <c r="AB59" i="15"/>
  <c r="AF51" i="15"/>
  <c r="AH51" i="15" s="1"/>
  <c r="AF77" i="15"/>
  <c r="AH77" i="15" s="1"/>
  <c r="AF53" i="15"/>
  <c r="AH53" i="15" s="1"/>
  <c r="AM56" i="15"/>
  <c r="AK56" i="15"/>
  <c r="AQ45" i="15"/>
  <c r="AQ54" i="15"/>
  <c r="AQ59" i="15"/>
  <c r="AQ79" i="15"/>
  <c r="AB43" i="15"/>
  <c r="Z43" i="15"/>
  <c r="AK77" i="15"/>
  <c r="AM77" i="15"/>
  <c r="AL42" i="15"/>
  <c r="AL51" i="15"/>
  <c r="AL56" i="15"/>
  <c r="AL76" i="15"/>
  <c r="AP78" i="15"/>
  <c r="AR78" i="15"/>
  <c r="AB54" i="15"/>
  <c r="Z54" i="15"/>
  <c r="Z76" i="15"/>
  <c r="AB76" i="15"/>
  <c r="AB77" i="15"/>
  <c r="Z77" i="15"/>
  <c r="AF57" i="15"/>
  <c r="AH57" i="15" s="1"/>
  <c r="AL44" i="15"/>
  <c r="AL53" i="15"/>
  <c r="AL58" i="15"/>
  <c r="AL78" i="15"/>
  <c r="AR57" i="15"/>
  <c r="AP57" i="15"/>
  <c r="AR54" i="15"/>
  <c r="AP54" i="15"/>
  <c r="AM78" i="15"/>
  <c r="AK78" i="15"/>
  <c r="AR44" i="15"/>
  <c r="AP44" i="15"/>
  <c r="AB45" i="15"/>
  <c r="Z45" i="15"/>
  <c r="AP77" i="15"/>
  <c r="AR77" i="15"/>
  <c r="Z56" i="15"/>
  <c r="AB56" i="15"/>
  <c r="Z57" i="15"/>
  <c r="AB57" i="15"/>
  <c r="AF52" i="15"/>
  <c r="AH52" i="15" s="1"/>
  <c r="AA44" i="15"/>
  <c r="AA53" i="15"/>
  <c r="AA58" i="15"/>
  <c r="AA78" i="15"/>
  <c r="AP76" i="15"/>
  <c r="AR76" i="15"/>
  <c r="AP58" i="15"/>
  <c r="AR58" i="15"/>
  <c r="Z78" i="15"/>
  <c r="AB78" i="15"/>
  <c r="AM43" i="15"/>
  <c r="AK43" i="15"/>
  <c r="AP81" i="15"/>
  <c r="AR81" i="15"/>
  <c r="AO82" i="15"/>
  <c r="AP53" i="15"/>
  <c r="AR53" i="15"/>
  <c r="AC37" i="15"/>
  <c r="AK79" i="15"/>
  <c r="AM79" i="15"/>
  <c r="AP52" i="15"/>
  <c r="AR52" i="15"/>
  <c r="AB51" i="15"/>
  <c r="Z51" i="15"/>
  <c r="AH44" i="15"/>
  <c r="AQ42" i="15"/>
  <c r="AQ51" i="15"/>
  <c r="AQ56" i="15"/>
  <c r="AQ76" i="15"/>
  <c r="AB52" i="15"/>
  <c r="Z52" i="15"/>
  <c r="AQ44" i="15"/>
  <c r="AQ53" i="15"/>
  <c r="AQ58" i="15"/>
  <c r="AQ78" i="15"/>
  <c r="AK76" i="15"/>
  <c r="AM76" i="15"/>
  <c r="O58" i="15"/>
  <c r="O78" i="15"/>
  <c r="D58" i="15"/>
  <c r="F58" i="15" s="1"/>
  <c r="E51" i="15"/>
  <c r="F51" i="15" s="1"/>
  <c r="C51" i="15"/>
  <c r="O44" i="15"/>
  <c r="J182" i="3"/>
  <c r="T191" i="3"/>
  <c r="D44" i="15"/>
  <c r="E57" i="15"/>
  <c r="C57" i="15"/>
  <c r="AE34" i="3"/>
  <c r="AE182" i="3"/>
  <c r="AO191" i="3"/>
  <c r="AE191" i="3"/>
  <c r="AO178" i="3"/>
  <c r="J43" i="3"/>
  <c r="E76" i="15"/>
  <c r="F76" i="15" s="1"/>
  <c r="E53" i="15"/>
  <c r="C76" i="15"/>
  <c r="C53" i="15"/>
  <c r="AO182" i="3"/>
  <c r="N14" i="3"/>
  <c r="AO34" i="3"/>
  <c r="AO25" i="3"/>
  <c r="M14" i="3"/>
  <c r="AE29" i="3"/>
  <c r="AE25" i="3"/>
  <c r="P14" i="3"/>
  <c r="T178" i="3"/>
  <c r="T187" i="3"/>
  <c r="T182" i="3"/>
  <c r="J191" i="3"/>
  <c r="AO38" i="3"/>
  <c r="O14" i="3"/>
  <c r="AO187" i="3"/>
  <c r="AE187" i="3"/>
  <c r="J187" i="3"/>
  <c r="E77" i="15"/>
  <c r="C77" i="15"/>
  <c r="E54" i="15"/>
  <c r="E78" i="15"/>
  <c r="F78" i="15" s="1"/>
  <c r="E79" i="15"/>
  <c r="C56" i="15"/>
  <c r="E44" i="15"/>
  <c r="C44" i="15"/>
  <c r="E43" i="15"/>
  <c r="E59" i="15"/>
  <c r="F59" i="15" s="1"/>
  <c r="C59" i="15"/>
  <c r="E56" i="15"/>
  <c r="F56" i="15" s="1"/>
  <c r="E52" i="15"/>
  <c r="C52" i="15"/>
  <c r="C43" i="15"/>
  <c r="C42" i="15"/>
  <c r="E42" i="15"/>
  <c r="S78" i="15"/>
  <c r="U78" i="15"/>
  <c r="V78" i="15" s="1"/>
  <c r="N51" i="15"/>
  <c r="P51" i="15"/>
  <c r="Q51" i="15" s="1"/>
  <c r="N76" i="15"/>
  <c r="P76" i="15"/>
  <c r="Q76" i="15" s="1"/>
  <c r="N59" i="15"/>
  <c r="P59" i="15"/>
  <c r="N78" i="15"/>
  <c r="P78" i="15"/>
  <c r="N54" i="15"/>
  <c r="P54" i="15"/>
  <c r="N80" i="15"/>
  <c r="P80" i="15"/>
  <c r="N79" i="15"/>
  <c r="P79" i="15"/>
  <c r="N38" i="15"/>
  <c r="P38" i="15"/>
  <c r="N52" i="15"/>
  <c r="P52" i="15"/>
  <c r="S51" i="15"/>
  <c r="U51" i="15"/>
  <c r="S59" i="15"/>
  <c r="U59" i="15"/>
  <c r="S77" i="15"/>
  <c r="U77" i="15"/>
  <c r="S57" i="15"/>
  <c r="U57" i="15"/>
  <c r="S76" i="15"/>
  <c r="U76" i="15"/>
  <c r="S54" i="15"/>
  <c r="U54" i="15"/>
  <c r="N58" i="15"/>
  <c r="P58" i="15"/>
  <c r="N77" i="15"/>
  <c r="P77" i="15"/>
  <c r="S53" i="15"/>
  <c r="U53" i="15"/>
  <c r="V53" i="15" s="1"/>
  <c r="S82" i="15"/>
  <c r="U82" i="15"/>
  <c r="S41" i="15"/>
  <c r="U41" i="15"/>
  <c r="S58" i="15"/>
  <c r="U58" i="15"/>
  <c r="V58" i="15" s="1"/>
  <c r="S52" i="15"/>
  <c r="U52" i="15"/>
  <c r="S56" i="15"/>
  <c r="U56" i="15"/>
  <c r="S79" i="15"/>
  <c r="U79" i="15"/>
  <c r="N53" i="15"/>
  <c r="P53" i="15"/>
  <c r="N56" i="15"/>
  <c r="P56" i="15"/>
  <c r="Q56" i="15" s="1"/>
  <c r="N57" i="15"/>
  <c r="P57" i="15"/>
  <c r="N44" i="15"/>
  <c r="P44" i="15"/>
  <c r="P42" i="15"/>
  <c r="Q42" i="15" s="1"/>
  <c r="N42" i="15"/>
  <c r="P45" i="15"/>
  <c r="N45" i="15"/>
  <c r="P43" i="15"/>
  <c r="N43" i="15"/>
  <c r="F45" i="15"/>
  <c r="U43" i="15"/>
  <c r="K78" i="15"/>
  <c r="S45" i="15"/>
  <c r="K58" i="15"/>
  <c r="K53" i="15"/>
  <c r="T76" i="15"/>
  <c r="T56" i="15"/>
  <c r="T51" i="15"/>
  <c r="T59" i="15"/>
  <c r="T54" i="15"/>
  <c r="T79" i="15"/>
  <c r="T77" i="15"/>
  <c r="T57" i="15"/>
  <c r="T52" i="15"/>
  <c r="U45" i="15"/>
  <c r="U44" i="15"/>
  <c r="S44" i="15"/>
  <c r="U42" i="15"/>
  <c r="S42" i="15"/>
  <c r="V37" i="15"/>
  <c r="V34" i="15"/>
  <c r="K45" i="15"/>
  <c r="K42" i="15"/>
  <c r="C75" i="15"/>
  <c r="E75" i="15"/>
  <c r="H80" i="15"/>
  <c r="J75" i="15"/>
  <c r="F33" i="15"/>
  <c r="K33" i="15"/>
  <c r="H38" i="15"/>
  <c r="Q54" i="15" l="1"/>
  <c r="F77" i="15"/>
  <c r="F79" i="15"/>
  <c r="Q59" i="15"/>
  <c r="O50" i="15"/>
  <c r="Q52" i="15"/>
  <c r="F57" i="15"/>
  <c r="Q45" i="15"/>
  <c r="F52" i="15"/>
  <c r="F53" i="15"/>
  <c r="T43" i="3"/>
  <c r="Q57" i="15"/>
  <c r="Q43" i="15"/>
  <c r="O41" i="15"/>
  <c r="Q77" i="15"/>
  <c r="F43" i="15"/>
  <c r="T41" i="15"/>
  <c r="AN43" i="15"/>
  <c r="AC56" i="15"/>
  <c r="F54" i="15"/>
  <c r="Q53" i="15"/>
  <c r="F44" i="15"/>
  <c r="AS52" i="15"/>
  <c r="Q78" i="15"/>
  <c r="AC77" i="15"/>
  <c r="AS57" i="15"/>
  <c r="AN78" i="15"/>
  <c r="AN57" i="15"/>
  <c r="AS77" i="15"/>
  <c r="AC45" i="15"/>
  <c r="AC43" i="15"/>
  <c r="AC79" i="15"/>
  <c r="AC51" i="15"/>
  <c r="AC54" i="15"/>
  <c r="AS45" i="15"/>
  <c r="AC57" i="15"/>
  <c r="AC59" i="15"/>
  <c r="AS44" i="15"/>
  <c r="AS59" i="15"/>
  <c r="AQ41" i="15"/>
  <c r="AC76" i="15"/>
  <c r="AS42" i="15"/>
  <c r="AN77" i="15"/>
  <c r="AS54" i="15"/>
  <c r="AN56" i="15"/>
  <c r="AN45" i="15"/>
  <c r="AC44" i="15"/>
  <c r="AE196" i="3"/>
  <c r="AC52" i="15"/>
  <c r="AP82" i="15"/>
  <c r="AR82" i="15"/>
  <c r="AO83" i="15"/>
  <c r="AN51" i="15"/>
  <c r="AS79" i="15"/>
  <c r="AF39" i="15"/>
  <c r="AF50" i="15"/>
  <c r="AH50" i="15" s="1"/>
  <c r="AF66" i="15"/>
  <c r="AF74" i="15"/>
  <c r="AF38" i="15"/>
  <c r="AF55" i="15"/>
  <c r="AF67" i="15"/>
  <c r="AF75" i="15"/>
  <c r="AF73" i="15"/>
  <c r="AF40" i="15"/>
  <c r="AF60" i="15"/>
  <c r="AF68" i="15"/>
  <c r="AF80" i="15"/>
  <c r="AF49" i="15"/>
  <c r="AH49" i="15" s="1"/>
  <c r="AF41" i="15"/>
  <c r="AH41" i="15" s="1"/>
  <c r="AF61" i="15"/>
  <c r="AF69" i="15"/>
  <c r="AF81" i="15"/>
  <c r="AF46" i="15"/>
  <c r="AH46" i="15" s="1"/>
  <c r="AF62" i="15"/>
  <c r="AF70" i="15"/>
  <c r="AF82" i="15"/>
  <c r="AF47" i="15"/>
  <c r="AH47" i="15" s="1"/>
  <c r="AF63" i="15"/>
  <c r="AF71" i="15"/>
  <c r="AF83" i="15"/>
  <c r="AF48" i="15"/>
  <c r="AH48" i="15" s="1"/>
  <c r="AF64" i="15"/>
  <c r="AF72" i="15"/>
  <c r="AF65" i="15"/>
  <c r="AC78" i="15"/>
  <c r="AC42" i="15"/>
  <c r="Q58" i="15"/>
  <c r="AA46" i="15"/>
  <c r="AC46" i="15" s="1"/>
  <c r="AA62" i="15"/>
  <c r="AA70" i="15"/>
  <c r="AA82" i="15"/>
  <c r="AA47" i="15"/>
  <c r="AC47" i="15" s="1"/>
  <c r="AA63" i="15"/>
  <c r="AA71" i="15"/>
  <c r="AA83" i="15"/>
  <c r="AA69" i="15"/>
  <c r="AA48" i="15"/>
  <c r="AC48" i="15" s="1"/>
  <c r="AA64" i="15"/>
  <c r="AA72" i="15"/>
  <c r="AA61" i="15"/>
  <c r="AA38" i="15"/>
  <c r="AA49" i="15"/>
  <c r="AC49" i="15" s="1"/>
  <c r="AA65" i="15"/>
  <c r="AA73" i="15"/>
  <c r="AA81" i="15"/>
  <c r="AA50" i="15"/>
  <c r="AC50" i="15" s="1"/>
  <c r="AA66" i="15"/>
  <c r="AA74" i="15"/>
  <c r="AA39" i="15"/>
  <c r="AA55" i="15"/>
  <c r="AA67" i="15"/>
  <c r="AA75" i="15"/>
  <c r="AA40" i="15"/>
  <c r="AA60" i="15"/>
  <c r="AA68" i="15"/>
  <c r="AA80" i="15"/>
  <c r="AA41" i="15"/>
  <c r="AC41" i="15" s="1"/>
  <c r="AJ40" i="15"/>
  <c r="AK39" i="15"/>
  <c r="AM39" i="15"/>
  <c r="AN58" i="15"/>
  <c r="AC58" i="15"/>
  <c r="AN79" i="15"/>
  <c r="AC53" i="15"/>
  <c r="AN54" i="15"/>
  <c r="AS78" i="15"/>
  <c r="AQ50" i="15"/>
  <c r="AS58" i="15"/>
  <c r="AN76" i="15"/>
  <c r="AN44" i="15"/>
  <c r="AN52" i="15"/>
  <c r="AO41" i="15"/>
  <c r="AP40" i="15"/>
  <c r="AR40" i="15"/>
  <c r="AS56" i="15"/>
  <c r="AN42" i="15"/>
  <c r="AS43" i="15"/>
  <c r="AS53" i="15"/>
  <c r="AS76" i="15"/>
  <c r="AL50" i="15"/>
  <c r="AS51" i="15"/>
  <c r="AN59" i="15"/>
  <c r="AN53" i="15"/>
  <c r="AL41" i="15"/>
  <c r="AK81" i="15"/>
  <c r="AM81" i="15"/>
  <c r="AJ82" i="15"/>
  <c r="Q44" i="15"/>
  <c r="AO196" i="3"/>
  <c r="AE43" i="3"/>
  <c r="T196" i="3"/>
  <c r="AO43" i="3"/>
  <c r="J196" i="3"/>
  <c r="D47" i="15"/>
  <c r="D71" i="15"/>
  <c r="O71" i="15" s="1"/>
  <c r="D65" i="15"/>
  <c r="O65" i="15" s="1"/>
  <c r="D62" i="15"/>
  <c r="O62" i="15" s="1"/>
  <c r="D38" i="15"/>
  <c r="O38" i="15" s="1"/>
  <c r="Q38" i="15" s="1"/>
  <c r="D73" i="15"/>
  <c r="O73" i="15" s="1"/>
  <c r="D70" i="15"/>
  <c r="O70" i="15" s="1"/>
  <c r="D68" i="15"/>
  <c r="O68" i="15" s="1"/>
  <c r="D46" i="15"/>
  <c r="D41" i="15"/>
  <c r="D49" i="15"/>
  <c r="D66" i="15"/>
  <c r="O66" i="15" s="1"/>
  <c r="D60" i="15"/>
  <c r="O60" i="15" s="1"/>
  <c r="D64" i="15"/>
  <c r="O64" i="15" s="1"/>
  <c r="D74" i="15"/>
  <c r="O74" i="15" s="1"/>
  <c r="D61" i="15"/>
  <c r="O61" i="15" s="1"/>
  <c r="D72" i="15"/>
  <c r="O72" i="15" s="1"/>
  <c r="D55" i="15"/>
  <c r="O55" i="15" s="1"/>
  <c r="D69" i="15"/>
  <c r="O69" i="15" s="1"/>
  <c r="D48" i="15"/>
  <c r="D39" i="15"/>
  <c r="O39" i="15" s="1"/>
  <c r="D67" i="15"/>
  <c r="O67" i="15" s="1"/>
  <c r="D40" i="15"/>
  <c r="O40" i="15" s="1"/>
  <c r="D63" i="15"/>
  <c r="O63" i="15" s="1"/>
  <c r="D50" i="15"/>
  <c r="D75" i="15"/>
  <c r="F75" i="15" s="1"/>
  <c r="I73" i="15"/>
  <c r="T73" i="15" s="1"/>
  <c r="I67" i="15"/>
  <c r="T67" i="15" s="1"/>
  <c r="I61" i="15"/>
  <c r="T61" i="15" s="1"/>
  <c r="I64" i="15"/>
  <c r="T64" i="15" s="1"/>
  <c r="I55" i="15"/>
  <c r="T55" i="15" s="1"/>
  <c r="I75" i="15"/>
  <c r="T75" i="15" s="1"/>
  <c r="V75" i="15" s="1"/>
  <c r="I69" i="15"/>
  <c r="T69" i="15" s="1"/>
  <c r="I63" i="15"/>
  <c r="T63" i="15" s="1"/>
  <c r="I41" i="15"/>
  <c r="I48" i="15"/>
  <c r="I82" i="15"/>
  <c r="T82" i="15" s="1"/>
  <c r="I71" i="15"/>
  <c r="T71" i="15" s="1"/>
  <c r="I66" i="15"/>
  <c r="T66" i="15" s="1"/>
  <c r="I60" i="15"/>
  <c r="T60" i="15" s="1"/>
  <c r="I50" i="15"/>
  <c r="I80" i="15"/>
  <c r="T80" i="15" s="1"/>
  <c r="V80" i="15" s="1"/>
  <c r="I74" i="15"/>
  <c r="T74" i="15" s="1"/>
  <c r="I62" i="15"/>
  <c r="T62" i="15" s="1"/>
  <c r="I39" i="15"/>
  <c r="T39" i="15" s="1"/>
  <c r="V39" i="15" s="1"/>
  <c r="I47" i="15"/>
  <c r="I68" i="15"/>
  <c r="T68" i="15" s="1"/>
  <c r="I70" i="15"/>
  <c r="T70" i="15" s="1"/>
  <c r="I40" i="15"/>
  <c r="T40" i="15" s="1"/>
  <c r="I38" i="15"/>
  <c r="T38" i="15" s="1"/>
  <c r="V38" i="15" s="1"/>
  <c r="I81" i="15"/>
  <c r="T81" i="15" s="1"/>
  <c r="V81" i="15" s="1"/>
  <c r="I83" i="15"/>
  <c r="T83" i="15" s="1"/>
  <c r="I65" i="15"/>
  <c r="T65" i="15" s="1"/>
  <c r="I72" i="15"/>
  <c r="T72" i="15" s="1"/>
  <c r="I49" i="15"/>
  <c r="I46" i="15"/>
  <c r="T50" i="15"/>
  <c r="F42" i="15"/>
  <c r="Q79" i="15"/>
  <c r="S83" i="15"/>
  <c r="U83" i="15"/>
  <c r="N39" i="15"/>
  <c r="P39" i="15"/>
  <c r="N81" i="15"/>
  <c r="P81" i="15"/>
  <c r="S46" i="15"/>
  <c r="U46" i="15"/>
  <c r="V43" i="15"/>
  <c r="V77" i="15"/>
  <c r="V59" i="15"/>
  <c r="V52" i="15"/>
  <c r="V54" i="15"/>
  <c r="V57" i="15"/>
  <c r="V79" i="15"/>
  <c r="V42" i="15"/>
  <c r="V45" i="15"/>
  <c r="V51" i="15"/>
  <c r="V56" i="15"/>
  <c r="V76" i="15"/>
  <c r="V44" i="15"/>
  <c r="E81" i="15"/>
  <c r="C81" i="15"/>
  <c r="E80" i="15"/>
  <c r="C80" i="15"/>
  <c r="J38" i="15"/>
  <c r="H81" i="15"/>
  <c r="J80" i="15"/>
  <c r="H39" i="15"/>
  <c r="AQ47" i="15" l="1"/>
  <c r="O48" i="15"/>
  <c r="O47" i="15"/>
  <c r="O49" i="15"/>
  <c r="O46" i="15"/>
  <c r="K80" i="15"/>
  <c r="K38" i="15"/>
  <c r="AQ71" i="15"/>
  <c r="AH71" i="15"/>
  <c r="AQ73" i="15"/>
  <c r="AH73" i="15"/>
  <c r="AK40" i="15"/>
  <c r="AM40" i="15"/>
  <c r="AJ41" i="15"/>
  <c r="AL55" i="15"/>
  <c r="AC55" i="15"/>
  <c r="AL71" i="15"/>
  <c r="AC71" i="15"/>
  <c r="AQ63" i="15"/>
  <c r="AH63" i="15"/>
  <c r="AQ61" i="15"/>
  <c r="AH61" i="15"/>
  <c r="AH75" i="15"/>
  <c r="AQ75" i="15"/>
  <c r="AS75" i="15" s="1"/>
  <c r="AQ69" i="15"/>
  <c r="AH69" i="15"/>
  <c r="AQ39" i="15"/>
  <c r="AS39" i="15" s="1"/>
  <c r="AH39" i="15"/>
  <c r="AL47" i="15"/>
  <c r="AL49" i="15"/>
  <c r="AL46" i="15"/>
  <c r="AR41" i="15"/>
  <c r="AS41" i="15" s="1"/>
  <c r="AP41" i="15"/>
  <c r="AO46" i="15"/>
  <c r="AL39" i="15"/>
  <c r="AN39" i="15" s="1"/>
  <c r="AC39" i="15"/>
  <c r="AL38" i="15"/>
  <c r="AN38" i="15" s="1"/>
  <c r="AC38" i="15"/>
  <c r="AL63" i="15"/>
  <c r="AC63" i="15"/>
  <c r="AQ67" i="15"/>
  <c r="AH67" i="15"/>
  <c r="AL67" i="15"/>
  <c r="AC67" i="15"/>
  <c r="AL80" i="15"/>
  <c r="AN80" i="15" s="1"/>
  <c r="AC80" i="15"/>
  <c r="AL74" i="15"/>
  <c r="AC74" i="15"/>
  <c r="AL61" i="15"/>
  <c r="AC61" i="15"/>
  <c r="AQ65" i="15"/>
  <c r="AH65" i="15"/>
  <c r="AQ82" i="15"/>
  <c r="AS82" i="15" s="1"/>
  <c r="AH82" i="15"/>
  <c r="AQ55" i="15"/>
  <c r="AH55" i="15"/>
  <c r="AP83" i="15"/>
  <c r="AR83" i="15"/>
  <c r="AL83" i="15"/>
  <c r="AC83" i="15"/>
  <c r="AQ48" i="15"/>
  <c r="AL68" i="15"/>
  <c r="AC68" i="15"/>
  <c r="AL66" i="15"/>
  <c r="AC66" i="15"/>
  <c r="AL72" i="15"/>
  <c r="AC72" i="15"/>
  <c r="AL82" i="15"/>
  <c r="AC82" i="15"/>
  <c r="AQ72" i="15"/>
  <c r="AH72" i="15"/>
  <c r="AQ70" i="15"/>
  <c r="AH70" i="15"/>
  <c r="AQ80" i="15"/>
  <c r="AS80" i="15" s="1"/>
  <c r="AH80" i="15"/>
  <c r="AQ38" i="15"/>
  <c r="AS38" i="15" s="1"/>
  <c r="AH38" i="15"/>
  <c r="AQ49" i="15"/>
  <c r="AL60" i="15"/>
  <c r="AC60" i="15"/>
  <c r="AL64" i="15"/>
  <c r="AC64" i="15"/>
  <c r="AL70" i="15"/>
  <c r="AC70" i="15"/>
  <c r="AQ64" i="15"/>
  <c r="AH64" i="15"/>
  <c r="AQ62" i="15"/>
  <c r="AH62" i="15"/>
  <c r="AQ68" i="15"/>
  <c r="AH68" i="15"/>
  <c r="AQ74" i="15"/>
  <c r="AH74" i="15"/>
  <c r="AL65" i="15"/>
  <c r="AC65" i="15"/>
  <c r="AL48" i="15"/>
  <c r="AQ46" i="15"/>
  <c r="AL40" i="15"/>
  <c r="AC40" i="15"/>
  <c r="AL81" i="15"/>
  <c r="AN81" i="15" s="1"/>
  <c r="AC81" i="15"/>
  <c r="AL62" i="15"/>
  <c r="AC62" i="15"/>
  <c r="AQ60" i="15"/>
  <c r="AH60" i="15"/>
  <c r="AQ66" i="15"/>
  <c r="AH66" i="15"/>
  <c r="AK82" i="15"/>
  <c r="AM82" i="15"/>
  <c r="AJ83" i="15"/>
  <c r="AC75" i="15"/>
  <c r="AL75" i="15"/>
  <c r="AN75" i="15" s="1"/>
  <c r="AL73" i="15"/>
  <c r="AC73" i="15"/>
  <c r="AL69" i="15"/>
  <c r="AC69" i="15"/>
  <c r="AQ83" i="15"/>
  <c r="AH83" i="15"/>
  <c r="AQ81" i="15"/>
  <c r="AS81" i="15" s="1"/>
  <c r="AH81" i="15"/>
  <c r="AQ40" i="15"/>
  <c r="AS40" i="15" s="1"/>
  <c r="AH40" i="15"/>
  <c r="K75" i="15"/>
  <c r="O75" i="15"/>
  <c r="Q75" i="15" s="1"/>
  <c r="D80" i="15"/>
  <c r="T47" i="15"/>
  <c r="T46" i="15"/>
  <c r="T49" i="15"/>
  <c r="T48" i="15"/>
  <c r="Q39" i="15"/>
  <c r="N82" i="15"/>
  <c r="P82" i="15"/>
  <c r="N40" i="15"/>
  <c r="P40" i="15"/>
  <c r="Q40" i="15" s="1"/>
  <c r="S47" i="15"/>
  <c r="U47" i="15"/>
  <c r="E38" i="15"/>
  <c r="F38" i="15" s="1"/>
  <c r="C38" i="15"/>
  <c r="C82" i="15"/>
  <c r="E82" i="15"/>
  <c r="J39" i="15"/>
  <c r="K39" i="15" s="1"/>
  <c r="V82" i="15"/>
  <c r="H82" i="15"/>
  <c r="J81" i="15"/>
  <c r="K81" i="15" s="1"/>
  <c r="H40" i="15"/>
  <c r="AN82" i="15" l="1"/>
  <c r="AM41" i="15"/>
  <c r="AN41" i="15" s="1"/>
  <c r="AK41" i="15"/>
  <c r="AJ46" i="15"/>
  <c r="AN40" i="15"/>
  <c r="AP46" i="15"/>
  <c r="AR46" i="15"/>
  <c r="AS46" i="15" s="1"/>
  <c r="AO47" i="15"/>
  <c r="AS83" i="15"/>
  <c r="AK83" i="15"/>
  <c r="AM83" i="15"/>
  <c r="AN83" i="15" s="1"/>
  <c r="O80" i="15"/>
  <c r="Q80" i="15" s="1"/>
  <c r="D81" i="15"/>
  <c r="F80" i="15"/>
  <c r="N83" i="15"/>
  <c r="P83" i="15"/>
  <c r="S48" i="15"/>
  <c r="U48" i="15"/>
  <c r="N41" i="15"/>
  <c r="P41" i="15"/>
  <c r="Q41" i="15" s="1"/>
  <c r="E39" i="15"/>
  <c r="C39" i="15"/>
  <c r="C83" i="15"/>
  <c r="E83" i="15"/>
  <c r="V83" i="15"/>
  <c r="H83" i="15"/>
  <c r="J82" i="15"/>
  <c r="K82" i="15" s="1"/>
  <c r="J40" i="15"/>
  <c r="K40" i="15" s="1"/>
  <c r="V41" i="15"/>
  <c r="V40" i="15"/>
  <c r="H41" i="15"/>
  <c r="AJ47" i="15" l="1"/>
  <c r="AK46" i="15"/>
  <c r="AM46" i="15"/>
  <c r="AN46" i="15" s="1"/>
  <c r="AR47" i="15"/>
  <c r="AS47" i="15" s="1"/>
  <c r="AP47" i="15"/>
  <c r="AO48" i="15"/>
  <c r="O81" i="15"/>
  <c r="Q81" i="15" s="1"/>
  <c r="D82" i="15"/>
  <c r="F81" i="15"/>
  <c r="N46" i="15"/>
  <c r="P46" i="15"/>
  <c r="Q46" i="15" s="1"/>
  <c r="S49" i="15"/>
  <c r="U49" i="15"/>
  <c r="E40" i="15"/>
  <c r="F40" i="15" s="1"/>
  <c r="C40" i="15"/>
  <c r="J41" i="15"/>
  <c r="K41" i="15" s="1"/>
  <c r="J83" i="15"/>
  <c r="K83" i="15" s="1"/>
  <c r="F39" i="15"/>
  <c r="H46" i="15"/>
  <c r="AJ48" i="15" l="1"/>
  <c r="AK47" i="15"/>
  <c r="AM47" i="15"/>
  <c r="AN47" i="15" s="1"/>
  <c r="AO49" i="15"/>
  <c r="AR48" i="15"/>
  <c r="AS48" i="15" s="1"/>
  <c r="AP48" i="15"/>
  <c r="O82" i="15"/>
  <c r="Q82" i="15" s="1"/>
  <c r="D83" i="15"/>
  <c r="F82" i="15"/>
  <c r="N47" i="15"/>
  <c r="P47" i="15"/>
  <c r="Q47" i="15" s="1"/>
  <c r="S50" i="15"/>
  <c r="U50" i="15"/>
  <c r="E41" i="15"/>
  <c r="F41" i="15" s="1"/>
  <c r="C41" i="15"/>
  <c r="J46" i="15"/>
  <c r="K46" i="15" s="1"/>
  <c r="V46" i="15"/>
  <c r="V47" i="15"/>
  <c r="H47" i="15"/>
  <c r="AK48" i="15" l="1"/>
  <c r="AM48" i="15"/>
  <c r="AN48" i="15" s="1"/>
  <c r="AJ49" i="15"/>
  <c r="AO50" i="15"/>
  <c r="AP49" i="15"/>
  <c r="AR49" i="15"/>
  <c r="AS49" i="15" s="1"/>
  <c r="O83" i="15"/>
  <c r="Q83" i="15" s="1"/>
  <c r="F83" i="15"/>
  <c r="S55" i="15"/>
  <c r="U55" i="15"/>
  <c r="N48" i="15"/>
  <c r="P48" i="15"/>
  <c r="Q48" i="15" s="1"/>
  <c r="C46" i="15"/>
  <c r="E46" i="15"/>
  <c r="F46" i="15" s="1"/>
  <c r="J47" i="15"/>
  <c r="K47" i="15" s="1"/>
  <c r="H48" i="15"/>
  <c r="AP50" i="15" l="1"/>
  <c r="AR50" i="15"/>
  <c r="AS50" i="15" s="1"/>
  <c r="AO55" i="15"/>
  <c r="AK49" i="15"/>
  <c r="AM49" i="15"/>
  <c r="AN49" i="15" s="1"/>
  <c r="AJ50" i="15"/>
  <c r="S60" i="15"/>
  <c r="U60" i="15"/>
  <c r="N49" i="15"/>
  <c r="P49" i="15"/>
  <c r="Q49" i="15" s="1"/>
  <c r="C47" i="15"/>
  <c r="E47" i="15"/>
  <c r="F47" i="15" s="1"/>
  <c r="J48" i="15"/>
  <c r="K48" i="15" s="1"/>
  <c r="V49" i="15"/>
  <c r="V48" i="15"/>
  <c r="H49" i="15"/>
  <c r="AJ55" i="15" l="1"/>
  <c r="AK50" i="15"/>
  <c r="AM50" i="15"/>
  <c r="AN50" i="15" s="1"/>
  <c r="AP55" i="15"/>
  <c r="AR55" i="15"/>
  <c r="AS55" i="15" s="1"/>
  <c r="AO60" i="15"/>
  <c r="S61" i="15"/>
  <c r="U61" i="15"/>
  <c r="N50" i="15"/>
  <c r="P50" i="15"/>
  <c r="Q50" i="15" s="1"/>
  <c r="E48" i="15"/>
  <c r="F48" i="15" s="1"/>
  <c r="C48" i="15"/>
  <c r="J49" i="15"/>
  <c r="K49" i="15" s="1"/>
  <c r="V50" i="15"/>
  <c r="H50" i="15"/>
  <c r="AO61" i="15" l="1"/>
  <c r="AR60" i="15"/>
  <c r="AS60" i="15" s="1"/>
  <c r="AP60" i="15"/>
  <c r="AK55" i="15"/>
  <c r="AM55" i="15"/>
  <c r="AN55" i="15" s="1"/>
  <c r="AJ60" i="15"/>
  <c r="S62" i="15"/>
  <c r="U62" i="15"/>
  <c r="N55" i="15"/>
  <c r="P55" i="15"/>
  <c r="Q55" i="15" s="1"/>
  <c r="E49" i="15"/>
  <c r="F49" i="15" s="1"/>
  <c r="C49" i="15"/>
  <c r="J50" i="15"/>
  <c r="K50" i="15" s="1"/>
  <c r="V55" i="15"/>
  <c r="H55" i="15"/>
  <c r="AO62" i="15" l="1"/>
  <c r="AR61" i="15"/>
  <c r="AS61" i="15" s="1"/>
  <c r="AP61" i="15"/>
  <c r="AK60" i="15"/>
  <c r="AM60" i="15"/>
  <c r="AN60" i="15" s="1"/>
  <c r="AJ61" i="15"/>
  <c r="S63" i="15"/>
  <c r="U63" i="15"/>
  <c r="N60" i="15"/>
  <c r="P60" i="15"/>
  <c r="Q60" i="15" s="1"/>
  <c r="C50" i="15"/>
  <c r="E50" i="15"/>
  <c r="F50" i="15" s="1"/>
  <c r="J55" i="15"/>
  <c r="K55" i="15" s="1"/>
  <c r="V60" i="15"/>
  <c r="H60" i="15"/>
  <c r="AP62" i="15" l="1"/>
  <c r="AR62" i="15"/>
  <c r="AS62" i="15" s="1"/>
  <c r="AO63" i="15"/>
  <c r="AM61" i="15"/>
  <c r="AN61" i="15" s="1"/>
  <c r="AK61" i="15"/>
  <c r="AJ62" i="15"/>
  <c r="S64" i="15"/>
  <c r="U64" i="15"/>
  <c r="N61" i="15"/>
  <c r="P61" i="15"/>
  <c r="Q61" i="15" s="1"/>
  <c r="C55" i="15"/>
  <c r="E55" i="15"/>
  <c r="F55" i="15" s="1"/>
  <c r="J60" i="15"/>
  <c r="K60" i="15" s="1"/>
  <c r="V61" i="15"/>
  <c r="H61" i="15"/>
  <c r="AK62" i="15" l="1"/>
  <c r="AM62" i="15"/>
  <c r="AN62" i="15" s="1"/>
  <c r="AJ63" i="15"/>
  <c r="AO64" i="15"/>
  <c r="AP63" i="15"/>
  <c r="AR63" i="15"/>
  <c r="AS63" i="15" s="1"/>
  <c r="S65" i="15"/>
  <c r="U65" i="15"/>
  <c r="N62" i="15"/>
  <c r="P62" i="15"/>
  <c r="Q62" i="15" s="1"/>
  <c r="E60" i="15"/>
  <c r="F60" i="15" s="1"/>
  <c r="C60" i="15"/>
  <c r="J61" i="15"/>
  <c r="K61" i="15" s="1"/>
  <c r="V62" i="15"/>
  <c r="H62" i="15"/>
  <c r="AR64" i="15" l="1"/>
  <c r="AS64" i="15" s="1"/>
  <c r="AO65" i="15"/>
  <c r="AP64" i="15"/>
  <c r="AJ64" i="15"/>
  <c r="AK63" i="15"/>
  <c r="AM63" i="15"/>
  <c r="AN63" i="15" s="1"/>
  <c r="S66" i="15"/>
  <c r="U66" i="15"/>
  <c r="N63" i="15"/>
  <c r="P63" i="15"/>
  <c r="Q63" i="15" s="1"/>
  <c r="E61" i="15"/>
  <c r="F61" i="15" s="1"/>
  <c r="C61" i="15"/>
  <c r="J62" i="15"/>
  <c r="K62" i="15" s="1"/>
  <c r="V63" i="15"/>
  <c r="H63" i="15"/>
  <c r="AK64" i="15" l="1"/>
  <c r="AJ65" i="15"/>
  <c r="AM64" i="15"/>
  <c r="AN64" i="15" s="1"/>
  <c r="AO66" i="15"/>
  <c r="AR65" i="15"/>
  <c r="AS65" i="15" s="1"/>
  <c r="AP65" i="15"/>
  <c r="N64" i="15"/>
  <c r="P64" i="15"/>
  <c r="Q64" i="15" s="1"/>
  <c r="S67" i="15"/>
  <c r="U67" i="15"/>
  <c r="C63" i="15"/>
  <c r="E63" i="15"/>
  <c r="F63" i="15" s="1"/>
  <c r="C62" i="15"/>
  <c r="E62" i="15"/>
  <c r="F62" i="15" s="1"/>
  <c r="J63" i="15"/>
  <c r="K63" i="15" s="1"/>
  <c r="V64" i="15"/>
  <c r="H64" i="15"/>
  <c r="AP66" i="15" l="1"/>
  <c r="AR66" i="15"/>
  <c r="AS66" i="15" s="1"/>
  <c r="AO67" i="15"/>
  <c r="AM65" i="15"/>
  <c r="AN65" i="15" s="1"/>
  <c r="AJ66" i="15"/>
  <c r="AK65" i="15"/>
  <c r="S68" i="15"/>
  <c r="U68" i="15"/>
  <c r="N65" i="15"/>
  <c r="P65" i="15"/>
  <c r="Q65" i="15" s="1"/>
  <c r="E64" i="15"/>
  <c r="F64" i="15" s="1"/>
  <c r="C64" i="15"/>
  <c r="J64" i="15"/>
  <c r="K64" i="15" s="1"/>
  <c r="V65" i="15"/>
  <c r="H65" i="15"/>
  <c r="AJ67" i="15" l="1"/>
  <c r="AK66" i="15"/>
  <c r="AM66" i="15"/>
  <c r="AN66" i="15" s="1"/>
  <c r="AP67" i="15"/>
  <c r="AR67" i="15"/>
  <c r="AS67" i="15" s="1"/>
  <c r="AO68" i="15"/>
  <c r="S69" i="15"/>
  <c r="U69" i="15"/>
  <c r="N66" i="15"/>
  <c r="P66" i="15"/>
  <c r="Q66" i="15" s="1"/>
  <c r="E65" i="15"/>
  <c r="F65" i="15" s="1"/>
  <c r="C65" i="15"/>
  <c r="J65" i="15"/>
  <c r="K65" i="15" s="1"/>
  <c r="V66" i="15"/>
  <c r="H66" i="15"/>
  <c r="AO69" i="15" l="1"/>
  <c r="AR68" i="15"/>
  <c r="AS68" i="15" s="1"/>
  <c r="AP68" i="15"/>
  <c r="AM67" i="15"/>
  <c r="AN67" i="15" s="1"/>
  <c r="AJ68" i="15"/>
  <c r="AK67" i="15"/>
  <c r="S70" i="15"/>
  <c r="U70" i="15"/>
  <c r="N67" i="15"/>
  <c r="P67" i="15"/>
  <c r="Q67" i="15" s="1"/>
  <c r="C66" i="15"/>
  <c r="E66" i="15"/>
  <c r="F66" i="15" s="1"/>
  <c r="J66" i="15"/>
  <c r="K66" i="15" s="1"/>
  <c r="V67" i="15"/>
  <c r="H67" i="15"/>
  <c r="AP69" i="15" l="1"/>
  <c r="AR69" i="15"/>
  <c r="AS69" i="15" s="1"/>
  <c r="AO70" i="15"/>
  <c r="AK68" i="15"/>
  <c r="AM68" i="15"/>
  <c r="AN68" i="15" s="1"/>
  <c r="AJ69" i="15"/>
  <c r="S71" i="15"/>
  <c r="U71" i="15"/>
  <c r="N68" i="15"/>
  <c r="P68" i="15"/>
  <c r="Q68" i="15" s="1"/>
  <c r="C67" i="15"/>
  <c r="E67" i="15"/>
  <c r="F67" i="15" s="1"/>
  <c r="J67" i="15"/>
  <c r="K67" i="15" s="1"/>
  <c r="V68" i="15"/>
  <c r="H68" i="15"/>
  <c r="AM69" i="15" l="1"/>
  <c r="AN69" i="15" s="1"/>
  <c r="AJ70" i="15"/>
  <c r="AK69" i="15"/>
  <c r="AP70" i="15"/>
  <c r="AO71" i="15"/>
  <c r="AR70" i="15"/>
  <c r="AS70" i="15" s="1"/>
  <c r="S72" i="15"/>
  <c r="U72" i="15"/>
  <c r="N69" i="15"/>
  <c r="P69" i="15"/>
  <c r="Q69" i="15" s="1"/>
  <c r="E68" i="15"/>
  <c r="F68" i="15" s="1"/>
  <c r="C68" i="15"/>
  <c r="J68" i="15"/>
  <c r="K68" i="15" s="1"/>
  <c r="V69" i="15"/>
  <c r="H69" i="15"/>
  <c r="AR71" i="15" l="1"/>
  <c r="AS71" i="15" s="1"/>
  <c r="AO72" i="15"/>
  <c r="AP71" i="15"/>
  <c r="AJ71" i="15"/>
  <c r="AK70" i="15"/>
  <c r="AM70" i="15"/>
  <c r="AN70" i="15" s="1"/>
  <c r="N70" i="15"/>
  <c r="P70" i="15"/>
  <c r="Q70" i="15" s="1"/>
  <c r="S73" i="15"/>
  <c r="U73" i="15"/>
  <c r="E69" i="15"/>
  <c r="F69" i="15" s="1"/>
  <c r="C69" i="15"/>
  <c r="J69" i="15"/>
  <c r="K69" i="15" s="1"/>
  <c r="V70" i="15"/>
  <c r="H70" i="15"/>
  <c r="AK71" i="15" l="1"/>
  <c r="AM71" i="15"/>
  <c r="AN71" i="15" s="1"/>
  <c r="AJ72" i="15"/>
  <c r="AR72" i="15"/>
  <c r="AS72" i="15" s="1"/>
  <c r="AO73" i="15"/>
  <c r="AP72" i="15"/>
  <c r="S74" i="15"/>
  <c r="U74" i="15"/>
  <c r="N71" i="15"/>
  <c r="P71" i="15"/>
  <c r="Q71" i="15" s="1"/>
  <c r="C70" i="15"/>
  <c r="E70" i="15"/>
  <c r="F70" i="15" s="1"/>
  <c r="J70" i="15"/>
  <c r="K70" i="15" s="1"/>
  <c r="V71" i="15"/>
  <c r="H71" i="15"/>
  <c r="AP73" i="15" l="1"/>
  <c r="AR73" i="15"/>
  <c r="AS73" i="15" s="1"/>
  <c r="AO74" i="15"/>
  <c r="AM72" i="15"/>
  <c r="AN72" i="15" s="1"/>
  <c r="AK72" i="15"/>
  <c r="AJ73" i="15"/>
  <c r="N72" i="15"/>
  <c r="P72" i="15"/>
  <c r="Q72" i="15" s="1"/>
  <c r="C71" i="15"/>
  <c r="E71" i="15"/>
  <c r="F71" i="15" s="1"/>
  <c r="J71" i="15"/>
  <c r="K71" i="15" s="1"/>
  <c r="V72" i="15"/>
  <c r="H72" i="15"/>
  <c r="AM73" i="15" l="1"/>
  <c r="AN73" i="15" s="1"/>
  <c r="AK73" i="15"/>
  <c r="AJ74" i="15"/>
  <c r="AP74" i="15"/>
  <c r="AR74" i="15"/>
  <c r="AS74" i="15" s="1"/>
  <c r="N73" i="15"/>
  <c r="P73" i="15"/>
  <c r="Q73" i="15" s="1"/>
  <c r="E72" i="15"/>
  <c r="F72" i="15" s="1"/>
  <c r="C72" i="15"/>
  <c r="J72" i="15"/>
  <c r="K72" i="15" s="1"/>
  <c r="V73" i="15"/>
  <c r="H73" i="15"/>
  <c r="AK74" i="15" l="1"/>
  <c r="AM74" i="15"/>
  <c r="AN74" i="15" s="1"/>
  <c r="N74" i="15"/>
  <c r="P74" i="15"/>
  <c r="Q74" i="15" s="1"/>
  <c r="E73" i="15"/>
  <c r="F73" i="15" s="1"/>
  <c r="C73" i="15"/>
  <c r="J73" i="15"/>
  <c r="K73" i="15" s="1"/>
  <c r="V74" i="15"/>
  <c r="H74" i="15"/>
  <c r="C74" i="15" l="1"/>
  <c r="E74" i="15"/>
  <c r="J74" i="15"/>
  <c r="F74" i="15" l="1"/>
  <c r="K74" i="15"/>
  <c r="C23" i="36" l="1"/>
  <c r="D31" i="36"/>
  <c r="C38" i="36"/>
  <c r="C24" i="36"/>
  <c r="D29" i="36"/>
  <c r="D37" i="36"/>
  <c r="D24" i="36"/>
  <c r="D28" i="36"/>
  <c r="D32" i="36"/>
  <c r="D36" i="36"/>
  <c r="D40" i="36"/>
  <c r="C33" i="36"/>
  <c r="D38" i="36"/>
  <c r="C22" i="36"/>
  <c r="C26" i="36"/>
  <c r="C30" i="36"/>
  <c r="C34" i="36"/>
  <c r="B38" i="36"/>
  <c r="D39" i="36"/>
  <c r="C21" i="36"/>
  <c r="D26" i="36"/>
  <c r="B30" i="36"/>
  <c r="D30" i="36"/>
  <c r="B24" i="36"/>
  <c r="D25" i="36"/>
  <c r="C28" i="36"/>
  <c r="B32" i="36"/>
  <c r="C32" i="36"/>
  <c r="C36" i="36"/>
  <c r="C25" i="36"/>
  <c r="B29" i="36"/>
  <c r="C29" i="36"/>
  <c r="D34" i="36"/>
  <c r="B36" i="36"/>
  <c r="C27" i="36"/>
  <c r="C31" i="36"/>
  <c r="C35" i="36"/>
  <c r="B39" i="36"/>
  <c r="C39" i="36"/>
  <c r="B22" i="36"/>
  <c r="D22" i="36"/>
  <c r="B37" i="36"/>
  <c r="C37" i="36"/>
  <c r="D23" i="36"/>
  <c r="B27" i="36"/>
  <c r="D27" i="36"/>
  <c r="B35" i="36"/>
  <c r="D35" i="36"/>
  <c r="B23" i="36"/>
  <c r="B31" i="36"/>
  <c r="B26" i="36"/>
  <c r="B21" i="36"/>
  <c r="D21" i="36"/>
  <c r="B28" i="36"/>
  <c r="B33" i="36"/>
  <c r="D33" i="36"/>
  <c r="B40" i="36"/>
  <c r="C40" i="36"/>
  <c r="B25" i="36"/>
  <c r="B34" i="36"/>
  <c r="I10" i="45" l="1"/>
  <c r="I13" i="45"/>
  <c r="I31" i="45"/>
  <c r="I30" i="45"/>
  <c r="I35" i="45"/>
  <c r="I27" i="45"/>
  <c r="I15" i="45"/>
  <c r="I23" i="45"/>
  <c r="I36" i="45"/>
  <c r="I20" i="45"/>
  <c r="I12" i="45"/>
  <c r="I18" i="45"/>
  <c r="I37" i="45"/>
  <c r="I19" i="45"/>
  <c r="I22" i="45"/>
  <c r="I14" i="45"/>
  <c r="I33" i="45"/>
  <c r="I29" i="45"/>
  <c r="I26" i="45"/>
  <c r="I32" i="45"/>
  <c r="I25" i="45"/>
  <c r="I16" i="45"/>
  <c r="I24" i="45"/>
  <c r="I17" i="45"/>
  <c r="I11" i="45"/>
  <c r="I21" i="45"/>
  <c r="I34" i="45"/>
  <c r="I28" i="45"/>
  <c r="I38" i="45"/>
</calcChain>
</file>

<file path=xl/sharedStrings.xml><?xml version="1.0" encoding="utf-8"?>
<sst xmlns="http://schemas.openxmlformats.org/spreadsheetml/2006/main" count="1217" uniqueCount="399">
  <si>
    <t>TMC</t>
  </si>
  <si>
    <t>120P05632</t>
  </si>
  <si>
    <t>Wednesday</t>
  </si>
  <si>
    <t>Thursday</t>
  </si>
  <si>
    <t>Friday</t>
  </si>
  <si>
    <t>Saturday</t>
  </si>
  <si>
    <t>Sunday</t>
  </si>
  <si>
    <t>Monday</t>
  </si>
  <si>
    <t>Tuesday</t>
  </si>
  <si>
    <t>120P05634</t>
  </si>
  <si>
    <t>120P05635</t>
  </si>
  <si>
    <t>120P05723</t>
  </si>
  <si>
    <t>Grand Total</t>
  </si>
  <si>
    <t>Row Labels</t>
  </si>
  <si>
    <t>Hours</t>
  </si>
  <si>
    <t>Trucks</t>
  </si>
  <si>
    <t>MONDAY 12/1</t>
  </si>
  <si>
    <t>TUESDAY 12/2</t>
  </si>
  <si>
    <t>WEDNESDAY 12/3</t>
  </si>
  <si>
    <t>THURSDAY 12/4</t>
  </si>
  <si>
    <t>FRIDAY 12/5</t>
  </si>
  <si>
    <t>SATURDAY 12/6</t>
  </si>
  <si>
    <t>SUNDAY 12/7</t>
  </si>
  <si>
    <t>Volume</t>
  </si>
  <si>
    <t>%Trucks</t>
  </si>
  <si>
    <t xml:space="preserve">Time </t>
  </si>
  <si>
    <t>TOTAL</t>
  </si>
  <si>
    <t>I-91</t>
  </si>
  <si>
    <t>AM</t>
  </si>
  <si>
    <t>PM</t>
  </si>
  <si>
    <t>Total</t>
  </si>
  <si>
    <t>Truck</t>
  </si>
  <si>
    <t>Distance</t>
  </si>
  <si>
    <t>VHT</t>
  </si>
  <si>
    <t>VMT</t>
  </si>
  <si>
    <t>DELAY</t>
  </si>
  <si>
    <t>FFVHT</t>
  </si>
  <si>
    <t>MD</t>
  </si>
  <si>
    <t>OV</t>
  </si>
  <si>
    <t>RT15</t>
  </si>
  <si>
    <t>PDO crashes</t>
  </si>
  <si>
    <t>Purpose</t>
  </si>
  <si>
    <t>Mode</t>
  </si>
  <si>
    <t>Car</t>
  </si>
  <si>
    <t>Percent</t>
  </si>
  <si>
    <t>Percent Business</t>
  </si>
  <si>
    <t>Period</t>
  </si>
  <si>
    <t>Build</t>
  </si>
  <si>
    <t>Hour</t>
  </si>
  <si>
    <t>Based on National NHTS Trip Purpose and Period Data</t>
  </si>
  <si>
    <t>Operations Years</t>
  </si>
  <si>
    <t>Trip Growth</t>
  </si>
  <si>
    <t>Occupancy</t>
  </si>
  <si>
    <t>Business</t>
  </si>
  <si>
    <t>Personal</t>
  </si>
  <si>
    <t>Truck Driver</t>
  </si>
  <si>
    <t>Weekday AADT</t>
  </si>
  <si>
    <t>All Day AADT</t>
  </si>
  <si>
    <t>Daily Total</t>
  </si>
  <si>
    <t>CT 15</t>
  </si>
  <si>
    <t>Weekly % Truck</t>
  </si>
  <si>
    <t>Check All Weekly Vol Included</t>
  </si>
  <si>
    <t>Weekly % Car</t>
  </si>
  <si>
    <t>NB AVG</t>
  </si>
  <si>
    <t>SB AVG</t>
  </si>
  <si>
    <t>Daily % of Weekly</t>
  </si>
  <si>
    <t>I-91 Truck Totals</t>
  </si>
  <si>
    <t>Volume * FFTime</t>
  </si>
  <si>
    <t>Volume * Distance</t>
  </si>
  <si>
    <t>Adj from NB</t>
  </si>
  <si>
    <t>DELAY + FFVHT</t>
  </si>
  <si>
    <t>%Pass</t>
  </si>
  <si>
    <t>%Truck</t>
  </si>
  <si>
    <t>Raw VISSIM Export (Seconds to traverse segment)</t>
  </si>
  <si>
    <t>120P05708</t>
  </si>
  <si>
    <t>FF Time</t>
  </si>
  <si>
    <t>Project only affects NB Traffic so only use NB Counts for hourly distribution.</t>
  </si>
  <si>
    <t>Hourly Truck Volume - Route 91 NB at Exit 27 - Collected Monday 12/1 to Sunday 12/7, 2014</t>
  </si>
  <si>
    <t>By Period (Hours)</t>
  </si>
  <si>
    <t>Total (Seconds)</t>
  </si>
  <si>
    <t>May 2012 Hourly Ramp Volumes</t>
  </si>
  <si>
    <t>No-Build</t>
  </si>
  <si>
    <t>Year</t>
  </si>
  <si>
    <t>HARTFORD MPO Travel - Statewide Model - Year 2040</t>
  </si>
  <si>
    <t>VISSIM Output</t>
  </si>
  <si>
    <t>Percent Reduction</t>
  </si>
  <si>
    <t>Spending Years</t>
  </si>
  <si>
    <t>I-91 Counts (2014)</t>
  </si>
  <si>
    <t>Design</t>
  </si>
  <si>
    <t>I91 AADT 2011</t>
  </si>
  <si>
    <t>CT15 AADT 2011</t>
  </si>
  <si>
    <t>I91 AADT 2014</t>
  </si>
  <si>
    <t>CT15 AADT 2014</t>
  </si>
  <si>
    <t>Annual Days</t>
  </si>
  <si>
    <t>= Distance / FFSpeed * min/hr * sec/min</t>
  </si>
  <si>
    <t>Length</t>
  </si>
  <si>
    <t>CT Rt 15</t>
  </si>
  <si>
    <t>Annual Delay</t>
  </si>
  <si>
    <t>Annual Auto Delay Seconds</t>
  </si>
  <si>
    <t>Annual Truck Delay Seconds</t>
  </si>
  <si>
    <t>Delay Per Vehicle</t>
  </si>
  <si>
    <t>Seconds to Traverse - Free Flow Time (0 if simulated time &lt; FF Time)</t>
  </si>
  <si>
    <t>Total Annual Delay</t>
  </si>
  <si>
    <r>
      <t>365 *Seconds of delay per vehicle * Segment AADT *</t>
    </r>
    <r>
      <rPr>
        <sz val="11"/>
        <rFont val="Calibri"/>
        <family val="2"/>
        <scheme val="minor"/>
      </rPr>
      <t xml:space="preserve"> </t>
    </r>
    <r>
      <rPr>
        <b/>
        <sz val="11"/>
        <color theme="0"/>
        <rFont val="Calibri"/>
        <family val="2"/>
        <scheme val="minor"/>
      </rPr>
      <t>Daily Car % of Week Total Volume</t>
    </r>
  </si>
  <si>
    <r>
      <t>365 *Seconds of delay per vehicle * Segment AADT *</t>
    </r>
    <r>
      <rPr>
        <sz val="11"/>
        <rFont val="Calibri"/>
        <family val="2"/>
        <scheme val="minor"/>
      </rPr>
      <t xml:space="preserve"> </t>
    </r>
    <r>
      <rPr>
        <b/>
        <sz val="11"/>
        <color theme="0"/>
        <rFont val="Calibri"/>
        <family val="2"/>
        <scheme val="minor"/>
      </rPr>
      <t>Daily Truck % of Week Total Volume</t>
    </r>
  </si>
  <si>
    <t>Free Flow Speed</t>
  </si>
  <si>
    <t>Construction Period Speed</t>
  </si>
  <si>
    <t>Construction Delay</t>
  </si>
  <si>
    <t>Additional Delay in the Overnight Period during Construction Years</t>
  </si>
  <si>
    <t>Construction Years</t>
  </si>
  <si>
    <t>Planning Time Index</t>
  </si>
  <si>
    <t>Buffer Time Index</t>
  </si>
  <si>
    <t>Alt. Case</t>
  </si>
  <si>
    <t>Build Planning Time Index</t>
  </si>
  <si>
    <t>Number of Observations</t>
  </si>
  <si>
    <t>Total Delay</t>
  </si>
  <si>
    <t>Avg. Veh. Delay</t>
  </si>
  <si>
    <t>Avg. Veh. Time (Secs)</t>
  </si>
  <si>
    <t>95% Veh. Time (Secs)</t>
  </si>
  <si>
    <t>VISSIM Summary Output (2014)</t>
  </si>
  <si>
    <t>First Year</t>
  </si>
  <si>
    <t>Final Year</t>
  </si>
  <si>
    <t>Model Timing</t>
  </si>
  <si>
    <t>Based on CT DOT Highway Traffic Count Program</t>
  </si>
  <si>
    <t>Used to expand Average Annual Daily travel variables</t>
  </si>
  <si>
    <t>Posted speed limit on project links</t>
  </si>
  <si>
    <t>Based on Statewide model for links in the project area</t>
  </si>
  <si>
    <t>Posted speed limit in the Overnight period during Construction Years</t>
  </si>
  <si>
    <t>Grown from 2011</t>
  </si>
  <si>
    <t>General Travel Parameters</t>
  </si>
  <si>
    <t>Based on Review of NHTS and CT data</t>
  </si>
  <si>
    <t>No Build Case Planning Time Index*</t>
  </si>
  <si>
    <t>*Based on 2014 full-year HERE travel time data for the project links</t>
  </si>
  <si>
    <t>Input Values</t>
  </si>
  <si>
    <t>Workbook Calculations</t>
  </si>
  <si>
    <t>TREDIS Calculations</t>
  </si>
  <si>
    <t>Value</t>
  </si>
  <si>
    <t>Notes</t>
  </si>
  <si>
    <t>Preliminary Engineering</t>
  </si>
  <si>
    <t>Right Of Way Acquisition</t>
  </si>
  <si>
    <t>Constant Dollar Year</t>
  </si>
  <si>
    <t xml:space="preserve">Hour </t>
  </si>
  <si>
    <t>Seconds</t>
  </si>
  <si>
    <t>Raw VISSIM Export (Vehicle seconds to traverse segment)</t>
  </si>
  <si>
    <t>2014 I-91 Auto Delay in Seconds (Total of VISSIM Segments Calculated Below)</t>
  </si>
  <si>
    <t>2014 I-91 Truck Delay in Seconds (Total of VISSIM Segments Calculated Below)</t>
  </si>
  <si>
    <t>2014 CT Route 15 Auto Delay in Seconds (Total of VISSIM Segments Calculated Below)</t>
  </si>
  <si>
    <t>2014 CT Route 15 Truck Delay in Seconds (Total of VISSIM Segments Calculated Below)</t>
  </si>
  <si>
    <t>2040 I-91 Auto Delay in Seconds (2014 Delay Grown at AM/PM Delay CAGR based on VISSIM)</t>
  </si>
  <si>
    <t>2040 I-91 Truck Delay in Seconds (2014 Delay Grown at AM/PM Delay CAGR based on VISSIM)</t>
  </si>
  <si>
    <t>2040 CT Route 15 Auto Delay in Seconds (2014 Delay Grown at AM/PM Delay CAGR based on VISSIM)</t>
  </si>
  <si>
    <t>2040 CT Route 15 Truck Delay in Seconds (2014 Delay Grown at AM/PM Delay CAGR based on VISSIM)</t>
  </si>
  <si>
    <t>Applied to Hours 0-11; Based on volume growth at 0.9% annually</t>
  </si>
  <si>
    <t>Applied to Hours 12-23; Based on volume growth at 0.9% annually</t>
  </si>
  <si>
    <t>Delay Growth Rates</t>
  </si>
  <si>
    <t>Passenger</t>
  </si>
  <si>
    <t>Calculated</t>
  </si>
  <si>
    <t>VISSIM Morning (2014-2040)</t>
  </si>
  <si>
    <t>VISSIM Evening (2014-2040)</t>
  </si>
  <si>
    <t>= 1 - % Truck</t>
  </si>
  <si>
    <t>Percent Truck</t>
  </si>
  <si>
    <t>Percent Pass</t>
  </si>
  <si>
    <t>FF Time (Hrs)</t>
  </si>
  <si>
    <t>= Sum of 2 segment lengths</t>
  </si>
  <si>
    <t>= Distance / FFSpeed</t>
  </si>
  <si>
    <t>Fatalities</t>
  </si>
  <si>
    <t>Injuries</t>
  </si>
  <si>
    <t>Historical 3-year Avg</t>
  </si>
  <si>
    <t>Incidents per 100M veh.-miles</t>
  </si>
  <si>
    <t xml:space="preserve">Base </t>
  </si>
  <si>
    <t>= Base - (Base*Reduction)</t>
  </si>
  <si>
    <t>Personal Injuries</t>
  </si>
  <si>
    <t>Property Damage</t>
  </si>
  <si>
    <t>CT Route 15 Crashes Avoided</t>
  </si>
  <si>
    <t>Total Crashes Avoided (I-91 + CT-15)</t>
  </si>
  <si>
    <t>I-91 Crashes Avoided</t>
  </si>
  <si>
    <t xml:space="preserve">Calculated on VISSIM Sheet </t>
  </si>
  <si>
    <t>Passenger Vehicles</t>
  </si>
  <si>
    <t>Daily</t>
  </si>
  <si>
    <t>Year/Period</t>
  </si>
  <si>
    <t>From Calculation on Sheet "Vols"</t>
  </si>
  <si>
    <t>Travel on I-91 Project Segments</t>
  </si>
  <si>
    <t>Travel on CT 15 Project Segments</t>
  </si>
  <si>
    <t>Veh. Buffer Hrs</t>
  </si>
  <si>
    <t>Veh. Hrs Traveled</t>
  </si>
  <si>
    <t>Passenger - Business</t>
  </si>
  <si>
    <t>Passenger - Personal</t>
  </si>
  <si>
    <t>Truck - Freight</t>
  </si>
  <si>
    <t>Change in Travel Characteristics (CT 15 Portion)</t>
  </si>
  <si>
    <t>Change in Travel Characteristics (I-91 Portion)</t>
  </si>
  <si>
    <t>Veh Oper Cost</t>
  </si>
  <si>
    <t>Reliability Cost</t>
  </si>
  <si>
    <t>Crew Cost</t>
  </si>
  <si>
    <t>Change in Travel Characteristics (Total)</t>
  </si>
  <si>
    <t>Value of Safety</t>
  </si>
  <si>
    <t>Reduction in Congested Hours Traveled</t>
  </si>
  <si>
    <t>Cars</t>
  </si>
  <si>
    <t>VOC</t>
  </si>
  <si>
    <t>Nox</t>
  </si>
  <si>
    <t>Sox</t>
  </si>
  <si>
    <t>Emissions per gallon</t>
  </si>
  <si>
    <t>Diesel</t>
  </si>
  <si>
    <t>Gasoline</t>
  </si>
  <si>
    <t>NOx</t>
  </si>
  <si>
    <t>SOx</t>
  </si>
  <si>
    <t>CO2</t>
  </si>
  <si>
    <t>Non-CO2</t>
  </si>
  <si>
    <t>Assume Weekly Distribution on Rt. 15 matches Weekly distribution on I-91</t>
  </si>
  <si>
    <t>Assume Percent Truck Traffic Equals I-91 by day and hour</t>
  </si>
  <si>
    <t>Notes:</t>
  </si>
  <si>
    <t>Source: CT DOT Traffic Count Program</t>
  </si>
  <si>
    <t>Week Summary</t>
  </si>
  <si>
    <t>Total Volume</t>
  </si>
  <si>
    <t>Total Truck</t>
  </si>
  <si>
    <t>% Truck</t>
  </si>
  <si>
    <t xml:space="preserve"> TRUCK % Total Weekly Volume by Day and Hour</t>
  </si>
  <si>
    <t xml:space="preserve"> CAR % Total Weekly Volume by Day and Hour</t>
  </si>
  <si>
    <t>I-91 Weekly Traffic Distribution by Hour and Day</t>
  </si>
  <si>
    <t>CT 15 Weekly Traffic Distribution by Hour and Day</t>
  </si>
  <si>
    <t>Estimates for CT 15</t>
  </si>
  <si>
    <t>3% Discount</t>
  </si>
  <si>
    <t>7% Discount</t>
  </si>
  <si>
    <t>Freight Logistics Cost</t>
  </si>
  <si>
    <t>Real</t>
  </si>
  <si>
    <t>Total w/o Freight Logistics</t>
  </si>
  <si>
    <t>Total w/ Freight Logistics</t>
  </si>
  <si>
    <t>Full Operations Period</t>
  </si>
  <si>
    <t>Travel Time Cost</t>
  </si>
  <si>
    <t>Freight Truck</t>
  </si>
  <si>
    <t>Baseline &amp; Problem to be Addressed</t>
  </si>
  <si>
    <t>Change to Baseline</t>
  </si>
  <si>
    <t>Type of Impact</t>
  </si>
  <si>
    <t>Population Affected by Impact</t>
  </si>
  <si>
    <t>Economic Benefit</t>
  </si>
  <si>
    <t>Reduced vehicle emissions</t>
  </si>
  <si>
    <t>Reliability cost savings</t>
  </si>
  <si>
    <t>Freight logistics cost savings</t>
  </si>
  <si>
    <t xml:space="preserve">Travel time savings </t>
  </si>
  <si>
    <t>Safety Benefits</t>
  </si>
  <si>
    <t xml:space="preserve">Vehicle operating cost savings </t>
  </si>
  <si>
    <t>2015$</t>
  </si>
  <si>
    <t>Value of Traveler Benefits (Total, 2015$)</t>
  </si>
  <si>
    <t>Value of Traveler Benefits (I-91 Portion, 2015$)</t>
  </si>
  <si>
    <t>Value of Traveler Benefits (CT 15 Portion, 2015$)</t>
  </si>
  <si>
    <t>Value of Safety (2015$)</t>
  </si>
  <si>
    <t>Fuel Consumption (gallons per hour)</t>
  </si>
  <si>
    <t>Source: 2016 BCA Resource Guide for Grant Applications</t>
  </si>
  <si>
    <t>Injuries*</t>
  </si>
  <si>
    <t>* Injuries calculated below based on information from BCA Resource Guide Table 4 and VSL.</t>
  </si>
  <si>
    <t>Minor</t>
  </si>
  <si>
    <t>AIS</t>
  </si>
  <si>
    <t>VSL</t>
  </si>
  <si>
    <t>% VSL</t>
  </si>
  <si>
    <t>U - Injury Severity Unknown</t>
  </si>
  <si>
    <t>2015$ Value</t>
  </si>
  <si>
    <t>AIS Cost Share</t>
  </si>
  <si>
    <t>Short Tons of Emissions per Congested VHT</t>
  </si>
  <si>
    <t xml:space="preserve">* Factors are based on analysis by EDR Group of EPA420-F-08-024 and EPA420-F-08-025, reports on average annual emissions and idling emissions using the MOBILE6.2 model. Without access to MOVES for the project region, these are the most accurate information available. </t>
  </si>
  <si>
    <t>Source: 2016 BCA Resource Guide</t>
  </si>
  <si>
    <t>Source: http://www.eia.gov/tools/faqs/faq.cfm?id=307&amp;t=11</t>
  </si>
  <si>
    <t>Pounds</t>
  </si>
  <si>
    <t>Short Tons</t>
  </si>
  <si>
    <t>Fuel</t>
  </si>
  <si>
    <t>Source: TREDIS Fixed Factors derived from Highway Statistics 2013 Table VM-1 (updated January 2015) and speed assumptions</t>
  </si>
  <si>
    <t>Reduction in Emissions (Short Tons)</t>
  </si>
  <si>
    <t>Structure</t>
  </si>
  <si>
    <t>Traffic</t>
  </si>
  <si>
    <t>IMS</t>
  </si>
  <si>
    <t>Clearing &amp; Grubbing</t>
  </si>
  <si>
    <t>M&amp;P of Traffic</t>
  </si>
  <si>
    <t>Mobilization and Project Closeout</t>
  </si>
  <si>
    <t>Construction Staking</t>
  </si>
  <si>
    <t>Incidentals</t>
  </si>
  <si>
    <t>Contingencies</t>
  </si>
  <si>
    <t>Utility</t>
  </si>
  <si>
    <t>Inflation</t>
  </si>
  <si>
    <t>Railroad</t>
  </si>
  <si>
    <t>Preliminary Design Cost Categories</t>
  </si>
  <si>
    <t>Other Project Costs</t>
  </si>
  <si>
    <t>Environmental Mitigation</t>
  </si>
  <si>
    <t>3% Discounted Stream</t>
  </si>
  <si>
    <t>7% Discounted Stream</t>
  </si>
  <si>
    <t>Temporal Shares of Spending</t>
  </si>
  <si>
    <t>Present Value</t>
  </si>
  <si>
    <t>All Project Costs</t>
  </si>
  <si>
    <t>Costs w/ Inflation</t>
  </si>
  <si>
    <t>VOCs</t>
  </si>
  <si>
    <t>CO2*</t>
  </si>
  <si>
    <t>Value of Reduction (2015$)</t>
  </si>
  <si>
    <t>Total Benefits (2015$)</t>
  </si>
  <si>
    <t>CO2 Value (2015$)</t>
  </si>
  <si>
    <t>3% Discount Stream</t>
  </si>
  <si>
    <t>7% Discount Stream</t>
  </si>
  <si>
    <t>Injury Value</t>
  </si>
  <si>
    <t>Freight Goods</t>
  </si>
  <si>
    <t>Driver and Logistics w/ average 24.05 tons per vehicle</t>
  </si>
  <si>
    <t>100% of VTTS</t>
  </si>
  <si>
    <t>50% of CT Hourly Median Household Income</t>
  </si>
  <si>
    <t>CT/MA/NY/RI Median Hourly Wage * Ratio of Hourly Total Compensation to Hourly Mean Wages and Salaries</t>
  </si>
  <si>
    <t>Value of Travel Time Reliability</t>
  </si>
  <si>
    <t>CT Median Hourly Wage (All Occ) * Ratio of Hrly Total Comp to Hrly Mean Wages and Salaries</t>
  </si>
  <si>
    <t>Value of Time Time Savings*</t>
  </si>
  <si>
    <t>*Developed based on USDOT VOT Guidance 2014 using BLS May 2015 Occupational Employment and Wage Estimates, BLS Dec 2015 Employee Costs for Employee Compensation, and U.S. Census Bureau State Median Income Table H-8 for 2014. All values adjusted to 2015$ using CPI-U.</t>
  </si>
  <si>
    <t>Mean $/Ton - Commodity specific VTTS applied by TREDIS based on corridor freight commodity mix. Values based on work by Cambridge Systematics and EDR Group for Montana Department of Transportation using HEAT.</t>
  </si>
  <si>
    <t xml:space="preserve">Not used in BCA, </t>
  </si>
  <si>
    <t>but listed in principle design submission</t>
  </si>
  <si>
    <t>Total Region Trips</t>
  </si>
  <si>
    <t>Undiscounted Stream</t>
  </si>
  <si>
    <t>Percent by Year</t>
  </si>
  <si>
    <t>Fuel Cons / Hr</t>
  </si>
  <si>
    <t>Fuel Price</t>
  </si>
  <si>
    <t>Derived from per mile Truck/Trailer Lease, Repair &amp; maintenance, insurance, permit &amp; license and tire costs from ATRI 2014 Update to "An Analysis of the Operational Costs of Trucking" based on speed assumptions</t>
  </si>
  <si>
    <t>Derived from per mile portion of maintenance, tires, depreciation and insurance costs from AAA 2015 Your Driving Cost based on speed assumptions</t>
  </si>
  <si>
    <t>Veh. Oper. Cost / Hr</t>
  </si>
  <si>
    <t>Derived from Highway Statistics 2013 Table VM-1 based on speed assumptions</t>
  </si>
  <si>
    <t>Based on 2014 fuel prices for New England (PADD 1A)</t>
  </si>
  <si>
    <t>Fuel Type</t>
  </si>
  <si>
    <t>Crash Modification Factor</t>
  </si>
  <si>
    <t>I-91 Facility Segment Characteristics</t>
  </si>
  <si>
    <t>CT-15 Facility Segment Characteristics</t>
  </si>
  <si>
    <t>= Sum of 4 segment lengths</t>
  </si>
  <si>
    <t>= Distance/FFSpeed</t>
  </si>
  <si>
    <t>%pass * Days/yr * AADT</t>
  </si>
  <si>
    <t>%truck * Days/yr * AADT</t>
  </si>
  <si>
    <t>This tab presents results of the VISSIM micro-simulation which are used to develop daily-period delay on the project segments.</t>
  </si>
  <si>
    <t>T_1</t>
  </si>
  <si>
    <t>This tab calculates the daily-hourly portion of weekly travel that belongs to each trucks and passenger cars</t>
  </si>
  <si>
    <t>T_2</t>
  </si>
  <si>
    <t>T_3</t>
  </si>
  <si>
    <t>This tab uses the information in T_1 and T_2 as well as additional travel information for the project area and project link to calculated annual travel characteristics for the build and no build cases on both I-91 and CT-15. Four of these years are split into periods and input into TREDIS which is used to manage annual data by period for results analysis.</t>
  </si>
  <si>
    <t>This tab calculates the daily-hourly portion of weekly travel that belongs to each trucks and passenger cars based on traffic counts on I-91 and CT-15.</t>
  </si>
  <si>
    <t>Veh. Oper. Cost Savings are calculated based on the change in VHT * (VOC/Hr + Fuel Cons * Fuel Price)</t>
  </si>
  <si>
    <t>Travel Time Cost Savings are calcuated based on the change in VHT * VTTS</t>
  </si>
  <si>
    <t>Reliability Cost Savings are calculated based on the change in VHT * VTTR</t>
  </si>
  <si>
    <t xml:space="preserve">This tab calculates travel benefits based on the change in travel characteristics. Calculations were made in TREDIS and then exported here, however all results (except Freight Logistics) are reproducible using the factors here and travel characteristics in T_3. </t>
  </si>
  <si>
    <t>Freight Logistics Cost Savings are calculated by TREDIS based on the commodity mix on the project segments and commodity specific VTTS that fluctuate around the mean listed here in the factors below.</t>
  </si>
  <si>
    <t xml:space="preserve">This tab calculates travel benefits based on the change in travel characteristics. </t>
  </si>
  <si>
    <t>Ben_1</t>
  </si>
  <si>
    <t>Ben_2</t>
  </si>
  <si>
    <t>Ben_3</t>
  </si>
  <si>
    <t>This tab calculates safety benefits based on the reduction in accidents.</t>
  </si>
  <si>
    <t>This tab calculates environmental benefits based on reduced emission levels due to more efficient operation in uncongested circumstances.</t>
  </si>
  <si>
    <t>Cost</t>
  </si>
  <si>
    <t>Project Matrix</t>
  </si>
  <si>
    <t>BC Summary</t>
  </si>
  <si>
    <t>Monetary Value of Emissions (2015$/short ton)</t>
  </si>
  <si>
    <t>Net Benefits</t>
  </si>
  <si>
    <t>Travel Benefits</t>
  </si>
  <si>
    <t>Non-CO2 Environmental Benefits</t>
  </si>
  <si>
    <t>CO2 Environmental Benefits</t>
  </si>
  <si>
    <t>Total Benefits</t>
  </si>
  <si>
    <t>Annual Streams (3% Discount Rate)</t>
  </si>
  <si>
    <t>Annual Streams (7% Discount Rate, except CO2)</t>
  </si>
  <si>
    <t>CO2 Environmental Benefits*</t>
  </si>
  <si>
    <t>Annual Streams (Undiscounted)</t>
  </si>
  <si>
    <t>* Per USDOT Grant Guidance CO2 is always discounted at 3%</t>
  </si>
  <si>
    <t>Benefits</t>
  </si>
  <si>
    <t>Undiscounted</t>
  </si>
  <si>
    <t>B/C Ratio</t>
  </si>
  <si>
    <t>Measure</t>
  </si>
  <si>
    <t>This tab uses the information in T_1 and T_2 as well as additional travel information for the project area and project link to calculated annual travel characteristics.</t>
  </si>
  <si>
    <t>This tab prevents summary BCA measures and annual streams of benefits and costs.</t>
  </si>
  <si>
    <t>This tab breaks out project cost by year based on preliminary design cost estimates.</t>
  </si>
  <si>
    <t>This tab contains the required Grant Project Matrix</t>
  </si>
  <si>
    <t>Table of Contents</t>
  </si>
  <si>
    <t>Color Code</t>
  </si>
  <si>
    <t>Key</t>
  </si>
  <si>
    <t>Exit 29 Off-Ramp at Capacity</t>
  </si>
  <si>
    <t>Exit 29 Off-Ramp Vertical Geometry</t>
  </si>
  <si>
    <t>Mainline Volumes At or Near Capacity</t>
  </si>
  <si>
    <t>Heavy Weaving of Route 15 Through Traffic with I-91’s Entering Traffic</t>
  </si>
  <si>
    <t>Several factors within the Interchange 29 area which contribute to the observed vehicle delay and above average crash rates:</t>
  </si>
  <si>
    <t>Widening of I-91 North from Interchange 27 to Interchange 29; Replace and Relocate Existing Exit Ramp at Interchange 29 with Major Diverge; Widening Route 15 North from the Charter Oak Bridge to the Silver Lane Underpass</t>
  </si>
  <si>
    <t>Significiantly reduce travel time delay by eliminating congestion from queuing at exit ramps and merging and weaving across the facility. This decreased congestion has corresponding benefits for vehicle operating cost and vehicle emissions as vehicles operate more efficiently at constant free flow speeds. Decreasing congestion also provides reliability benefits. Improve safety by reducing conflict points. Install a noise barrier to improve quality of life in project area.</t>
  </si>
  <si>
    <t>Roughly 57,000 trips use the affected links of I-91 each day and 39,000 trips cross the affected links of CT Route 15. Residents and businesses in the project area will be affected by reduced air and noise pollution.</t>
  </si>
  <si>
    <t>Noise Benefits</t>
  </si>
  <si>
    <t>Reduction in highway noise impacts on the community.</t>
  </si>
  <si>
    <t>Tab Ben_1 and Section 1.3</t>
  </si>
  <si>
    <t>Section 1.9</t>
  </si>
  <si>
    <t>Tab Ben_1 and Section 1.4</t>
  </si>
  <si>
    <t>Tab Ben_1 and Section 1.5</t>
  </si>
  <si>
    <t>Tab Ben_1 and Section 1.6</t>
  </si>
  <si>
    <t>Tab Ben_3 and Section 1.8</t>
  </si>
  <si>
    <t>Tab Ben_2 and Section 1.7</t>
  </si>
  <si>
    <t>Summary of Results (Benefits accrued in the period from 2018-2043)</t>
  </si>
  <si>
    <t>Reduced fuel consumption and running time - 23.5 million undiscounted 2015 dollars, mostly as CO2 reduction.</t>
  </si>
  <si>
    <t>Reduced injury and PDO accidents - 136 million undiscounted 2015 dollars.</t>
  </si>
  <si>
    <t>Documenation Reference: Benefit-Cost Analysis of the Charter Oak Bridge Interchange</t>
  </si>
  <si>
    <t>Improved reliability due to reduced congestion and average trip lengths - 298.5 million undiscounted 2015 dollars, 99 million to freight trucks.</t>
  </si>
  <si>
    <t>Reduced delay from congestion - 194 million undiscounted 2015 dollars, 43.5 million to truck drivers.</t>
  </si>
  <si>
    <t>Reduced fuel consumption and running time - 217.5 million undiscounted 2015 dollars, 85 million to freight trucks.</t>
  </si>
  <si>
    <t>Reduced time in transit for freight commodities using the project segments - 110 million undiscounted 2015 dollars to freight shippers and receivers.</t>
  </si>
  <si>
    <t>This tab calculates safety benefits based on the reduction in accidents. TREDIS is used to apply different crash rates to the approriate VMT.</t>
  </si>
  <si>
    <t>* TREDIS makes it easy to apply the crash rate to annual VMT but this can also be calculated from VMT on Tab Ben_1.</t>
  </si>
  <si>
    <t xml:space="preserve">Based on Highway Statistics 2013 and HERS-ST </t>
  </si>
  <si>
    <r>
      <t xml:space="preserve">Based on </t>
    </r>
    <r>
      <rPr>
        <i/>
        <sz val="11"/>
        <color theme="1"/>
        <rFont val="Calibri"/>
        <family val="2"/>
      </rPr>
      <t>Safety Performance for Freeway Weaving Segment,</t>
    </r>
    <r>
      <rPr>
        <sz val="11"/>
        <color theme="1"/>
        <rFont val="Calibri"/>
        <family val="2"/>
      </rPr>
      <t xml:space="preserve"> published 2014, by Yi Qi, Jie Liu and Yubian Wang, which evaluated 16 weaving sections to develop CMFs </t>
    </r>
  </si>
  <si>
    <t>Roadway and Drainage</t>
  </si>
  <si>
    <t>Construction Staging/Phasing</t>
  </si>
  <si>
    <t>Signing and Pavement Marking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</si>
</sst>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h:mm;@"/>
    <numFmt numFmtId="165" formatCode="0.0%"/>
    <numFmt numFmtId="166" formatCode="_(* #,##0_);_(* \(#,##0\);_(* &quot;-&quot;??_);_(@_)"/>
    <numFmt numFmtId="167" formatCode="_(* #,##0.0000_);_(* \(#,##0.0000\);_(* &quot;-&quot;??_);_(@_)"/>
    <numFmt numFmtId="168" formatCode="_(* #,##0.00000_);_(* \(#,##0.00000\);_(* &quot;-&quot;??_);_(@_)"/>
    <numFmt numFmtId="169" formatCode="0.0"/>
    <numFmt numFmtId="170" formatCode="0.000%"/>
    <numFmt numFmtId="171" formatCode="0.000"/>
    <numFmt numFmtId="172" formatCode="&quot;$&quot;#,##0"/>
    <numFmt numFmtId="173" formatCode="0.00000"/>
    <numFmt numFmtId="174" formatCode="&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sz val="11"/>
      <color rgb="FF000000"/>
      <name val="Calibri"/>
      <family val="2"/>
    </font>
    <font>
      <sz val="11"/>
      <name val="Calibri"/>
      <family val="2"/>
    </font>
    <font>
      <b/>
      <sz val="18"/>
      <color theme="0"/>
      <name val="Calibri"/>
      <family val="2"/>
      <scheme val="minor"/>
    </font>
    <font>
      <sz val="8.5"/>
      <name val="Microsoft Sans Serif"/>
      <family val="2"/>
    </font>
    <font>
      <b/>
      <sz val="16"/>
      <color theme="0"/>
      <name val="Calibri"/>
      <family val="2"/>
      <scheme val="minor"/>
    </font>
    <font>
      <sz val="10"/>
      <name val="Arial"/>
      <family val="2"/>
    </font>
    <font>
      <sz val="12"/>
      <name val="Helv"/>
    </font>
    <font>
      <b/>
      <sz val="12"/>
      <name val="Times New Roman"/>
      <family val="1"/>
    </font>
    <font>
      <sz val="10"/>
      <name val="Times New Roman"/>
      <family val="1"/>
    </font>
    <font>
      <b/>
      <sz val="12"/>
      <color indexed="17"/>
      <name val="Arial"/>
      <family val="2"/>
    </font>
    <font>
      <b/>
      <sz val="12"/>
      <color indexed="16"/>
      <name val="Times New Roman"/>
      <family val="1"/>
    </font>
    <font>
      <sz val="11"/>
      <color indexed="8"/>
      <name val="Calibri"/>
      <family val="2"/>
    </font>
    <font>
      <b/>
      <sz val="12"/>
      <name val="Arial"/>
      <family val="2"/>
    </font>
    <font>
      <u/>
      <sz val="11"/>
      <color indexed="12"/>
      <name val="Calibri"/>
      <family val="2"/>
    </font>
    <font>
      <u/>
      <sz val="9"/>
      <color indexed="12"/>
      <name val="Arial"/>
      <family val="2"/>
    </font>
    <font>
      <u/>
      <sz val="11"/>
      <color theme="10"/>
      <name val="Calibri"/>
      <family val="2"/>
      <scheme val="minor"/>
    </font>
    <font>
      <sz val="6"/>
      <name val="P-AVGARD"/>
    </font>
    <font>
      <sz val="8"/>
      <name val="Arial"/>
      <family val="2"/>
    </font>
    <font>
      <sz val="10"/>
      <color theme="1"/>
      <name val="Arial"/>
      <family val="2"/>
    </font>
    <font>
      <b/>
      <u/>
      <sz val="11"/>
      <color theme="0"/>
      <name val="Calibri"/>
      <family val="2"/>
      <scheme val="minor"/>
    </font>
    <font>
      <b/>
      <sz val="8"/>
      <color theme="1"/>
      <name val="Calibri"/>
      <family val="2"/>
      <scheme val="minor"/>
    </font>
    <font>
      <sz val="18"/>
      <color theme="3"/>
      <name val="Cambria"/>
      <family val="2"/>
      <scheme val="major"/>
    </font>
    <font>
      <sz val="11"/>
      <color theme="1"/>
      <name val="Calibri"/>
      <family val="2"/>
    </font>
    <font>
      <i/>
      <sz val="11"/>
      <color theme="1"/>
      <name val="Calibri"/>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theme="4" tint="0.39997558519241921"/>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alignment vertical="top" wrapText="1"/>
      <protection locked="0"/>
    </xf>
    <xf numFmtId="0" fontId="2" fillId="0" borderId="0" applyNumberFormat="0" applyFill="0" applyBorder="0" applyAlignment="0" applyProtection="0"/>
    <xf numFmtId="0" fontId="28" fillId="0" borderId="0"/>
    <xf numFmtId="43" fontId="28" fillId="0" borderId="0" applyFont="0" applyFill="0" applyBorder="0" applyAlignment="0" applyProtection="0"/>
    <xf numFmtId="0" fontId="29" fillId="0" borderId="0"/>
    <xf numFmtId="0" fontId="1" fillId="0" borderId="0"/>
    <xf numFmtId="9" fontId="28" fillId="0" borderId="0" applyFont="0" applyFill="0" applyBorder="0" applyAlignment="0" applyProtection="0"/>
    <xf numFmtId="9" fontId="28" fillId="0" borderId="0" applyFont="0" applyFill="0" applyBorder="0" applyAlignment="0" applyProtection="0"/>
    <xf numFmtId="8" fontId="30" fillId="0" borderId="18" applyProtection="0">
      <alignment horizontal="left" wrapText="1"/>
    </xf>
    <xf numFmtId="8" fontId="31" fillId="0" borderId="18">
      <alignment horizontal="left"/>
    </xf>
    <xf numFmtId="8" fontId="31" fillId="0" borderId="0"/>
    <xf numFmtId="40" fontId="32" fillId="0" borderId="0">
      <protection locked="0"/>
    </xf>
    <xf numFmtId="8" fontId="33" fillId="0" borderId="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2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5" fillId="0" borderId="19" applyNumberFormat="0" applyAlignment="0" applyProtection="0">
      <alignment horizontal="left" vertical="center"/>
    </xf>
    <xf numFmtId="0" fontId="35" fillId="0" borderId="17">
      <alignment horizontal="left" vertical="center"/>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xf numFmtId="0" fontId="28" fillId="0" borderId="0"/>
    <xf numFmtId="0" fontId="1" fillId="0" borderId="0"/>
    <xf numFmtId="0" fontId="28" fillId="0" borderId="0"/>
    <xf numFmtId="0" fontId="39" fillId="0" borderId="0"/>
    <xf numFmtId="0" fontId="31" fillId="0" borderId="0"/>
    <xf numFmtId="0" fontId="19" fillId="0" borderId="0"/>
    <xf numFmtId="9" fontId="3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4" fontId="40" fillId="45" borderId="0" applyNumberFormat="0" applyFill="0" applyBorder="0" applyAlignment="0" applyProtection="0"/>
    <xf numFmtId="0" fontId="41" fillId="0" borderId="0"/>
    <xf numFmtId="0" fontId="44" fillId="0" borderId="0" applyNumberFormat="0" applyFill="0" applyBorder="0" applyAlignment="0" applyProtection="0"/>
  </cellStyleXfs>
  <cellXfs count="218">
    <xf numFmtId="0" fontId="0" fillId="0" borderId="0" xfId="0"/>
    <xf numFmtId="164" fontId="18" fillId="0" borderId="0" xfId="0" applyNumberFormat="1" applyFont="1"/>
    <xf numFmtId="0" fontId="18" fillId="0" borderId="0" xfId="0" applyFont="1"/>
    <xf numFmtId="164" fontId="0" fillId="0" borderId="0" xfId="0" applyNumberFormat="1"/>
    <xf numFmtId="43" fontId="0" fillId="0" borderId="0" xfId="1" applyFont="1"/>
    <xf numFmtId="43" fontId="0" fillId="34" borderId="0" xfId="1" applyFont="1" applyFill="1"/>
    <xf numFmtId="166" fontId="0" fillId="34" borderId="0" xfId="0" applyNumberFormat="1" applyFill="1" applyAlignment="1">
      <alignment horizontal="center"/>
    </xf>
    <xf numFmtId="43" fontId="0" fillId="34" borderId="0" xfId="1" applyFont="1" applyFill="1" applyAlignment="1">
      <alignment horizontal="center"/>
    </xf>
    <xf numFmtId="166" fontId="0" fillId="34" borderId="0" xfId="1" applyNumberFormat="1" applyFont="1" applyFill="1" applyAlignment="1">
      <alignment horizontal="center"/>
    </xf>
    <xf numFmtId="166" fontId="0" fillId="34" borderId="0" xfId="0" applyNumberFormat="1" applyFill="1"/>
    <xf numFmtId="166" fontId="0" fillId="33" borderId="0" xfId="0" applyNumberFormat="1" applyFill="1"/>
    <xf numFmtId="1" fontId="0" fillId="0" borderId="0" xfId="0" applyNumberFormat="1"/>
    <xf numFmtId="169" fontId="0" fillId="0" borderId="0" xfId="0" applyNumberFormat="1"/>
    <xf numFmtId="0" fontId="0" fillId="0" borderId="0" xfId="0" applyAlignment="1">
      <alignment horizontal="center"/>
    </xf>
    <xf numFmtId="166" fontId="0" fillId="0" borderId="0" xfId="1" applyNumberFormat="1" applyFont="1"/>
    <xf numFmtId="0" fontId="0" fillId="36" borderId="0" xfId="0" applyFill="1"/>
    <xf numFmtId="0" fontId="13" fillId="35" borderId="15" xfId="0" applyFont="1" applyFill="1" applyBorder="1" applyAlignment="1"/>
    <xf numFmtId="166" fontId="13" fillId="35" borderId="15" xfId="1" applyNumberFormat="1" applyFont="1" applyFill="1" applyBorder="1" applyAlignment="1"/>
    <xf numFmtId="0" fontId="16" fillId="37" borderId="0" xfId="0" applyFont="1" applyFill="1"/>
    <xf numFmtId="166" fontId="16" fillId="37" borderId="0" xfId="1" applyNumberFormat="1" applyFont="1" applyFill="1"/>
    <xf numFmtId="9" fontId="16" fillId="37" borderId="0" xfId="2" applyFont="1" applyFill="1"/>
    <xf numFmtId="0" fontId="0" fillId="0" borderId="0" xfId="0" applyAlignment="1">
      <alignment horizontal="right"/>
    </xf>
    <xf numFmtId="0" fontId="0" fillId="0" borderId="0" xfId="0" applyAlignment="1">
      <alignment horizontal="center"/>
    </xf>
    <xf numFmtId="0" fontId="0" fillId="0" borderId="0" xfId="0" applyFill="1"/>
    <xf numFmtId="0" fontId="0" fillId="0" borderId="0" xfId="0" applyAlignment="1">
      <alignment wrapText="1"/>
    </xf>
    <xf numFmtId="0" fontId="0" fillId="0" borderId="0" xfId="0" applyFill="1" applyAlignment="1">
      <alignment wrapText="1"/>
    </xf>
    <xf numFmtId="0" fontId="16" fillId="0" borderId="0" xfId="0" applyFont="1" applyAlignment="1">
      <alignment horizontal="center"/>
    </xf>
    <xf numFmtId="0" fontId="22" fillId="0" borderId="0" xfId="0" applyFont="1" applyFill="1"/>
    <xf numFmtId="0" fontId="0" fillId="41" borderId="0" xfId="0" applyFill="1"/>
    <xf numFmtId="0" fontId="0" fillId="40" borderId="0" xfId="0" applyFill="1"/>
    <xf numFmtId="0" fontId="0" fillId="39" borderId="0" xfId="0" applyFill="1"/>
    <xf numFmtId="0" fontId="22" fillId="38" borderId="0" xfId="0" applyFont="1" applyFill="1"/>
    <xf numFmtId="0" fontId="0" fillId="40" borderId="0" xfId="0" applyFill="1"/>
    <xf numFmtId="0" fontId="0" fillId="39" borderId="0" xfId="0" applyFill="1"/>
    <xf numFmtId="166" fontId="0" fillId="41" borderId="0" xfId="0" applyNumberFormat="1" applyFill="1" applyAlignment="1"/>
    <xf numFmtId="0" fontId="0" fillId="40" borderId="0" xfId="0" applyFill="1" applyAlignment="1"/>
    <xf numFmtId="0" fontId="0" fillId="39" borderId="0" xfId="0" applyFill="1" applyAlignment="1"/>
    <xf numFmtId="0" fontId="0" fillId="38" borderId="0" xfId="0" applyFill="1" applyAlignment="1"/>
    <xf numFmtId="10" fontId="0" fillId="41" borderId="0" xfId="2" applyNumberFormat="1" applyFont="1" applyFill="1" applyAlignment="1"/>
    <xf numFmtId="10" fontId="0" fillId="40" borderId="0" xfId="2" applyNumberFormat="1" applyFont="1" applyFill="1" applyAlignment="1"/>
    <xf numFmtId="10" fontId="0" fillId="39" borderId="0" xfId="2" applyNumberFormat="1" applyFont="1" applyFill="1" applyAlignment="1"/>
    <xf numFmtId="10" fontId="0" fillId="38" borderId="0" xfId="2" applyNumberFormat="1" applyFont="1" applyFill="1" applyAlignment="1"/>
    <xf numFmtId="0" fontId="20" fillId="0" borderId="0" xfId="0" applyFont="1" applyFill="1"/>
    <xf numFmtId="0" fontId="0" fillId="0" borderId="0" xfId="0" applyBorder="1"/>
    <xf numFmtId="3" fontId="0" fillId="0" borderId="0" xfId="0" applyNumberFormat="1"/>
    <xf numFmtId="0" fontId="0" fillId="0" borderId="0" xfId="0" applyFill="1" applyAlignment="1">
      <alignment wrapText="1"/>
    </xf>
    <xf numFmtId="0" fontId="13" fillId="35" borderId="15" xfId="0" applyFont="1" applyFill="1" applyBorder="1" applyAlignment="1">
      <alignment horizontal="center"/>
    </xf>
    <xf numFmtId="0" fontId="22" fillId="0" borderId="0" xfId="0" applyFont="1"/>
    <xf numFmtId="0" fontId="0" fillId="0" borderId="0" xfId="0" quotePrefix="1" applyFill="1" applyAlignment="1"/>
    <xf numFmtId="3" fontId="0" fillId="0" borderId="0" xfId="1" applyNumberFormat="1" applyFont="1"/>
    <xf numFmtId="3" fontId="0" fillId="0" borderId="0" xfId="0" applyNumberFormat="1" applyAlignment="1">
      <alignment horizontal="right"/>
    </xf>
    <xf numFmtId="0" fontId="13" fillId="35" borderId="0" xfId="0" applyFont="1" applyFill="1" applyBorder="1" applyAlignment="1"/>
    <xf numFmtId="0" fontId="22" fillId="36" borderId="0" xfId="0" applyFont="1" applyFill="1"/>
    <xf numFmtId="0" fontId="0" fillId="36" borderId="0" xfId="0" applyFill="1" applyAlignment="1">
      <alignment horizontal="right"/>
    </xf>
    <xf numFmtId="0" fontId="13" fillId="35" borderId="0" xfId="0" applyFont="1" applyFill="1" applyAlignment="1">
      <alignment wrapText="1"/>
    </xf>
    <xf numFmtId="0" fontId="13" fillId="35" borderId="0" xfId="0" applyFont="1" applyFill="1"/>
    <xf numFmtId="0" fontId="23" fillId="36" borderId="0" xfId="0" applyFont="1" applyFill="1" applyAlignment="1">
      <alignment vertical="center"/>
    </xf>
    <xf numFmtId="0" fontId="13" fillId="35" borderId="15" xfId="0" applyFont="1" applyFill="1" applyBorder="1" applyAlignment="1">
      <alignment wrapText="1"/>
    </xf>
    <xf numFmtId="0" fontId="0" fillId="0" borderId="0" xfId="0" applyAlignment="1">
      <alignment horizontal="center" vertical="center" wrapText="1"/>
    </xf>
    <xf numFmtId="0" fontId="13" fillId="35" borderId="15" xfId="0" applyFont="1" applyFill="1" applyBorder="1" applyAlignment="1">
      <alignment horizontal="center" vertical="center" wrapText="1"/>
    </xf>
    <xf numFmtId="0" fontId="24" fillId="0" borderId="0" xfId="0" applyFont="1" applyFill="1" applyAlignment="1">
      <alignment horizontal="right" vertical="center"/>
    </xf>
    <xf numFmtId="165" fontId="24" fillId="0" borderId="0" xfId="2" applyNumberFormat="1" applyFont="1" applyFill="1" applyAlignment="1">
      <alignment horizontal="right" vertical="center"/>
    </xf>
    <xf numFmtId="0" fontId="13" fillId="0" borderId="0" xfId="0" applyFont="1" applyFill="1"/>
    <xf numFmtId="0" fontId="0" fillId="42" borderId="0" xfId="0" applyFill="1"/>
    <xf numFmtId="0" fontId="0" fillId="43" borderId="0" xfId="0" applyFill="1"/>
    <xf numFmtId="0" fontId="0" fillId="44" borderId="0" xfId="0" applyFill="1"/>
    <xf numFmtId="166" fontId="0" fillId="44" borderId="0" xfId="1" applyNumberFormat="1" applyFont="1" applyFill="1"/>
    <xf numFmtId="166" fontId="0" fillId="43" borderId="0" xfId="1" applyNumberFormat="1" applyFont="1" applyFill="1"/>
    <xf numFmtId="10" fontId="0" fillId="44" borderId="0" xfId="2" applyNumberFormat="1" applyFont="1" applyFill="1"/>
    <xf numFmtId="10" fontId="0" fillId="44" borderId="0" xfId="0" applyNumberFormat="1" applyFill="1"/>
    <xf numFmtId="165" fontId="0" fillId="44" borderId="0" xfId="2" applyNumberFormat="1" applyFont="1" applyFill="1"/>
    <xf numFmtId="165" fontId="0" fillId="43" borderId="0" xfId="2" applyNumberFormat="1" applyFont="1" applyFill="1"/>
    <xf numFmtId="9" fontId="0" fillId="43" borderId="0" xfId="2" applyFont="1" applyFill="1"/>
    <xf numFmtId="1" fontId="0" fillId="44" borderId="0" xfId="0" applyNumberFormat="1" applyFill="1"/>
    <xf numFmtId="0" fontId="13" fillId="35" borderId="15" xfId="0" applyFont="1" applyFill="1" applyBorder="1" applyAlignment="1">
      <alignment horizontal="center" vertical="center" wrapText="1"/>
    </xf>
    <xf numFmtId="0" fontId="22" fillId="44" borderId="0" xfId="0" applyFont="1" applyFill="1"/>
    <xf numFmtId="9" fontId="0" fillId="43" borderId="0" xfId="0" applyNumberFormat="1" applyFill="1"/>
    <xf numFmtId="166" fontId="0" fillId="0" borderId="0" xfId="1" applyNumberFormat="1" applyFont="1" applyFill="1"/>
    <xf numFmtId="10" fontId="0" fillId="0" borderId="0" xfId="0" applyNumberFormat="1" applyFill="1"/>
    <xf numFmtId="166" fontId="0" fillId="40" borderId="0" xfId="0" applyNumberFormat="1" applyFill="1" applyAlignment="1"/>
    <xf numFmtId="166" fontId="0" fillId="39" borderId="0" xfId="0" applyNumberFormat="1" applyFill="1" applyAlignment="1"/>
    <xf numFmtId="166" fontId="0" fillId="38" borderId="0" xfId="0" applyNumberFormat="1" applyFill="1" applyAlignment="1"/>
    <xf numFmtId="166" fontId="16" fillId="36" borderId="0" xfId="1" applyNumberFormat="1" applyFont="1" applyFill="1"/>
    <xf numFmtId="166" fontId="16" fillId="36" borderId="0" xfId="0" applyNumberFormat="1" applyFont="1" applyFill="1"/>
    <xf numFmtId="9" fontId="16" fillId="36" borderId="0" xfId="0" applyNumberFormat="1" applyFont="1" applyFill="1"/>
    <xf numFmtId="169" fontId="0" fillId="44" borderId="0" xfId="0" applyNumberFormat="1" applyFill="1"/>
    <xf numFmtId="169" fontId="0" fillId="43" borderId="0" xfId="0" applyNumberFormat="1" applyFill="1"/>
    <xf numFmtId="3" fontId="0" fillId="44" borderId="0" xfId="1" applyNumberFormat="1" applyFont="1" applyFill="1"/>
    <xf numFmtId="171" fontId="0" fillId="43" borderId="0" xfId="0" applyNumberFormat="1" applyFill="1"/>
    <xf numFmtId="166" fontId="23" fillId="43" borderId="0" xfId="1" applyNumberFormat="1" applyFont="1" applyFill="1" applyAlignment="1">
      <alignment horizontal="right" vertical="center"/>
    </xf>
    <xf numFmtId="0" fontId="23" fillId="43" borderId="0" xfId="0" applyFont="1" applyFill="1" applyAlignment="1">
      <alignment horizontal="right" vertical="center"/>
    </xf>
    <xf numFmtId="2" fontId="23" fillId="43" borderId="0" xfId="0" applyNumberFormat="1" applyFont="1" applyFill="1" applyAlignment="1">
      <alignment horizontal="right" vertical="center"/>
    </xf>
    <xf numFmtId="169" fontId="23" fillId="43" borderId="0" xfId="0" applyNumberFormat="1" applyFont="1" applyFill="1" applyAlignment="1">
      <alignment horizontal="right" vertical="center"/>
    </xf>
    <xf numFmtId="165" fontId="23" fillId="44" borderId="0" xfId="2" applyNumberFormat="1" applyFont="1" applyFill="1" applyAlignment="1">
      <alignment horizontal="right" vertical="center"/>
    </xf>
    <xf numFmtId="10" fontId="0" fillId="43" borderId="0" xfId="2" applyNumberFormat="1" applyFont="1" applyFill="1"/>
    <xf numFmtId="43" fontId="0" fillId="0" borderId="0" xfId="1" applyFont="1" applyFill="1"/>
    <xf numFmtId="43" fontId="0" fillId="0" borderId="0" xfId="1" quotePrefix="1" applyFont="1" applyFill="1"/>
    <xf numFmtId="0" fontId="0" fillId="0" borderId="0" xfId="0" applyFont="1"/>
    <xf numFmtId="0" fontId="0" fillId="0" borderId="0" xfId="0" quotePrefix="1"/>
    <xf numFmtId="166" fontId="13" fillId="35" borderId="15" xfId="1" applyNumberFormat="1" applyFont="1" applyFill="1" applyBorder="1" applyAlignment="1">
      <alignment horizontal="center" vertical="center" wrapText="1"/>
    </xf>
    <xf numFmtId="43" fontId="0" fillId="36" borderId="0" xfId="1" applyFont="1" applyFill="1"/>
    <xf numFmtId="3" fontId="0" fillId="44" borderId="0" xfId="0" quotePrefix="1" applyNumberFormat="1" applyFont="1" applyFill="1" applyAlignment="1">
      <alignment horizontal="right"/>
    </xf>
    <xf numFmtId="3" fontId="0" fillId="44" borderId="0" xfId="0" applyNumberFormat="1" applyFont="1" applyFill="1" applyAlignment="1">
      <alignment horizontal="right"/>
    </xf>
    <xf numFmtId="3" fontId="1" fillId="44" borderId="0" xfId="1" applyNumberFormat="1" applyFont="1" applyFill="1" applyAlignment="1">
      <alignment horizontal="right"/>
    </xf>
    <xf numFmtId="3" fontId="16" fillId="44" borderId="0" xfId="0" applyNumberFormat="1" applyFont="1" applyFill="1" applyAlignment="1">
      <alignment horizontal="right"/>
    </xf>
    <xf numFmtId="3" fontId="16" fillId="44" borderId="0" xfId="1" applyNumberFormat="1" applyFont="1" applyFill="1" applyAlignment="1">
      <alignment horizontal="right"/>
    </xf>
    <xf numFmtId="3" fontId="0" fillId="44" borderId="0" xfId="0" applyNumberFormat="1" applyFill="1" applyAlignment="1">
      <alignment horizontal="right"/>
    </xf>
    <xf numFmtId="3" fontId="0" fillId="44" borderId="0" xfId="1" applyNumberFormat="1" applyFont="1" applyFill="1" applyAlignment="1">
      <alignment horizontal="right"/>
    </xf>
    <xf numFmtId="0" fontId="0" fillId="0" borderId="0" xfId="0" applyFill="1" applyAlignment="1">
      <alignment horizontal="right"/>
    </xf>
    <xf numFmtId="0" fontId="13" fillId="35" borderId="15" xfId="0" applyFont="1" applyFill="1" applyBorder="1" applyAlignment="1">
      <alignment horizontal="right"/>
    </xf>
    <xf numFmtId="0" fontId="0" fillId="34" borderId="0" xfId="0" applyFill="1" applyAlignment="1">
      <alignment horizontal="right"/>
    </xf>
    <xf numFmtId="0" fontId="0" fillId="34" borderId="0" xfId="0" applyFont="1" applyFill="1" applyAlignment="1">
      <alignment horizontal="right"/>
    </xf>
    <xf numFmtId="0" fontId="16" fillId="34" borderId="0" xfId="0" applyFont="1" applyFill="1" applyAlignment="1">
      <alignment horizontal="right"/>
    </xf>
    <xf numFmtId="0" fontId="0" fillId="0" borderId="0" xfId="0" applyAlignment="1">
      <alignment horizontal="right" wrapText="1"/>
    </xf>
    <xf numFmtId="0" fontId="0" fillId="0" borderId="0" xfId="0" applyFont="1" applyAlignment="1">
      <alignment horizontal="right"/>
    </xf>
    <xf numFmtId="167" fontId="0" fillId="44" borderId="0" xfId="0" applyNumberFormat="1" applyFill="1"/>
    <xf numFmtId="168" fontId="0" fillId="44" borderId="0" xfId="0" applyNumberFormat="1" applyFill="1"/>
    <xf numFmtId="0" fontId="13" fillId="35" borderId="15" xfId="0" applyFont="1" applyFill="1" applyBorder="1" applyAlignment="1">
      <alignment horizontal="center" vertical="center" wrapText="1"/>
    </xf>
    <xf numFmtId="0" fontId="0" fillId="36" borderId="0" xfId="0" applyFill="1" applyAlignment="1">
      <alignment horizontal="right"/>
    </xf>
    <xf numFmtId="3" fontId="0" fillId="42" borderId="0" xfId="0" applyNumberFormat="1" applyFill="1"/>
    <xf numFmtId="3" fontId="0" fillId="44" borderId="0" xfId="0" applyNumberFormat="1" applyFill="1"/>
    <xf numFmtId="3" fontId="16" fillId="44" borderId="0" xfId="0" applyNumberFormat="1" applyFont="1" applyFill="1"/>
    <xf numFmtId="0" fontId="0" fillId="0" borderId="0" xfId="0" applyAlignment="1">
      <alignment horizontal="center" vertical="center"/>
    </xf>
    <xf numFmtId="166" fontId="13" fillId="35" borderId="17" xfId="1" applyNumberFormat="1" applyFont="1" applyFill="1" applyBorder="1" applyAlignment="1">
      <alignment horizontal="center" vertical="center" wrapText="1"/>
    </xf>
    <xf numFmtId="0" fontId="13" fillId="35" borderId="15" xfId="0" applyFont="1" applyFill="1" applyBorder="1" applyAlignment="1">
      <alignment horizontal="center" vertical="center" wrapText="1"/>
    </xf>
    <xf numFmtId="0" fontId="0" fillId="36" borderId="0" xfId="0" applyFill="1" applyAlignment="1">
      <alignment horizontal="right"/>
    </xf>
    <xf numFmtId="170" fontId="0" fillId="44" borderId="0" xfId="2" applyNumberFormat="1" applyFont="1" applyFill="1"/>
    <xf numFmtId="0" fontId="16" fillId="44" borderId="0" xfId="0" applyFont="1" applyFill="1"/>
    <xf numFmtId="166" fontId="0" fillId="44" borderId="0" xfId="0" applyNumberFormat="1" applyFill="1"/>
    <xf numFmtId="9" fontId="0" fillId="44" borderId="0" xfId="2" applyFont="1" applyFill="1"/>
    <xf numFmtId="165" fontId="0" fillId="44" borderId="0" xfId="0" applyNumberFormat="1" applyFill="1"/>
    <xf numFmtId="9" fontId="0" fillId="44" borderId="0" xfId="0" applyNumberFormat="1" applyFill="1"/>
    <xf numFmtId="0" fontId="0" fillId="43" borderId="11" xfId="0" applyFill="1" applyBorder="1" applyAlignment="1">
      <alignment horizontal="center"/>
    </xf>
    <xf numFmtId="0" fontId="0" fillId="43" borderId="0" xfId="0" applyFill="1" applyBorder="1" applyAlignment="1">
      <alignment horizontal="center"/>
    </xf>
    <xf numFmtId="9" fontId="0" fillId="43" borderId="12" xfId="0" applyNumberFormat="1" applyFill="1" applyBorder="1" applyAlignment="1">
      <alignment horizontal="center"/>
    </xf>
    <xf numFmtId="0" fontId="0" fillId="43" borderId="13" xfId="0" applyFill="1" applyBorder="1" applyAlignment="1">
      <alignment horizontal="center"/>
    </xf>
    <xf numFmtId="0" fontId="0" fillId="43" borderId="10" xfId="0" applyFill="1" applyBorder="1" applyAlignment="1">
      <alignment horizontal="center"/>
    </xf>
    <xf numFmtId="9" fontId="0" fillId="43" borderId="14" xfId="0" applyNumberFormat="1" applyFill="1" applyBorder="1" applyAlignment="1">
      <alignment horizontal="center"/>
    </xf>
    <xf numFmtId="164" fontId="22" fillId="36" borderId="0" xfId="0" applyNumberFormat="1" applyFont="1" applyFill="1"/>
    <xf numFmtId="164" fontId="0" fillId="36" borderId="0" xfId="0" applyNumberFormat="1" applyFill="1"/>
    <xf numFmtId="0" fontId="0" fillId="43" borderId="0" xfId="0" applyFill="1" applyAlignment="1">
      <alignment horizontal="center"/>
    </xf>
    <xf numFmtId="0" fontId="0" fillId="44" borderId="0" xfId="0" applyFill="1" applyAlignment="1">
      <alignment horizontal="center"/>
    </xf>
    <xf numFmtId="0" fontId="16" fillId="36" borderId="0" xfId="0" applyFont="1" applyFill="1"/>
    <xf numFmtId="0" fontId="16" fillId="0" borderId="0" xfId="0" applyFont="1"/>
    <xf numFmtId="166" fontId="13" fillId="35" borderId="15" xfId="1" applyNumberFormat="1" applyFont="1" applyFill="1" applyBorder="1" applyAlignment="1">
      <alignment horizontal="right"/>
    </xf>
    <xf numFmtId="0" fontId="42" fillId="35" borderId="15" xfId="0" applyFont="1" applyFill="1" applyBorder="1" applyAlignment="1">
      <alignment horizontal="center"/>
    </xf>
    <xf numFmtId="166" fontId="13" fillId="35" borderId="15" xfId="1" applyNumberFormat="1" applyFont="1" applyFill="1" applyBorder="1" applyAlignment="1">
      <alignment wrapText="1"/>
    </xf>
    <xf numFmtId="0" fontId="0" fillId="0" borderId="0" xfId="0"/>
    <xf numFmtId="0" fontId="0" fillId="0" borderId="0" xfId="0" applyFill="1"/>
    <xf numFmtId="0" fontId="0" fillId="0" borderId="18" xfId="0" applyFont="1" applyBorder="1" applyAlignment="1">
      <alignment vertical="center" wrapText="1"/>
    </xf>
    <xf numFmtId="0" fontId="0" fillId="0" borderId="0" xfId="0" applyAlignment="1">
      <alignment vertical="center" wrapText="1"/>
    </xf>
    <xf numFmtId="0" fontId="0" fillId="0" borderId="0" xfId="0" applyNumberFormat="1"/>
    <xf numFmtId="8" fontId="0" fillId="0" borderId="0" xfId="0" applyNumberFormat="1"/>
    <xf numFmtId="6" fontId="0" fillId="43" borderId="0" xfId="0" applyNumberFormat="1" applyFill="1"/>
    <xf numFmtId="173" fontId="0" fillId="0" borderId="0" xfId="0" applyNumberFormat="1" applyFill="1"/>
    <xf numFmtId="3" fontId="0" fillId="44" borderId="0" xfId="0" applyNumberFormat="1" applyFont="1" applyFill="1"/>
    <xf numFmtId="3" fontId="43" fillId="44" borderId="0" xfId="0" applyNumberFormat="1" applyFont="1" applyFill="1"/>
    <xf numFmtId="172" fontId="0" fillId="43" borderId="0" xfId="0" applyNumberFormat="1" applyFill="1"/>
    <xf numFmtId="174" fontId="0" fillId="0" borderId="0" xfId="0" applyNumberFormat="1"/>
    <xf numFmtId="172" fontId="0" fillId="44" borderId="0" xfId="0" applyNumberFormat="1" applyFill="1"/>
    <xf numFmtId="2" fontId="0" fillId="42" borderId="0" xfId="0" applyNumberFormat="1" applyFill="1"/>
    <xf numFmtId="2" fontId="22" fillId="42" borderId="0" xfId="0" applyNumberFormat="1" applyFont="1" applyFill="1" applyBorder="1" applyAlignment="1" applyProtection="1">
      <alignment vertical="top" wrapText="1"/>
      <protection locked="0"/>
    </xf>
    <xf numFmtId="2" fontId="22" fillId="0" borderId="0" xfId="0" applyNumberFormat="1" applyFont="1" applyFill="1" applyBorder="1" applyAlignment="1" applyProtection="1">
      <alignment vertical="top" wrapText="1"/>
      <protection locked="0"/>
    </xf>
    <xf numFmtId="0" fontId="22" fillId="36"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71" fontId="0" fillId="44" borderId="0" xfId="0" applyNumberFormat="1" applyFill="1"/>
    <xf numFmtId="172" fontId="16" fillId="44" borderId="0" xfId="0" applyNumberFormat="1" applyFont="1" applyFill="1"/>
    <xf numFmtId="2" fontId="0" fillId="36" borderId="0" xfId="0" applyNumberFormat="1" applyFill="1"/>
    <xf numFmtId="0" fontId="0" fillId="36" borderId="0" xfId="0" applyFill="1" applyAlignment="1">
      <alignment horizontal="right"/>
    </xf>
    <xf numFmtId="0" fontId="13" fillId="35" borderId="15" xfId="0" applyFont="1" applyFill="1" applyBorder="1" applyAlignment="1">
      <alignment horizontal="center" vertical="center" wrapText="1"/>
    </xf>
    <xf numFmtId="0" fontId="0" fillId="0" borderId="0" xfId="0" applyAlignment="1">
      <alignment wrapText="1"/>
    </xf>
    <xf numFmtId="0" fontId="25" fillId="35" borderId="15" xfId="0" applyFont="1" applyFill="1" applyBorder="1" applyAlignment="1">
      <alignment horizontal="center"/>
    </xf>
    <xf numFmtId="0" fontId="13" fillId="35" borderId="15" xfId="0" applyFont="1" applyFill="1" applyBorder="1" applyAlignment="1">
      <alignment horizontal="center" wrapText="1"/>
    </xf>
    <xf numFmtId="2" fontId="0" fillId="43" borderId="0" xfId="0" applyNumberFormat="1" applyFill="1"/>
    <xf numFmtId="2" fontId="0" fillId="43" borderId="0" xfId="0" applyNumberFormat="1" applyFill="1" applyAlignment="1">
      <alignment horizontal="right"/>
    </xf>
    <xf numFmtId="0" fontId="0" fillId="0" borderId="0" xfId="0" applyFill="1" applyAlignment="1">
      <alignment horizontal="left"/>
    </xf>
    <xf numFmtId="2" fontId="0" fillId="0" borderId="0" xfId="0" applyNumberFormat="1" applyFill="1" applyAlignment="1">
      <alignment horizontal="right"/>
    </xf>
    <xf numFmtId="2" fontId="0" fillId="44" borderId="0" xfId="0" applyNumberFormat="1" applyFill="1"/>
    <xf numFmtId="43" fontId="0" fillId="36" borderId="0" xfId="1" applyFont="1" applyFill="1" applyAlignment="1">
      <alignment horizontal="right" wrapText="1"/>
    </xf>
    <xf numFmtId="166" fontId="0" fillId="36" borderId="0" xfId="0" applyNumberFormat="1" applyFill="1" applyAlignment="1">
      <alignment horizontal="right" wrapText="1"/>
    </xf>
    <xf numFmtId="0" fontId="0" fillId="36" borderId="0" xfId="0" applyFill="1" applyAlignment="1">
      <alignment horizontal="right" wrapText="1"/>
    </xf>
    <xf numFmtId="8" fontId="0" fillId="36" borderId="0" xfId="0" applyNumberFormat="1" applyFill="1" applyAlignment="1">
      <alignment horizontal="right" wrapText="1"/>
    </xf>
    <xf numFmtId="0" fontId="0" fillId="36" borderId="0" xfId="0" applyFill="1" applyAlignment="1">
      <alignment horizontal="left"/>
    </xf>
    <xf numFmtId="0" fontId="0" fillId="0" borderId="0" xfId="0" applyFont="1" applyAlignment="1"/>
    <xf numFmtId="0" fontId="0" fillId="0" borderId="18" xfId="0" applyBorder="1" applyAlignment="1">
      <alignment wrapText="1"/>
    </xf>
    <xf numFmtId="0" fontId="0" fillId="36" borderId="0" xfId="0" applyFill="1"/>
    <xf numFmtId="0" fontId="45" fillId="0" borderId="20" xfId="0" applyFont="1" applyBorder="1" applyAlignment="1">
      <alignment vertical="center" wrapText="1"/>
    </xf>
    <xf numFmtId="0" fontId="45" fillId="0" borderId="21" xfId="0" applyFont="1" applyBorder="1" applyAlignment="1">
      <alignment horizontal="left" vertical="center" wrapText="1" indent="2"/>
    </xf>
    <xf numFmtId="0" fontId="45" fillId="0" borderId="21" xfId="0" applyFont="1" applyBorder="1" applyAlignment="1">
      <alignment horizontal="left" wrapText="1" indent="2"/>
    </xf>
    <xf numFmtId="0" fontId="45" fillId="0" borderId="0" xfId="0" applyFont="1" applyAlignment="1">
      <alignment vertical="center"/>
    </xf>
    <xf numFmtId="172" fontId="22" fillId="43" borderId="0" xfId="0" applyNumberFormat="1" applyFont="1" applyFill="1"/>
    <xf numFmtId="0" fontId="22" fillId="43" borderId="0" xfId="0" applyFont="1" applyFill="1"/>
    <xf numFmtId="172" fontId="0" fillId="0" borderId="0" xfId="0" applyNumberFormat="1"/>
    <xf numFmtId="0" fontId="22" fillId="46" borderId="0" xfId="0" applyFont="1" applyFill="1" applyBorder="1" applyAlignment="1">
      <alignment horizontal="left" vertical="center" wrapText="1"/>
    </xf>
    <xf numFmtId="172" fontId="0" fillId="47" borderId="0" xfId="0" applyNumberFormat="1" applyFill="1"/>
    <xf numFmtId="0" fontId="13" fillId="35" borderId="0" xfId="0" applyFont="1" applyFill="1" applyBorder="1" applyAlignment="1">
      <alignment horizontal="center"/>
    </xf>
    <xf numFmtId="0" fontId="0" fillId="0" borderId="18" xfId="0" applyFont="1" applyBorder="1" applyAlignment="1">
      <alignment horizontal="left" vertical="center" wrapText="1"/>
    </xf>
    <xf numFmtId="0" fontId="0" fillId="0" borderId="18" xfId="0" applyFont="1" applyBorder="1" applyAlignment="1">
      <alignment horizontal="left" vertical="top" wrapText="1"/>
    </xf>
    <xf numFmtId="0" fontId="45" fillId="0" borderId="21" xfId="0" applyFont="1" applyBorder="1" applyAlignment="1">
      <alignment horizontal="left" vertical="top" wrapText="1" indent="2"/>
    </xf>
    <xf numFmtId="0" fontId="45" fillId="0" borderId="22" xfId="0" applyFont="1" applyBorder="1" applyAlignment="1">
      <alignment horizontal="left" vertical="top" wrapText="1" indent="2"/>
    </xf>
    <xf numFmtId="0" fontId="13" fillId="35" borderId="15" xfId="0" applyFont="1" applyFill="1" applyBorder="1" applyAlignment="1"/>
    <xf numFmtId="0" fontId="13" fillId="35" borderId="15" xfId="0" applyFont="1" applyFill="1" applyBorder="1" applyAlignment="1">
      <alignment horizontal="center"/>
    </xf>
    <xf numFmtId="0" fontId="0" fillId="36" borderId="0" xfId="0" applyFill="1"/>
    <xf numFmtId="0" fontId="13" fillId="35" borderId="0" xfId="0" applyFont="1" applyFill="1" applyBorder="1" applyAlignment="1">
      <alignment horizontal="center" vertical="center" wrapText="1"/>
    </xf>
    <xf numFmtId="0" fontId="0" fillId="36" borderId="0" xfId="0" applyFill="1" applyAlignment="1">
      <alignment horizontal="right"/>
    </xf>
    <xf numFmtId="0" fontId="13" fillId="35" borderId="15" xfId="0" applyFont="1" applyFill="1" applyBorder="1" applyAlignment="1">
      <alignment horizontal="center" vertical="center" wrapText="1"/>
    </xf>
    <xf numFmtId="0" fontId="13" fillId="35" borderId="17" xfId="0" applyFont="1" applyFill="1" applyBorder="1" applyAlignment="1">
      <alignment horizontal="center" vertical="center" wrapText="1"/>
    </xf>
    <xf numFmtId="0" fontId="0" fillId="0" borderId="0" xfId="0" applyFill="1" applyAlignment="1">
      <alignment wrapText="1"/>
    </xf>
    <xf numFmtId="0" fontId="0" fillId="0" borderId="0" xfId="0" applyAlignment="1">
      <alignment horizontal="left" wrapText="1"/>
    </xf>
    <xf numFmtId="0" fontId="13" fillId="35" borderId="15" xfId="0" applyFont="1" applyFill="1" applyBorder="1" applyAlignment="1">
      <alignment horizontal="center" wrapText="1"/>
    </xf>
    <xf numFmtId="0" fontId="13" fillId="35" borderId="0" xfId="0" applyFont="1" applyFill="1" applyAlignment="1">
      <alignment horizontal="center" vertical="center"/>
    </xf>
    <xf numFmtId="0" fontId="0" fillId="38" borderId="0" xfId="0" applyFill="1" applyAlignment="1">
      <alignment horizontal="center" vertical="center"/>
    </xf>
    <xf numFmtId="0" fontId="23" fillId="36" borderId="0" xfId="0" applyFont="1" applyFill="1" applyAlignment="1">
      <alignment horizontal="right" vertical="center"/>
    </xf>
    <xf numFmtId="0" fontId="0" fillId="36" borderId="16" xfId="0" applyFill="1" applyBorder="1" applyAlignment="1">
      <alignment horizontal="right"/>
    </xf>
    <xf numFmtId="0" fontId="27" fillId="35" borderId="15" xfId="0" applyFont="1" applyFill="1" applyBorder="1" applyAlignment="1">
      <alignment horizontal="center"/>
    </xf>
    <xf numFmtId="0" fontId="25" fillId="35" borderId="15" xfId="0" applyFont="1" applyFill="1" applyBorder="1" applyAlignment="1">
      <alignment horizontal="center"/>
    </xf>
    <xf numFmtId="0" fontId="16" fillId="0" borderId="0" xfId="0" applyFont="1" applyAlignment="1">
      <alignment horizontal="left" wrapText="1"/>
    </xf>
    <xf numFmtId="0" fontId="21" fillId="0" borderId="0" xfId="0" applyFont="1" applyAlignment="1">
      <alignment horizontal="center" vertical="center" wrapText="1"/>
    </xf>
  </cellXfs>
  <cellStyles count="1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AMORT1" xfId="52"/>
    <cellStyle name="AMORT2" xfId="53"/>
    <cellStyle name="AMORT3" xfId="54"/>
    <cellStyle name="AMORT4" xfId="55"/>
    <cellStyle name="AMORT5" xfId="56"/>
    <cellStyle name="Bad" xfId="9" builtinId="27" customBuiltin="1"/>
    <cellStyle name="Calculation" xfId="13" builtinId="22" customBuiltin="1"/>
    <cellStyle name="Check Cell" xfId="15" builtinId="23" customBuiltin="1"/>
    <cellStyle name="Comma" xfId="1" builtinId="3"/>
    <cellStyle name="Comma 101" xfId="57"/>
    <cellStyle name="Comma 107" xfId="58"/>
    <cellStyle name="Comma 107 2" xfId="59"/>
    <cellStyle name="Comma 108" xfId="60"/>
    <cellStyle name="Comma 108 2" xfId="61"/>
    <cellStyle name="Comma 112" xfId="62"/>
    <cellStyle name="Comma 13" xfId="63"/>
    <cellStyle name="Comma 16" xfId="64"/>
    <cellStyle name="Comma 17" xfId="65"/>
    <cellStyle name="Comma 19" xfId="66"/>
    <cellStyle name="Comma 2" xfId="47"/>
    <cellStyle name="Comma 2 2" xfId="67"/>
    <cellStyle name="Comma 20" xfId="68"/>
    <cellStyle name="Comma 23" xfId="69"/>
    <cellStyle name="Comma 24" xfId="70"/>
    <cellStyle name="Comma 3" xfId="71"/>
    <cellStyle name="Comma 31" xfId="72"/>
    <cellStyle name="Comma 38" xfId="73"/>
    <cellStyle name="Comma 4" xfId="74"/>
    <cellStyle name="Comma 42" xfId="75"/>
    <cellStyle name="Comma 47" xfId="76"/>
    <cellStyle name="Comma 48" xfId="77"/>
    <cellStyle name="Comma 49" xfId="78"/>
    <cellStyle name="Comma 5" xfId="79"/>
    <cellStyle name="Comma 50" xfId="80"/>
    <cellStyle name="Comma 51" xfId="81"/>
    <cellStyle name="Comma 6" xfId="82"/>
    <cellStyle name="Comma 64" xfId="83"/>
    <cellStyle name="Comma 67" xfId="84"/>
    <cellStyle name="Comma 68" xfId="85"/>
    <cellStyle name="Comma 69" xfId="86"/>
    <cellStyle name="Comma 7" xfId="87"/>
    <cellStyle name="Comma 70" xfId="88"/>
    <cellStyle name="Comma 71" xfId="89"/>
    <cellStyle name="Comma 72" xfId="90"/>
    <cellStyle name="Comma 85" xfId="91"/>
    <cellStyle name="Comma 86" xfId="92"/>
    <cellStyle name="Comma 87" xfId="93"/>
    <cellStyle name="Comma 93" xfId="94"/>
    <cellStyle name="Comma 94" xfId="95"/>
    <cellStyle name="Comma 95" xfId="96"/>
    <cellStyle name="Currency 102" xfId="97"/>
    <cellStyle name="Currency 109" xfId="98"/>
    <cellStyle name="Currency 109 2" xfId="99"/>
    <cellStyle name="Currency 113" xfId="100"/>
    <cellStyle name="Currency 114" xfId="101"/>
    <cellStyle name="Currency 14" xfId="102"/>
    <cellStyle name="Currency 2" xfId="103"/>
    <cellStyle name="Currency 21" xfId="104"/>
    <cellStyle name="Currency 25" xfId="105"/>
    <cellStyle name="Currency 26" xfId="106"/>
    <cellStyle name="Currency 27" xfId="107"/>
    <cellStyle name="Currency 3" xfId="108"/>
    <cellStyle name="Currency 32" xfId="109"/>
    <cellStyle name="Currency 34" xfId="110"/>
    <cellStyle name="Currency 39" xfId="111"/>
    <cellStyle name="Currency 4" xfId="112"/>
    <cellStyle name="Currency 43" xfId="113"/>
    <cellStyle name="Currency 5" xfId="114"/>
    <cellStyle name="Currency 52" xfId="115"/>
    <cellStyle name="Currency 54" xfId="116"/>
    <cellStyle name="Currency 58" xfId="117"/>
    <cellStyle name="Currency 6" xfId="118"/>
    <cellStyle name="Currency 60" xfId="119"/>
    <cellStyle name="Currency 65" xfId="120"/>
    <cellStyle name="Currency 7" xfId="121"/>
    <cellStyle name="Currency 73" xfId="122"/>
    <cellStyle name="Currency 75" xfId="123"/>
    <cellStyle name="Currency 78" xfId="124"/>
    <cellStyle name="Currency 79" xfId="125"/>
    <cellStyle name="Currency 8" xfId="126"/>
    <cellStyle name="Currency 81" xfId="127"/>
    <cellStyle name="Currency 84" xfId="128"/>
    <cellStyle name="Currency 88" xfId="129"/>
    <cellStyle name="Currency 90" xfId="130"/>
    <cellStyle name="Currency 96" xfId="131"/>
    <cellStyle name="Currency 98" xfId="132"/>
    <cellStyle name="Explanatory Text" xfId="18" builtinId="53" customBuiltin="1"/>
    <cellStyle name="Good" xfId="8" builtinId="26" customBuiltin="1"/>
    <cellStyle name="Header1" xfId="133"/>
    <cellStyle name="Header2" xfId="134"/>
    <cellStyle name="Heading 1" xfId="4" builtinId="16" customBuiltin="1"/>
    <cellStyle name="Heading 2" xfId="5" builtinId="17" customBuiltin="1"/>
    <cellStyle name="Heading 3" xfId="6" builtinId="18" customBuiltin="1"/>
    <cellStyle name="Heading 4" xfId="7" builtinId="19" customBuiltin="1"/>
    <cellStyle name="Hyperlink 2" xfId="135"/>
    <cellStyle name="Hyperlink 2 2" xfId="136"/>
    <cellStyle name="Hyperlink 3" xfId="137"/>
    <cellStyle name="Input" xfId="11" builtinId="20" customBuiltin="1"/>
    <cellStyle name="Linked Cell" xfId="14" builtinId="24" customBuiltin="1"/>
    <cellStyle name="Neutral" xfId="10" builtinId="28" customBuiltin="1"/>
    <cellStyle name="Normal" xfId="0" builtinId="0"/>
    <cellStyle name="Normal 2" xfId="44"/>
    <cellStyle name="Normal 2 2" xfId="138"/>
    <cellStyle name="Normal 2 3" xfId="148"/>
    <cellStyle name="Normal 2 4" xfId="46"/>
    <cellStyle name="Normal 3" xfId="48"/>
    <cellStyle name="Normal 4" xfId="49"/>
    <cellStyle name="Normal 4 2" xfId="139"/>
    <cellStyle name="Normal 5" xfId="140"/>
    <cellStyle name="Normal 6" xfId="141"/>
    <cellStyle name="Normal 7" xfId="142"/>
    <cellStyle name="Normal 8" xfId="143"/>
    <cellStyle name="Note" xfId="17" builtinId="10" customBuiltin="1"/>
    <cellStyle name="Output" xfId="12" builtinId="21" customBuiltin="1"/>
    <cellStyle name="Percent" xfId="2" builtinId="5"/>
    <cellStyle name="Percent 2" xfId="50"/>
    <cellStyle name="Percent 2 2" xfId="51"/>
    <cellStyle name="Percent 3" xfId="144"/>
    <cellStyle name="Percent 4" xfId="145"/>
    <cellStyle name="Percent 5" xfId="146"/>
    <cellStyle name="R00A" xfId="147"/>
    <cellStyle name="Title" xfId="3" builtinId="15" customBuiltin="1"/>
    <cellStyle name="Title 2" xfId="45"/>
    <cellStyle name="Title 3" xfId="149"/>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workbookViewId="0">
      <selection activeCell="B18" sqref="B18"/>
    </sheetView>
  </sheetViews>
  <sheetFormatPr defaultRowHeight="15" x14ac:dyDescent="0.25"/>
  <cols>
    <col min="1" max="1" width="10.7109375" bestFit="1" customWidth="1"/>
    <col min="2" max="2" width="21.7109375" bestFit="1" customWidth="1"/>
    <col min="4" max="4" width="13.5703125" bestFit="1" customWidth="1"/>
  </cols>
  <sheetData>
    <row r="2" spans="1:7" x14ac:dyDescent="0.3">
      <c r="A2" s="16" t="s">
        <v>365</v>
      </c>
      <c r="B2" s="16" t="s">
        <v>366</v>
      </c>
      <c r="D2" s="195" t="s">
        <v>364</v>
      </c>
      <c r="E2" s="195"/>
      <c r="F2" s="195"/>
      <c r="G2" s="195"/>
    </row>
    <row r="3" spans="1:7" x14ac:dyDescent="0.3">
      <c r="A3" s="64"/>
      <c r="B3" t="s">
        <v>133</v>
      </c>
      <c r="D3" s="15" t="s">
        <v>343</v>
      </c>
      <c r="E3" s="97" t="s">
        <v>363</v>
      </c>
    </row>
    <row r="4" spans="1:7" x14ac:dyDescent="0.3">
      <c r="A4" s="75"/>
      <c r="B4" t="s">
        <v>134</v>
      </c>
      <c r="D4" s="15" t="s">
        <v>344</v>
      </c>
      <c r="E4" s="97" t="s">
        <v>361</v>
      </c>
    </row>
    <row r="5" spans="1:7" x14ac:dyDescent="0.3">
      <c r="A5" s="63"/>
      <c r="B5" t="s">
        <v>135</v>
      </c>
      <c r="D5" s="15" t="s">
        <v>342</v>
      </c>
      <c r="E5" s="97" t="s">
        <v>362</v>
      </c>
    </row>
    <row r="6" spans="1:7" x14ac:dyDescent="0.3">
      <c r="D6" s="15" t="s">
        <v>337</v>
      </c>
      <c r="E6" s="97" t="s">
        <v>336</v>
      </c>
    </row>
    <row r="7" spans="1:7" x14ac:dyDescent="0.3">
      <c r="D7" s="15" t="s">
        <v>338</v>
      </c>
      <c r="E7" s="97" t="s">
        <v>340</v>
      </c>
    </row>
    <row r="8" spans="1:7" x14ac:dyDescent="0.3">
      <c r="D8" s="15" t="s">
        <v>339</v>
      </c>
      <c r="E8" s="97" t="s">
        <v>341</v>
      </c>
    </row>
    <row r="9" spans="1:7" x14ac:dyDescent="0.3">
      <c r="D9" s="15" t="s">
        <v>325</v>
      </c>
      <c r="E9" s="97" t="s">
        <v>324</v>
      </c>
    </row>
    <row r="10" spans="1:7" x14ac:dyDescent="0.3">
      <c r="D10" s="15" t="s">
        <v>327</v>
      </c>
      <c r="E10" s="97" t="s">
        <v>326</v>
      </c>
    </row>
    <row r="11" spans="1:7" x14ac:dyDescent="0.3">
      <c r="D11" s="15" t="s">
        <v>328</v>
      </c>
      <c r="E11" s="183" t="s">
        <v>360</v>
      </c>
    </row>
  </sheetData>
  <mergeCells count="1">
    <mergeCell ref="D2:G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85" zoomScaleNormal="85" workbookViewId="0">
      <selection activeCell="A3" sqref="A3"/>
    </sheetView>
  </sheetViews>
  <sheetFormatPr defaultColWidth="9.140625" defaultRowHeight="15" x14ac:dyDescent="0.25"/>
  <cols>
    <col min="1" max="1" width="56.140625" style="24" customWidth="1"/>
    <col min="2" max="2" width="28.5703125" style="24" customWidth="1"/>
    <col min="3" max="3" width="38.7109375" style="24" customWidth="1"/>
    <col min="4" max="4" width="37.5703125" style="24" customWidth="1"/>
    <col min="5" max="5" width="27.42578125" style="24" customWidth="1"/>
    <col min="6" max="6" width="65.28515625" style="24" customWidth="1"/>
    <col min="7" max="7" width="44" style="24" customWidth="1"/>
    <col min="8" max="16384" width="9.140625" style="24"/>
  </cols>
  <sheetData>
    <row r="1" spans="1:7" ht="28.9" x14ac:dyDescent="0.3">
      <c r="A1" s="172" t="s">
        <v>229</v>
      </c>
      <c r="B1" s="172" t="s">
        <v>230</v>
      </c>
      <c r="C1" s="172" t="s">
        <v>231</v>
      </c>
      <c r="D1" s="172" t="s">
        <v>232</v>
      </c>
      <c r="E1" s="172" t="s">
        <v>233</v>
      </c>
      <c r="F1" s="172" t="s">
        <v>384</v>
      </c>
      <c r="G1" s="172" t="s">
        <v>387</v>
      </c>
    </row>
    <row r="2" spans="1:7" s="150" customFormat="1" ht="41.45" customHeight="1" x14ac:dyDescent="0.25">
      <c r="A2" s="186" t="s">
        <v>371</v>
      </c>
      <c r="B2" s="197" t="s">
        <v>372</v>
      </c>
      <c r="C2" s="197" t="s">
        <v>373</v>
      </c>
      <c r="D2" s="196" t="s">
        <v>374</v>
      </c>
      <c r="E2" s="149" t="s">
        <v>239</v>
      </c>
      <c r="F2" s="149" t="s">
        <v>390</v>
      </c>
      <c r="G2" s="149" t="s">
        <v>377</v>
      </c>
    </row>
    <row r="3" spans="1:7" ht="30" x14ac:dyDescent="0.25">
      <c r="A3" s="187" t="s">
        <v>368</v>
      </c>
      <c r="B3" s="197"/>
      <c r="C3" s="197"/>
      <c r="D3" s="196"/>
      <c r="E3" s="149" t="s">
        <v>237</v>
      </c>
      <c r="F3" s="149" t="s">
        <v>389</v>
      </c>
      <c r="G3" s="149" t="s">
        <v>379</v>
      </c>
    </row>
    <row r="4" spans="1:7" ht="45" x14ac:dyDescent="0.25">
      <c r="A4" s="188" t="s">
        <v>367</v>
      </c>
      <c r="B4" s="197"/>
      <c r="C4" s="197"/>
      <c r="D4" s="196"/>
      <c r="E4" s="149" t="s">
        <v>235</v>
      </c>
      <c r="F4" s="149" t="s">
        <v>388</v>
      </c>
      <c r="G4" s="149" t="s">
        <v>380</v>
      </c>
    </row>
    <row r="5" spans="1:7" ht="45" x14ac:dyDescent="0.25">
      <c r="A5" s="187" t="s">
        <v>369</v>
      </c>
      <c r="B5" s="197"/>
      <c r="C5" s="197"/>
      <c r="D5" s="196"/>
      <c r="E5" s="149" t="s">
        <v>236</v>
      </c>
      <c r="F5" s="149" t="s">
        <v>391</v>
      </c>
      <c r="G5" s="149" t="s">
        <v>381</v>
      </c>
    </row>
    <row r="6" spans="1:7" ht="28.5" customHeight="1" x14ac:dyDescent="0.25">
      <c r="A6" s="198" t="s">
        <v>370</v>
      </c>
      <c r="B6" s="197"/>
      <c r="C6" s="197"/>
      <c r="D6" s="196"/>
      <c r="E6" s="149" t="s">
        <v>234</v>
      </c>
      <c r="F6" s="149" t="s">
        <v>385</v>
      </c>
      <c r="G6" s="149" t="s">
        <v>382</v>
      </c>
    </row>
    <row r="7" spans="1:7" ht="83.25" customHeight="1" x14ac:dyDescent="0.25">
      <c r="A7" s="198"/>
      <c r="B7" s="197"/>
      <c r="C7" s="197"/>
      <c r="D7" s="196"/>
      <c r="E7" s="149" t="s">
        <v>238</v>
      </c>
      <c r="F7" s="149" t="s">
        <v>386</v>
      </c>
      <c r="G7" s="149" t="s">
        <v>383</v>
      </c>
    </row>
    <row r="8" spans="1:7" x14ac:dyDescent="0.25">
      <c r="A8" s="199"/>
      <c r="B8" s="197"/>
      <c r="C8" s="197"/>
      <c r="D8" s="196"/>
      <c r="E8" s="184" t="s">
        <v>375</v>
      </c>
      <c r="F8" s="184" t="s">
        <v>376</v>
      </c>
      <c r="G8" s="184" t="s">
        <v>378</v>
      </c>
    </row>
  </sheetData>
  <mergeCells count="4">
    <mergeCell ref="D2:D8"/>
    <mergeCell ref="C2:C8"/>
    <mergeCell ref="B2:B8"/>
    <mergeCell ref="A6:A8"/>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72"/>
  <sheetViews>
    <sheetView tabSelected="1" zoomScale="85" zoomScaleNormal="85" workbookViewId="0">
      <selection activeCell="D6" sqref="D6"/>
    </sheetView>
  </sheetViews>
  <sheetFormatPr defaultRowHeight="15" x14ac:dyDescent="0.25"/>
  <cols>
    <col min="2" max="27" width="15.7109375" customWidth="1"/>
  </cols>
  <sheetData>
    <row r="2" spans="2:27" ht="14.45" x14ac:dyDescent="0.3">
      <c r="B2" s="200" t="s">
        <v>122</v>
      </c>
      <c r="C2" s="200"/>
      <c r="D2" s="16" t="s">
        <v>120</v>
      </c>
      <c r="E2" s="17" t="s">
        <v>121</v>
      </c>
      <c r="G2" s="172" t="s">
        <v>359</v>
      </c>
      <c r="H2" s="172" t="s">
        <v>357</v>
      </c>
      <c r="I2" s="172" t="s">
        <v>220</v>
      </c>
      <c r="J2" s="172" t="s">
        <v>221</v>
      </c>
    </row>
    <row r="3" spans="2:27" ht="14.45" x14ac:dyDescent="0.3">
      <c r="B3" s="202" t="s">
        <v>86</v>
      </c>
      <c r="C3" s="202"/>
      <c r="D3" s="64">
        <v>2016</v>
      </c>
      <c r="E3" s="64">
        <v>2023</v>
      </c>
      <c r="G3" s="15" t="s">
        <v>342</v>
      </c>
      <c r="H3" s="159">
        <f>SUM(C10:C38)</f>
        <v>227026735.99999997</v>
      </c>
      <c r="I3" s="159">
        <f>SUM(L10:L38)</f>
        <v>195387718.29571676</v>
      </c>
      <c r="J3" s="159">
        <f>SUM(U10:U38)</f>
        <v>161901654.58115116</v>
      </c>
    </row>
    <row r="4" spans="2:27" ht="14.45" x14ac:dyDescent="0.3">
      <c r="B4" s="202" t="s">
        <v>109</v>
      </c>
      <c r="C4" s="202"/>
      <c r="D4" s="64">
        <v>2019</v>
      </c>
      <c r="E4" s="64">
        <v>2023</v>
      </c>
      <c r="G4" s="15" t="s">
        <v>356</v>
      </c>
      <c r="H4" s="159">
        <f>SUM(H10:H38)</f>
        <v>1144010819.199403</v>
      </c>
      <c r="I4" s="159">
        <f>SUM(Q10:Q38)</f>
        <v>644941021.01746333</v>
      </c>
      <c r="J4" s="159">
        <f>SUM(Z10:Z38)</f>
        <v>325121536.69613063</v>
      </c>
    </row>
    <row r="5" spans="2:27" ht="14.45" x14ac:dyDescent="0.3">
      <c r="B5" s="202" t="s">
        <v>50</v>
      </c>
      <c r="C5" s="202"/>
      <c r="D5" s="64">
        <v>2024</v>
      </c>
      <c r="E5" s="64">
        <v>2043</v>
      </c>
      <c r="G5" s="15" t="s">
        <v>346</v>
      </c>
      <c r="H5" s="159">
        <f>SUM(I10:I38)</f>
        <v>916984083.19940305</v>
      </c>
      <c r="I5" s="159">
        <f>SUM(R10:R38)</f>
        <v>449553302.72174656</v>
      </c>
      <c r="J5" s="159">
        <f>SUM(AA10:AA38)</f>
        <v>163219882.11497945</v>
      </c>
    </row>
    <row r="6" spans="2:27" ht="14.45" x14ac:dyDescent="0.3">
      <c r="B6" s="202" t="s">
        <v>140</v>
      </c>
      <c r="C6" s="202"/>
      <c r="D6" s="64">
        <v>2015</v>
      </c>
      <c r="G6" s="15" t="s">
        <v>358</v>
      </c>
      <c r="H6" s="177">
        <f>H4/H3</f>
        <v>5.0391017346934994</v>
      </c>
      <c r="I6" s="177">
        <f>I4/I3</f>
        <v>3.3008268208616549</v>
      </c>
      <c r="J6" s="177">
        <f>J4/J3</f>
        <v>2.0081421498578176</v>
      </c>
    </row>
    <row r="7" spans="2:27" s="147" customFormat="1" ht="14.45" x14ac:dyDescent="0.3">
      <c r="B7"/>
      <c r="C7"/>
    </row>
    <row r="8" spans="2:27" ht="14.45" x14ac:dyDescent="0.3">
      <c r="B8" s="201" t="s">
        <v>354</v>
      </c>
      <c r="C8" s="201"/>
      <c r="D8" s="201"/>
      <c r="E8" s="201"/>
      <c r="F8" s="201"/>
      <c r="G8" s="201"/>
      <c r="H8" s="201"/>
      <c r="I8" s="201"/>
      <c r="K8" s="201" t="s">
        <v>351</v>
      </c>
      <c r="L8" s="201"/>
      <c r="M8" s="201"/>
      <c r="N8" s="201"/>
      <c r="O8" s="201"/>
      <c r="P8" s="201"/>
      <c r="Q8" s="201"/>
      <c r="R8" s="201"/>
      <c r="T8" s="201" t="s">
        <v>352</v>
      </c>
      <c r="U8" s="201"/>
      <c r="V8" s="201"/>
      <c r="W8" s="201"/>
      <c r="X8" s="201"/>
      <c r="Y8" s="201"/>
      <c r="Z8" s="201"/>
      <c r="AA8" s="201"/>
    </row>
    <row r="9" spans="2:27" s="170" customFormat="1" ht="43.15" x14ac:dyDescent="0.3">
      <c r="B9" s="172" t="s">
        <v>82</v>
      </c>
      <c r="C9" s="172" t="s">
        <v>342</v>
      </c>
      <c r="D9" s="172" t="s">
        <v>347</v>
      </c>
      <c r="E9" s="172" t="s">
        <v>238</v>
      </c>
      <c r="F9" s="172" t="s">
        <v>348</v>
      </c>
      <c r="G9" s="172" t="s">
        <v>349</v>
      </c>
      <c r="H9" s="172" t="s">
        <v>350</v>
      </c>
      <c r="I9" s="172" t="s">
        <v>346</v>
      </c>
      <c r="K9" s="172" t="s">
        <v>82</v>
      </c>
      <c r="L9" s="172" t="s">
        <v>342</v>
      </c>
      <c r="M9" s="172" t="s">
        <v>347</v>
      </c>
      <c r="N9" s="172" t="s">
        <v>238</v>
      </c>
      <c r="O9" s="172" t="s">
        <v>348</v>
      </c>
      <c r="P9" s="172" t="s">
        <v>349</v>
      </c>
      <c r="Q9" s="172" t="s">
        <v>350</v>
      </c>
      <c r="R9" s="172" t="s">
        <v>346</v>
      </c>
      <c r="T9" s="172" t="s">
        <v>82</v>
      </c>
      <c r="U9" s="172" t="s">
        <v>342</v>
      </c>
      <c r="V9" s="172" t="s">
        <v>347</v>
      </c>
      <c r="W9" s="172" t="s">
        <v>238</v>
      </c>
      <c r="X9" s="172" t="s">
        <v>348</v>
      </c>
      <c r="Y9" s="172" t="s">
        <v>353</v>
      </c>
      <c r="Z9" s="172" t="s">
        <v>350</v>
      </c>
      <c r="AA9" s="172" t="s">
        <v>346</v>
      </c>
    </row>
    <row r="10" spans="2:27" ht="14.45" x14ac:dyDescent="0.3">
      <c r="B10" s="15">
        <v>2015</v>
      </c>
      <c r="C10" s="159">
        <f t="array" ref="C10:C18">TRANSPOSE(Cost!L25:T25)</f>
        <v>6450000</v>
      </c>
      <c r="D10" s="159">
        <v>0</v>
      </c>
      <c r="E10" s="159">
        <v>0</v>
      </c>
      <c r="F10" s="159">
        <v>0</v>
      </c>
      <c r="G10" s="159">
        <v>0</v>
      </c>
      <c r="H10" s="159">
        <f>SUM(D10:G10)</f>
        <v>0</v>
      </c>
      <c r="I10" s="159">
        <f t="shared" ref="I10:I38" si="0">H10-C10</f>
        <v>-6450000</v>
      </c>
      <c r="K10" s="15">
        <v>2015</v>
      </c>
      <c r="L10" s="159">
        <f t="array" ref="L10:L18">TRANSPOSE(Cost!L28:T28)</f>
        <v>6450000</v>
      </c>
      <c r="M10" s="159">
        <v>0</v>
      </c>
      <c r="N10" s="159">
        <v>0</v>
      </c>
      <c r="O10" s="159">
        <v>0</v>
      </c>
      <c r="P10" s="159">
        <v>0</v>
      </c>
      <c r="Q10" s="159">
        <f>SUM(M10:P10)</f>
        <v>0</v>
      </c>
      <c r="R10" s="159">
        <f>Q10-L10</f>
        <v>-6450000</v>
      </c>
      <c r="T10" s="15">
        <v>2015</v>
      </c>
      <c r="U10" s="159">
        <f t="array" ref="U10:U18">TRANSPOSE(Cost!L29:T29)</f>
        <v>6450000</v>
      </c>
      <c r="V10" s="159">
        <v>0</v>
      </c>
      <c r="W10" s="159">
        <v>0</v>
      </c>
      <c r="X10" s="159">
        <v>0</v>
      </c>
      <c r="Y10" s="159">
        <v>0</v>
      </c>
      <c r="Z10" s="159">
        <f>SUM(V10:Y10)</f>
        <v>0</v>
      </c>
      <c r="AA10" s="159">
        <f>Z10-U10</f>
        <v>-6450000</v>
      </c>
    </row>
    <row r="11" spans="2:27" ht="14.45" x14ac:dyDescent="0.3">
      <c r="B11" s="15">
        <v>2016</v>
      </c>
      <c r="C11" s="159">
        <v>7775000</v>
      </c>
      <c r="D11" s="159">
        <v>0</v>
      </c>
      <c r="E11" s="159">
        <v>0</v>
      </c>
      <c r="F11" s="159">
        <v>0</v>
      </c>
      <c r="G11" s="159">
        <v>0</v>
      </c>
      <c r="H11" s="159">
        <f t="shared" ref="H11:H36" si="1">SUM(D11:G11)</f>
        <v>0</v>
      </c>
      <c r="I11" s="159">
        <f t="shared" si="0"/>
        <v>-7775000</v>
      </c>
      <c r="K11" s="15">
        <v>2016</v>
      </c>
      <c r="L11" s="159">
        <v>7548543.6893203883</v>
      </c>
      <c r="M11" s="159">
        <v>0</v>
      </c>
      <c r="N11" s="159">
        <v>0</v>
      </c>
      <c r="O11" s="159">
        <v>0</v>
      </c>
      <c r="P11" s="159">
        <v>0</v>
      </c>
      <c r="Q11" s="159">
        <f t="shared" ref="Q11:Q38" si="2">SUM(M11:P11)</f>
        <v>0</v>
      </c>
      <c r="R11" s="159">
        <f t="shared" ref="R11:R38" si="3">Q11-L11</f>
        <v>-7548543.6893203883</v>
      </c>
      <c r="T11" s="15">
        <v>2016</v>
      </c>
      <c r="U11" s="159">
        <v>7266355.1401869152</v>
      </c>
      <c r="V11" s="159">
        <v>0</v>
      </c>
      <c r="W11" s="159">
        <v>0</v>
      </c>
      <c r="X11" s="159">
        <v>0</v>
      </c>
      <c r="Y11" s="159">
        <v>0</v>
      </c>
      <c r="Z11" s="159">
        <f t="shared" ref="Z11:Z38" si="4">SUM(V11:Y11)</f>
        <v>0</v>
      </c>
      <c r="AA11" s="159">
        <f t="shared" ref="AA11:AA38" si="5">Z11-U11</f>
        <v>-7266355.1401869152</v>
      </c>
    </row>
    <row r="12" spans="2:27" ht="14.45" x14ac:dyDescent="0.3">
      <c r="B12" s="15">
        <v>2017</v>
      </c>
      <c r="C12" s="159">
        <v>3901500</v>
      </c>
      <c r="D12" s="159">
        <v>0</v>
      </c>
      <c r="E12" s="159">
        <v>0</v>
      </c>
      <c r="F12" s="159">
        <v>0</v>
      </c>
      <c r="G12" s="159">
        <v>0</v>
      </c>
      <c r="H12" s="159">
        <f t="shared" si="1"/>
        <v>0</v>
      </c>
      <c r="I12" s="159">
        <f t="shared" si="0"/>
        <v>-3901500</v>
      </c>
      <c r="K12" s="15">
        <v>2017</v>
      </c>
      <c r="L12" s="159">
        <v>3677537.9394853427</v>
      </c>
      <c r="M12" s="159">
        <v>0</v>
      </c>
      <c r="N12" s="159">
        <v>0</v>
      </c>
      <c r="O12" s="159">
        <v>0</v>
      </c>
      <c r="P12" s="159">
        <v>0</v>
      </c>
      <c r="Q12" s="159">
        <f t="shared" si="2"/>
        <v>0</v>
      </c>
      <c r="R12" s="159">
        <f t="shared" si="3"/>
        <v>-3677537.9394853427</v>
      </c>
      <c r="T12" s="15">
        <v>2017</v>
      </c>
      <c r="U12" s="159">
        <v>3407721.1983579351</v>
      </c>
      <c r="V12" s="159">
        <v>0</v>
      </c>
      <c r="W12" s="159">
        <v>0</v>
      </c>
      <c r="X12" s="159">
        <v>0</v>
      </c>
      <c r="Y12" s="159">
        <v>0</v>
      </c>
      <c r="Z12" s="159">
        <f t="shared" si="4"/>
        <v>0</v>
      </c>
      <c r="AA12" s="159">
        <f t="shared" si="5"/>
        <v>-3407721.1983579351</v>
      </c>
    </row>
    <row r="13" spans="2:27" ht="14.45" x14ac:dyDescent="0.3">
      <c r="B13" s="15">
        <v>2018</v>
      </c>
      <c r="C13" s="159">
        <v>28621163.118787877</v>
      </c>
      <c r="D13" s="159">
        <f>Ben_1!P39</f>
        <v>-5457291</v>
      </c>
      <c r="E13" s="159">
        <f>Ben_2!E15</f>
        <v>0</v>
      </c>
      <c r="F13" s="159">
        <f>Ben_3!O27</f>
        <v>-9647.35560386</v>
      </c>
      <c r="G13" s="159">
        <f>Ben_3!P27</f>
        <v>-119899.30633333333</v>
      </c>
      <c r="H13" s="159">
        <f t="shared" si="1"/>
        <v>-5586837.661937193</v>
      </c>
      <c r="I13" s="159">
        <f t="shared" si="0"/>
        <v>-34208000.780725069</v>
      </c>
      <c r="K13" s="15">
        <v>2018</v>
      </c>
      <c r="L13" s="159">
        <v>26192418.709144991</v>
      </c>
      <c r="M13" s="159">
        <f>Ben_1!Q39</f>
        <v>-4994194.3413130632</v>
      </c>
      <c r="N13" s="159">
        <f>Ben_2!F15</f>
        <v>0</v>
      </c>
      <c r="O13" s="159">
        <f>Ben_3!Q27</f>
        <v>-8828.6970156864427</v>
      </c>
      <c r="P13" s="159">
        <f>Ben_3!R27</f>
        <v>-109724.85015317946</v>
      </c>
      <c r="Q13" s="159">
        <f t="shared" si="2"/>
        <v>-5112747.8884819299</v>
      </c>
      <c r="R13" s="159">
        <f t="shared" si="3"/>
        <v>-31305166.597626921</v>
      </c>
      <c r="T13" s="15">
        <v>2018</v>
      </c>
      <c r="U13" s="159">
        <v>23363394.688013297</v>
      </c>
      <c r="V13" s="159">
        <f>Ben_1!R39</f>
        <v>-4454775.0568755539</v>
      </c>
      <c r="W13" s="159">
        <f>Ben_2!G15</f>
        <v>0</v>
      </c>
      <c r="X13" s="159">
        <f>Ben_3!S27</f>
        <v>-7875.115897041981</v>
      </c>
      <c r="Y13" s="159">
        <f>Ben_3!T27</f>
        <v>-109724.85015317946</v>
      </c>
      <c r="Z13" s="159">
        <f t="shared" si="4"/>
        <v>-4572375.0229257755</v>
      </c>
      <c r="AA13" s="159">
        <f t="shared" si="5"/>
        <v>-27935769.710939072</v>
      </c>
    </row>
    <row r="14" spans="2:27" ht="14.45" x14ac:dyDescent="0.3">
      <c r="B14" s="15">
        <v>2019</v>
      </c>
      <c r="C14" s="159">
        <v>35746420.324242413</v>
      </c>
      <c r="D14" s="159">
        <f>Ben_1!P40</f>
        <v>-5524220</v>
      </c>
      <c r="E14" s="159">
        <f>Ben_2!E16</f>
        <v>0</v>
      </c>
      <c r="F14" s="159">
        <f>Ben_3!O28</f>
        <v>-9759.6802739800005</v>
      </c>
      <c r="G14" s="159">
        <f>Ben_3!P28</f>
        <v>-124044.21742222222</v>
      </c>
      <c r="H14" s="159">
        <f t="shared" si="1"/>
        <v>-5658023.8976962017</v>
      </c>
      <c r="I14" s="159">
        <f t="shared" si="0"/>
        <v>-41404444.221938618</v>
      </c>
      <c r="K14" s="15">
        <v>2019</v>
      </c>
      <c r="L14" s="159">
        <v>31760231.467439529</v>
      </c>
      <c r="M14" s="159">
        <f>Ben_1!Q40</f>
        <v>-4908197.9198368071</v>
      </c>
      <c r="N14" s="159">
        <f>Ben_2!F16</f>
        <v>0</v>
      </c>
      <c r="O14" s="159">
        <f>Ben_3!Q28</f>
        <v>-8671.3495152294727</v>
      </c>
      <c r="P14" s="159">
        <f>Ben_3!R28</f>
        <v>-110211.68054848209</v>
      </c>
      <c r="Q14" s="159">
        <f t="shared" si="2"/>
        <v>-5027080.9499005182</v>
      </c>
      <c r="R14" s="159">
        <f t="shared" si="3"/>
        <v>-36787312.417340048</v>
      </c>
      <c r="T14" s="15">
        <v>2019</v>
      </c>
      <c r="U14" s="159">
        <v>27270772.913202882</v>
      </c>
      <c r="V14" s="159">
        <f>Ben_1!R40</f>
        <v>-4214400.9882971793</v>
      </c>
      <c r="W14" s="159">
        <f>Ben_2!G16</f>
        <v>0</v>
      </c>
      <c r="X14" s="159">
        <f>Ben_3!S28</f>
        <v>-7445.6133521340216</v>
      </c>
      <c r="Y14" s="159">
        <f>Ben_3!T28</f>
        <v>-110211.68054848209</v>
      </c>
      <c r="Z14" s="159">
        <f t="shared" si="4"/>
        <v>-4332058.2821977949</v>
      </c>
      <c r="AA14" s="159">
        <f t="shared" si="5"/>
        <v>-31602831.195400678</v>
      </c>
    </row>
    <row r="15" spans="2:27" ht="14.45" x14ac:dyDescent="0.3">
      <c r="B15" s="15">
        <v>2020</v>
      </c>
      <c r="C15" s="159">
        <v>44099620.32424242</v>
      </c>
      <c r="D15" s="159">
        <f>Ben_1!P41</f>
        <v>-5591982</v>
      </c>
      <c r="E15" s="159">
        <f>Ben_2!E17</f>
        <v>0</v>
      </c>
      <c r="F15" s="159">
        <f>Ben_3!O29</f>
        <v>-9872.9112168899992</v>
      </c>
      <c r="G15" s="159">
        <f>Ben_3!P29</f>
        <v>-128268.13492135418</v>
      </c>
      <c r="H15" s="159">
        <f t="shared" si="1"/>
        <v>-5730123.0461382447</v>
      </c>
      <c r="I15" s="159">
        <f t="shared" si="0"/>
        <v>-49829743.370380662</v>
      </c>
      <c r="K15" s="15">
        <v>2020</v>
      </c>
      <c r="L15" s="159">
        <v>38040719.879697934</v>
      </c>
      <c r="M15" s="159">
        <f>Ben_1!Q41</f>
        <v>-4823692.7953181267</v>
      </c>
      <c r="N15" s="159">
        <f>Ben_2!F17</f>
        <v>0</v>
      </c>
      <c r="O15" s="159">
        <f>Ben_3!Q29</f>
        <v>-8516.4599431342613</v>
      </c>
      <c r="P15" s="159">
        <f>Ben_3!R29</f>
        <v>-110645.21993973327</v>
      </c>
      <c r="Q15" s="159">
        <f t="shared" si="2"/>
        <v>-4942854.4752009939</v>
      </c>
      <c r="R15" s="159">
        <f t="shared" si="3"/>
        <v>-42983574.35489893</v>
      </c>
      <c r="T15" s="15">
        <v>2020</v>
      </c>
      <c r="U15" s="159">
        <v>31442419.811661936</v>
      </c>
      <c r="V15" s="159">
        <f>Ben_1!R41</f>
        <v>-3987005.8819214427</v>
      </c>
      <c r="W15" s="159">
        <f>Ben_2!G17</f>
        <v>0</v>
      </c>
      <c r="X15" s="159">
        <f>Ben_3!S29</f>
        <v>-7039.2492489118558</v>
      </c>
      <c r="Y15" s="159">
        <f>Ben_3!T29</f>
        <v>-110645.21993973327</v>
      </c>
      <c r="Z15" s="159">
        <f t="shared" si="4"/>
        <v>-4104690.3511100877</v>
      </c>
      <c r="AA15" s="159">
        <f t="shared" si="5"/>
        <v>-35547110.162772022</v>
      </c>
    </row>
    <row r="16" spans="2:27" ht="14.45" x14ac:dyDescent="0.3">
      <c r="B16" s="15">
        <v>2021</v>
      </c>
      <c r="C16" s="159">
        <v>35746420.324242413</v>
      </c>
      <c r="D16" s="159">
        <f>Ben_1!P42</f>
        <v>-5660586</v>
      </c>
      <c r="E16" s="159">
        <f>Ben_2!E18</f>
        <v>0</v>
      </c>
      <c r="F16" s="159">
        <f>Ben_3!O30</f>
        <v>-9988.3093150999994</v>
      </c>
      <c r="G16" s="159">
        <f>Ben_3!P30</f>
        <v>-129821.29091579861</v>
      </c>
      <c r="H16" s="159">
        <f t="shared" si="1"/>
        <v>-5800395.6002308987</v>
      </c>
      <c r="I16" s="159">
        <f t="shared" si="0"/>
        <v>-41546815.924473315</v>
      </c>
      <c r="K16" s="15">
        <v>2021</v>
      </c>
      <c r="L16" s="159">
        <v>29937064.254349634</v>
      </c>
      <c r="M16" s="159">
        <f>Ben_1!Q42</f>
        <v>-4740651.658603901</v>
      </c>
      <c r="N16" s="159">
        <f>Ben_2!F18</f>
        <v>0</v>
      </c>
      <c r="O16" s="159">
        <f>Ben_3!Q30</f>
        <v>-8365.0518022829438</v>
      </c>
      <c r="P16" s="159">
        <f>Ben_3!R30</f>
        <v>-108723.28732433006</v>
      </c>
      <c r="Q16" s="159">
        <f t="shared" si="2"/>
        <v>-4857739.997730514</v>
      </c>
      <c r="R16" s="159">
        <f t="shared" si="3"/>
        <v>-34794804.25208015</v>
      </c>
      <c r="T16" s="15">
        <v>2021</v>
      </c>
      <c r="U16" s="159">
        <v>23819349.212335471</v>
      </c>
      <c r="V16" s="159">
        <f>Ben_1!R42</f>
        <v>-3771887.4633446173</v>
      </c>
      <c r="W16" s="159">
        <f>Ben_2!G18</f>
        <v>0</v>
      </c>
      <c r="X16" s="159">
        <f>Ben_3!S30</f>
        <v>-6655.6322411909205</v>
      </c>
      <c r="Y16" s="159">
        <f>Ben_3!T30</f>
        <v>-108723.28732433006</v>
      </c>
      <c r="Z16" s="159">
        <f t="shared" si="4"/>
        <v>-3887266.382910138</v>
      </c>
      <c r="AA16" s="159">
        <f t="shared" si="5"/>
        <v>-27706615.595245607</v>
      </c>
    </row>
    <row r="17" spans="2:27" ht="14.45" x14ac:dyDescent="0.3">
      <c r="B17" s="15">
        <v>2022</v>
      </c>
      <c r="C17" s="159">
        <v>30275533.824242428</v>
      </c>
      <c r="D17" s="159">
        <f>Ben_1!P43</f>
        <v>-5730040</v>
      </c>
      <c r="E17" s="159">
        <f>Ben_2!E19</f>
        <v>0</v>
      </c>
      <c r="F17" s="159">
        <f>Ben_3!O31</f>
        <v>-10104.639955769999</v>
      </c>
      <c r="G17" s="159">
        <f>Ben_3!P31</f>
        <v>-134185.47531666668</v>
      </c>
      <c r="H17" s="159">
        <f t="shared" si="1"/>
        <v>-5874330.1152724372</v>
      </c>
      <c r="I17" s="159">
        <f t="shared" si="0"/>
        <v>-36149863.939514868</v>
      </c>
      <c r="K17" s="15">
        <v>2022</v>
      </c>
      <c r="L17" s="159">
        <v>24616779.553880103</v>
      </c>
      <c r="M17" s="159">
        <f>Ben_1!Q43</f>
        <v>-4659046.8836578708</v>
      </c>
      <c r="N17" s="159">
        <f>Ben_2!F19</f>
        <v>0</v>
      </c>
      <c r="O17" s="159">
        <f>Ben_3!Q31</f>
        <v>-8215.9969732174668</v>
      </c>
      <c r="P17" s="159">
        <f>Ben_3!R31</f>
        <v>-109105.0709255548</v>
      </c>
      <c r="Q17" s="159">
        <f t="shared" si="2"/>
        <v>-4776367.9515566435</v>
      </c>
      <c r="R17" s="159">
        <f t="shared" si="3"/>
        <v>-29393147.505436748</v>
      </c>
      <c r="T17" s="15">
        <v>2022</v>
      </c>
      <c r="U17" s="159">
        <v>18854080.874465179</v>
      </c>
      <c r="V17" s="159">
        <f>Ben_1!R43</f>
        <v>-3568380.9309883825</v>
      </c>
      <c r="W17" s="159">
        <f>Ben_2!G19</f>
        <v>0</v>
      </c>
      <c r="X17" s="159">
        <f>Ben_3!S31</f>
        <v>-6292.6619242924926</v>
      </c>
      <c r="Y17" s="159">
        <f>Ben_3!T31</f>
        <v>-109105.0709255548</v>
      </c>
      <c r="Z17" s="159">
        <f t="shared" si="4"/>
        <v>-3683778.6638382296</v>
      </c>
      <c r="AA17" s="159">
        <f t="shared" si="5"/>
        <v>-22537859.538303409</v>
      </c>
    </row>
    <row r="18" spans="2:27" ht="14.45" x14ac:dyDescent="0.3">
      <c r="B18" s="15">
        <v>2023</v>
      </c>
      <c r="C18" s="159">
        <v>34411078.084242426</v>
      </c>
      <c r="D18" s="159">
        <f>Ben_1!P44</f>
        <v>-5800355</v>
      </c>
      <c r="E18" s="159">
        <f>Ben_2!E20</f>
        <v>0</v>
      </c>
      <c r="F18" s="159">
        <f>Ben_3!O32</f>
        <v>-10221.929408569998</v>
      </c>
      <c r="G18" s="159">
        <f>Ben_3!P32</f>
        <v>-141462.7191087963</v>
      </c>
      <c r="H18" s="159">
        <f t="shared" si="1"/>
        <v>-5952039.6485173665</v>
      </c>
      <c r="I18" s="159">
        <f t="shared" si="0"/>
        <v>-40363117.732759789</v>
      </c>
      <c r="K18" s="15">
        <v>2023</v>
      </c>
      <c r="L18" s="159">
        <v>27164422.802398868</v>
      </c>
      <c r="M18" s="159">
        <f>Ben_1!Q44</f>
        <v>-4578853.7992990091</v>
      </c>
      <c r="N18" s="159">
        <f>Ben_2!F20</f>
        <v>0</v>
      </c>
      <c r="O18" s="159">
        <f>Ben_3!Q32</f>
        <v>-8069.285467630345</v>
      </c>
      <c r="P18" s="159">
        <f>Ben_3!R32</f>
        <v>-111671.97677564225</v>
      </c>
      <c r="Q18" s="159">
        <f t="shared" si="2"/>
        <v>-4698595.0615422819</v>
      </c>
      <c r="R18" s="159">
        <f t="shared" si="3"/>
        <v>-31863017.863941148</v>
      </c>
      <c r="T18" s="15">
        <v>2023</v>
      </c>
      <c r="U18" s="159">
        <v>20027560.742927551</v>
      </c>
      <c r="V18" s="159">
        <f>Ben_1!R44</f>
        <v>-3375859.4197093435</v>
      </c>
      <c r="W18" s="159">
        <f>Ben_2!G20</f>
        <v>0</v>
      </c>
      <c r="X18" s="159">
        <f>Ben_3!S32</f>
        <v>-5949.2559820088582</v>
      </c>
      <c r="Y18" s="159">
        <f>Ben_3!T32</f>
        <v>-111671.97677564225</v>
      </c>
      <c r="Z18" s="159">
        <f t="shared" si="4"/>
        <v>-3493480.6524669947</v>
      </c>
      <c r="AA18" s="159">
        <f t="shared" si="5"/>
        <v>-23521041.395394545</v>
      </c>
    </row>
    <row r="19" spans="2:27" ht="14.45" x14ac:dyDescent="0.3">
      <c r="B19" s="15">
        <v>2024</v>
      </c>
      <c r="C19" s="159">
        <v>0</v>
      </c>
      <c r="D19" s="159">
        <f>Ben_1!P45</f>
        <v>38091847</v>
      </c>
      <c r="E19" s="159">
        <f>Ben_2!E21</f>
        <v>6243408.4267200008</v>
      </c>
      <c r="F19" s="159">
        <f>Ben_3!O33</f>
        <v>43842.311533139997</v>
      </c>
      <c r="G19" s="159">
        <f>Ben_3!P33</f>
        <v>698524.97305572906</v>
      </c>
      <c r="H19" s="159">
        <f t="shared" si="1"/>
        <v>45077622.711308867</v>
      </c>
      <c r="I19" s="159">
        <f t="shared" si="0"/>
        <v>45077622.711308867</v>
      </c>
      <c r="K19" s="15">
        <v>2024</v>
      </c>
      <c r="L19" s="159">
        <v>0</v>
      </c>
      <c r="M19" s="159">
        <f>Ben_1!Q45</f>
        <v>29194228.90667339</v>
      </c>
      <c r="N19" s="159">
        <f>Ben_2!F21</f>
        <v>4785052.6850934075</v>
      </c>
      <c r="O19" s="159">
        <f>Ben_3!Q33</f>
        <v>33601.481143620469</v>
      </c>
      <c r="P19" s="159">
        <f>Ben_3!R33</f>
        <v>535361.22730979195</v>
      </c>
      <c r="Q19" s="159">
        <f t="shared" si="2"/>
        <v>34548244.300220214</v>
      </c>
      <c r="R19" s="159">
        <f t="shared" si="3"/>
        <v>34548244.300220214</v>
      </c>
      <c r="T19" s="15">
        <v>2024</v>
      </c>
      <c r="U19" s="159">
        <v>0</v>
      </c>
      <c r="V19" s="159">
        <f>Ben_1!R45</f>
        <v>20719440.900652751</v>
      </c>
      <c r="W19" s="159">
        <f>Ben_2!G21</f>
        <v>3396000.5120272175</v>
      </c>
      <c r="X19" s="159">
        <f>Ben_3!S33</f>
        <v>23847.312595760995</v>
      </c>
      <c r="Y19" s="159">
        <f>Ben_3!T33</f>
        <v>535361.22730979195</v>
      </c>
      <c r="Z19" s="159">
        <f t="shared" si="4"/>
        <v>24674649.952585526</v>
      </c>
      <c r="AA19" s="159">
        <f t="shared" si="5"/>
        <v>24674649.952585526</v>
      </c>
    </row>
    <row r="20" spans="2:27" ht="14.45" x14ac:dyDescent="0.3">
      <c r="B20" s="15">
        <v>2025</v>
      </c>
      <c r="C20" s="159">
        <v>0</v>
      </c>
      <c r="D20" s="159">
        <f>Ben_1!P46</f>
        <v>39275143</v>
      </c>
      <c r="E20" s="159">
        <f>Ben_2!E22</f>
        <v>6298094.1171199996</v>
      </c>
      <c r="F20" s="159">
        <f>Ben_3!O34</f>
        <v>45353.523153770002</v>
      </c>
      <c r="G20" s="159">
        <f>Ben_3!P34</f>
        <v>736623.52793912031</v>
      </c>
      <c r="H20" s="159">
        <f t="shared" si="1"/>
        <v>46355214.168212883</v>
      </c>
      <c r="I20" s="159">
        <f t="shared" si="0"/>
        <v>46355214.168212883</v>
      </c>
      <c r="K20" s="15">
        <v>2025</v>
      </c>
      <c r="L20" s="159">
        <v>0</v>
      </c>
      <c r="M20" s="159">
        <f>Ben_1!Q46</f>
        <v>29224394.912998714</v>
      </c>
      <c r="N20" s="159">
        <f>Ben_2!F22</f>
        <v>4686373.5079958541</v>
      </c>
      <c r="O20" s="159">
        <f>Ben_3!Q34</f>
        <v>33747.280597847988</v>
      </c>
      <c r="P20" s="159">
        <f>Ben_3!R34</f>
        <v>548117.08470925724</v>
      </c>
      <c r="Q20" s="159">
        <f t="shared" si="2"/>
        <v>34492632.786301672</v>
      </c>
      <c r="R20" s="159">
        <f t="shared" si="3"/>
        <v>34492632.786301672</v>
      </c>
      <c r="T20" s="15">
        <v>2025</v>
      </c>
      <c r="U20" s="159">
        <v>0</v>
      </c>
      <c r="V20" s="159">
        <f>Ben_1!R46</f>
        <v>19965491.142539818</v>
      </c>
      <c r="W20" s="159">
        <f>Ben_2!G22</f>
        <v>3201631.6862357822</v>
      </c>
      <c r="X20" s="159">
        <f>Ben_3!S34</f>
        <v>23055.431391034515</v>
      </c>
      <c r="Y20" s="159">
        <f>Ben_3!T34</f>
        <v>548117.08470925724</v>
      </c>
      <c r="Z20" s="159">
        <f t="shared" si="4"/>
        <v>23738295.344875891</v>
      </c>
      <c r="AA20" s="159">
        <f t="shared" si="5"/>
        <v>23738295.344875891</v>
      </c>
    </row>
    <row r="21" spans="2:27" ht="14.45" x14ac:dyDescent="0.3">
      <c r="B21" s="15">
        <v>2026</v>
      </c>
      <c r="C21" s="159">
        <v>0</v>
      </c>
      <c r="D21" s="159">
        <f>Ben_1!P47</f>
        <v>40483812</v>
      </c>
      <c r="E21" s="159">
        <f>Ben_2!E23</f>
        <v>6354562.0832000002</v>
      </c>
      <c r="F21" s="159">
        <f>Ben_3!O35</f>
        <v>46897.24228885</v>
      </c>
      <c r="G21" s="159">
        <f>Ben_3!P35</f>
        <v>776199.62226446753</v>
      </c>
      <c r="H21" s="159">
        <f t="shared" si="1"/>
        <v>47661470.947753318</v>
      </c>
      <c r="I21" s="159">
        <f t="shared" si="0"/>
        <v>47661470.947753318</v>
      </c>
      <c r="K21" s="15">
        <v>2026</v>
      </c>
      <c r="L21" s="159">
        <v>0</v>
      </c>
      <c r="M21" s="159">
        <f>Ben_1!Q47</f>
        <v>29246367.146624293</v>
      </c>
      <c r="N21" s="159">
        <f>Ben_2!F23</f>
        <v>4590670.8523714347</v>
      </c>
      <c r="O21" s="159">
        <f>Ben_3!Q35</f>
        <v>33879.565643272479</v>
      </c>
      <c r="P21" s="159">
        <f>Ben_3!R35</f>
        <v>560743.12201177375</v>
      </c>
      <c r="Q21" s="159">
        <f t="shared" si="2"/>
        <v>34431660.686650775</v>
      </c>
      <c r="R21" s="159">
        <f t="shared" si="3"/>
        <v>34431660.686650775</v>
      </c>
      <c r="T21" s="15">
        <v>2026</v>
      </c>
      <c r="U21" s="159">
        <v>0</v>
      </c>
      <c r="V21" s="159">
        <f>Ben_1!R47</f>
        <v>19233567.451509338</v>
      </c>
      <c r="W21" s="159">
        <f>Ben_2!G23</f>
        <v>3019006.6699260161</v>
      </c>
      <c r="X21" s="159">
        <f>Ben_3!S35</f>
        <v>22280.541981875933</v>
      </c>
      <c r="Y21" s="159">
        <f>Ben_3!T35</f>
        <v>560743.12201177375</v>
      </c>
      <c r="Z21" s="159">
        <f t="shared" si="4"/>
        <v>22835597.785429005</v>
      </c>
      <c r="AA21" s="159">
        <f t="shared" si="5"/>
        <v>22835597.785429005</v>
      </c>
    </row>
    <row r="22" spans="2:27" ht="14.45" x14ac:dyDescent="0.3">
      <c r="B22" s="15">
        <v>2027</v>
      </c>
      <c r="C22" s="159">
        <v>0</v>
      </c>
      <c r="D22" s="159">
        <f>Ben_1!P48</f>
        <v>41718352</v>
      </c>
      <c r="E22" s="159">
        <f>Ben_2!E24</f>
        <v>6412770.3449600004</v>
      </c>
      <c r="F22" s="159">
        <f>Ben_3!O36</f>
        <v>48474.913708580003</v>
      </c>
      <c r="G22" s="159">
        <f>Ben_3!P36</f>
        <v>817303.56701875001</v>
      </c>
      <c r="H22" s="159">
        <f t="shared" si="1"/>
        <v>48996900.825687334</v>
      </c>
      <c r="I22" s="159">
        <f t="shared" si="0"/>
        <v>48996900.825687334</v>
      </c>
      <c r="K22" s="15">
        <v>2027</v>
      </c>
      <c r="L22" s="159">
        <v>0</v>
      </c>
      <c r="M22" s="159">
        <f>Ben_1!Q48</f>
        <v>29260412.727608286</v>
      </c>
      <c r="N22" s="159">
        <f>Ben_2!F24</f>
        <v>4497788.0962530961</v>
      </c>
      <c r="O22" s="159">
        <f>Ben_3!Q36</f>
        <v>33999.329169288554</v>
      </c>
      <c r="P22" s="159">
        <f>Ben_3!R36</f>
        <v>573240.27791690058</v>
      </c>
      <c r="Q22" s="159">
        <f t="shared" si="2"/>
        <v>34365440.430947572</v>
      </c>
      <c r="R22" s="159">
        <f t="shared" si="3"/>
        <v>34365440.430947572</v>
      </c>
      <c r="T22" s="15">
        <v>2027</v>
      </c>
      <c r="U22" s="159">
        <v>0</v>
      </c>
      <c r="V22" s="159">
        <f>Ben_1!R48</f>
        <v>18523447.207814649</v>
      </c>
      <c r="W22" s="159">
        <f>Ben_2!G24</f>
        <v>2847346.7250265758</v>
      </c>
      <c r="X22" s="159">
        <f>Ben_3!S36</f>
        <v>21523.441409772186</v>
      </c>
      <c r="Y22" s="159">
        <f>Ben_3!T36</f>
        <v>573240.27791690058</v>
      </c>
      <c r="Z22" s="159">
        <f t="shared" si="4"/>
        <v>21965557.652167898</v>
      </c>
      <c r="AA22" s="159">
        <f t="shared" si="5"/>
        <v>21965557.652167898</v>
      </c>
    </row>
    <row r="23" spans="2:27" ht="14.45" x14ac:dyDescent="0.3">
      <c r="B23" s="15">
        <v>2028</v>
      </c>
      <c r="C23" s="159">
        <v>0</v>
      </c>
      <c r="D23" s="159">
        <f>Ben_1!P49</f>
        <v>42979255</v>
      </c>
      <c r="E23" s="159">
        <f>Ben_2!E25</f>
        <v>6471020.58672</v>
      </c>
      <c r="F23" s="159">
        <f>Ben_3!O37</f>
        <v>50086.077724560004</v>
      </c>
      <c r="G23" s="159">
        <f>Ben_3!P37</f>
        <v>859966.95208391198</v>
      </c>
      <c r="H23" s="159">
        <f t="shared" si="1"/>
        <v>50360328.616528474</v>
      </c>
      <c r="I23" s="159">
        <f t="shared" si="0"/>
        <v>50360328.616528474</v>
      </c>
      <c r="K23" s="15">
        <v>2028</v>
      </c>
      <c r="L23" s="159">
        <v>0</v>
      </c>
      <c r="M23" s="159">
        <f>Ben_1!Q49</f>
        <v>29266781.284158491</v>
      </c>
      <c r="N23" s="159">
        <f>Ben_2!F25</f>
        <v>4406450.139650424</v>
      </c>
      <c r="O23" s="159">
        <f>Ben_3!Q37</f>
        <v>34106.181741541594</v>
      </c>
      <c r="P23" s="159">
        <f>Ben_3!R37</f>
        <v>585595.6483713889</v>
      </c>
      <c r="Q23" s="159">
        <f t="shared" si="2"/>
        <v>34292933.253921852</v>
      </c>
      <c r="R23" s="159">
        <f t="shared" si="3"/>
        <v>34292933.253921852</v>
      </c>
      <c r="T23" s="15">
        <v>2028</v>
      </c>
      <c r="U23" s="159">
        <v>0</v>
      </c>
      <c r="V23" s="159">
        <f>Ben_1!R49</f>
        <v>17834862.821735669</v>
      </c>
      <c r="W23" s="159">
        <f>Ben_2!G25</f>
        <v>2685243.4850436253</v>
      </c>
      <c r="X23" s="159">
        <f>Ben_3!S37</f>
        <v>20783.941589874423</v>
      </c>
      <c r="Y23" s="159">
        <f>Ben_3!T37</f>
        <v>585595.6483713889</v>
      </c>
      <c r="Z23" s="159">
        <f t="shared" si="4"/>
        <v>21126485.896740556</v>
      </c>
      <c r="AA23" s="159">
        <f t="shared" si="5"/>
        <v>21126485.896740556</v>
      </c>
    </row>
    <row r="24" spans="2:27" ht="14.45" x14ac:dyDescent="0.3">
      <c r="B24" s="15">
        <v>2029</v>
      </c>
      <c r="C24" s="159">
        <v>0</v>
      </c>
      <c r="D24" s="159">
        <f>Ben_1!P50</f>
        <v>44267036</v>
      </c>
      <c r="E24" s="159">
        <f>Ben_2!E26</f>
        <v>6529270.8284799997</v>
      </c>
      <c r="F24" s="159">
        <f>Ben_3!O38</f>
        <v>51732.100297979996</v>
      </c>
      <c r="G24" s="159">
        <f>Ben_3!P38</f>
        <v>888091.72437384247</v>
      </c>
      <c r="H24" s="159">
        <f t="shared" si="1"/>
        <v>51736130.653151818</v>
      </c>
      <c r="I24" s="159">
        <f t="shared" si="0"/>
        <v>51736130.653151818</v>
      </c>
      <c r="K24" s="15">
        <v>2029</v>
      </c>
      <c r="L24" s="159">
        <v>0</v>
      </c>
      <c r="M24" s="159">
        <f>Ben_1!Q50</f>
        <v>29265725.710413828</v>
      </c>
      <c r="N24" s="159">
        <f>Ben_2!F26</f>
        <v>4316617.2037202157</v>
      </c>
      <c r="O24" s="159">
        <f>Ben_3!Q38</f>
        <v>34201.012639389271</v>
      </c>
      <c r="P24" s="159">
        <f>Ben_3!R38</f>
        <v>587133.25218370871</v>
      </c>
      <c r="Q24" s="159">
        <f t="shared" si="2"/>
        <v>34203677.178957134</v>
      </c>
      <c r="R24" s="159">
        <f t="shared" si="3"/>
        <v>34203677.178957134</v>
      </c>
      <c r="T24" s="15">
        <v>2029</v>
      </c>
      <c r="U24" s="159">
        <v>0</v>
      </c>
      <c r="V24" s="159">
        <f>Ben_1!R50</f>
        <v>17167519.769534599</v>
      </c>
      <c r="W24" s="159">
        <f>Ben_2!G26</f>
        <v>2532163.7985560168</v>
      </c>
      <c r="X24" s="159">
        <f>Ben_3!S38</f>
        <v>20062.600409594132</v>
      </c>
      <c r="Y24" s="159">
        <f>Ben_3!T38</f>
        <v>587133.25218370871</v>
      </c>
      <c r="Z24" s="159">
        <f t="shared" si="4"/>
        <v>20306879.42068392</v>
      </c>
      <c r="AA24" s="159">
        <f t="shared" si="5"/>
        <v>20306879.42068392</v>
      </c>
    </row>
    <row r="25" spans="2:27" ht="14.45" x14ac:dyDescent="0.3">
      <c r="B25" s="15">
        <v>2030</v>
      </c>
      <c r="C25" s="159">
        <v>0</v>
      </c>
      <c r="D25" s="159">
        <f>Ben_1!P51</f>
        <v>45582215</v>
      </c>
      <c r="E25" s="159">
        <f>Ben_2!E27</f>
        <v>6589303.3459199993</v>
      </c>
      <c r="F25" s="159">
        <f>Ben_3!O39</f>
        <v>53413.244125539997</v>
      </c>
      <c r="G25" s="159">
        <f>Ben_3!P39</f>
        <v>933492.71221111121</v>
      </c>
      <c r="H25" s="159">
        <f t="shared" si="1"/>
        <v>53158424.302256644</v>
      </c>
      <c r="I25" s="159">
        <f t="shared" si="0"/>
        <v>53158424.302256644</v>
      </c>
      <c r="K25" s="15">
        <v>2030</v>
      </c>
      <c r="L25" s="159">
        <v>0</v>
      </c>
      <c r="M25" s="159">
        <f>Ben_1!Q51</f>
        <v>29257489.286555875</v>
      </c>
      <c r="N25" s="159">
        <f>Ben_2!F27</f>
        <v>4229423.0775999185</v>
      </c>
      <c r="O25" s="159">
        <f>Ben_3!Q39</f>
        <v>34283.928891195392</v>
      </c>
      <c r="P25" s="159">
        <f>Ben_3!R39</f>
        <v>599173.45014046761</v>
      </c>
      <c r="Q25" s="159">
        <f t="shared" si="2"/>
        <v>34120369.743187457</v>
      </c>
      <c r="R25" s="159">
        <f t="shared" si="3"/>
        <v>34120369.743187457</v>
      </c>
      <c r="T25" s="15">
        <v>2030</v>
      </c>
      <c r="U25" s="159">
        <v>0</v>
      </c>
      <c r="V25" s="159">
        <f>Ben_1!R51</f>
        <v>16521092.393232262</v>
      </c>
      <c r="W25" s="159">
        <f>Ben_2!G27</f>
        <v>2388266.7699447866</v>
      </c>
      <c r="X25" s="159">
        <f>Ben_3!S39</f>
        <v>19359.417729487621</v>
      </c>
      <c r="Y25" s="159">
        <f>Ben_3!T39</f>
        <v>599173.45014046761</v>
      </c>
      <c r="Z25" s="159">
        <f t="shared" si="4"/>
        <v>19527892.031047001</v>
      </c>
      <c r="AA25" s="159">
        <f t="shared" si="5"/>
        <v>19527892.031047001</v>
      </c>
    </row>
    <row r="26" spans="2:27" ht="14.45" x14ac:dyDescent="0.3">
      <c r="B26" s="15">
        <v>2031</v>
      </c>
      <c r="C26" s="159">
        <v>0</v>
      </c>
      <c r="D26" s="159">
        <f>Ben_1!P52</f>
        <v>46925320</v>
      </c>
      <c r="E26" s="159">
        <f>Ben_2!E28</f>
        <v>6647637.5476800008</v>
      </c>
      <c r="F26" s="159">
        <f>Ben_3!O40</f>
        <v>55130.822629089998</v>
      </c>
      <c r="G26" s="159">
        <f>Ben_3!P40</f>
        <v>997786.14142731472</v>
      </c>
      <c r="H26" s="159">
        <f t="shared" si="1"/>
        <v>54625874.5117364</v>
      </c>
      <c r="I26" s="159">
        <f t="shared" si="0"/>
        <v>54625874.5117364</v>
      </c>
      <c r="K26" s="15">
        <v>2031</v>
      </c>
      <c r="L26" s="159">
        <v>0</v>
      </c>
      <c r="M26" s="159">
        <f>Ben_1!Q52</f>
        <v>29242308.036324415</v>
      </c>
      <c r="N26" s="159">
        <f>Ben_2!F28</f>
        <v>4142587.9436324532</v>
      </c>
      <c r="O26" s="159">
        <f>Ben_3!Q40</f>
        <v>34355.705994457036</v>
      </c>
      <c r="P26" s="159">
        <f>Ben_3!R40</f>
        <v>621787.33574950788</v>
      </c>
      <c r="Q26" s="159">
        <f t="shared" si="2"/>
        <v>34041039.021700837</v>
      </c>
      <c r="R26" s="159">
        <f t="shared" si="3"/>
        <v>34041039.021700837</v>
      </c>
      <c r="T26" s="15">
        <v>2031</v>
      </c>
      <c r="U26" s="159">
        <v>0</v>
      </c>
      <c r="V26" s="159">
        <f>Ben_1!R52</f>
        <v>15895229.39667665</v>
      </c>
      <c r="W26" s="159">
        <f>Ben_2!G28</f>
        <v>2251784.8310109475</v>
      </c>
      <c r="X26" s="159">
        <f>Ben_3!S40</f>
        <v>18674.717029460378</v>
      </c>
      <c r="Y26" s="159">
        <f>Ben_3!T40</f>
        <v>621787.33574950788</v>
      </c>
      <c r="Z26" s="159">
        <f t="shared" si="4"/>
        <v>18787476.280466564</v>
      </c>
      <c r="AA26" s="159">
        <f t="shared" si="5"/>
        <v>18787476.280466564</v>
      </c>
    </row>
    <row r="27" spans="2:27" ht="14.45" x14ac:dyDescent="0.3">
      <c r="B27" s="15">
        <v>2032</v>
      </c>
      <c r="C27" s="159">
        <v>0</v>
      </c>
      <c r="D27" s="159">
        <f>Ben_1!P53</f>
        <v>48296887</v>
      </c>
      <c r="E27" s="159">
        <f>Ben_2!E29</f>
        <v>6707712.0451199999</v>
      </c>
      <c r="F27" s="159">
        <f>Ben_3!O41</f>
        <v>56884.428659569996</v>
      </c>
      <c r="G27" s="159">
        <f>Ben_3!P41</f>
        <v>1047146.6527217013</v>
      </c>
      <c r="H27" s="159">
        <f t="shared" si="1"/>
        <v>56108630.126501277</v>
      </c>
      <c r="I27" s="159">
        <f t="shared" si="0"/>
        <v>56108630.126501277</v>
      </c>
      <c r="K27" s="15">
        <v>2032</v>
      </c>
      <c r="L27" s="159">
        <v>0</v>
      </c>
      <c r="M27" s="159">
        <f>Ben_1!Q53</f>
        <v>29220410.918106537</v>
      </c>
      <c r="N27" s="159">
        <f>Ben_2!F29</f>
        <v>4058276.1012886642</v>
      </c>
      <c r="O27" s="159">
        <f>Ben_3!Q41</f>
        <v>34416.014851523483</v>
      </c>
      <c r="P27" s="159">
        <f>Ben_3!R41</f>
        <v>633540.94610793272</v>
      </c>
      <c r="Q27" s="159">
        <f t="shared" si="2"/>
        <v>33946643.980354659</v>
      </c>
      <c r="R27" s="159">
        <f t="shared" si="3"/>
        <v>33946643.980354659</v>
      </c>
      <c r="T27" s="15">
        <v>2032</v>
      </c>
      <c r="U27" s="159">
        <v>0</v>
      </c>
      <c r="V27" s="159">
        <f>Ben_1!R53</f>
        <v>15289557.563339006</v>
      </c>
      <c r="W27" s="159">
        <f>Ben_2!G29</f>
        <v>2123489.852092634</v>
      </c>
      <c r="X27" s="159">
        <f>Ben_3!S41</f>
        <v>18008.153329802532</v>
      </c>
      <c r="Y27" s="159">
        <f>Ben_3!T41</f>
        <v>633540.94610793272</v>
      </c>
      <c r="Z27" s="159">
        <f t="shared" si="4"/>
        <v>18064596.514869373</v>
      </c>
      <c r="AA27" s="159">
        <f t="shared" si="5"/>
        <v>18064596.514869373</v>
      </c>
    </row>
    <row r="28" spans="2:27" ht="14.45" x14ac:dyDescent="0.3">
      <c r="B28" s="15">
        <v>2033</v>
      </c>
      <c r="C28" s="159">
        <v>0</v>
      </c>
      <c r="D28" s="159">
        <f>Ben_1!P54</f>
        <v>49697466</v>
      </c>
      <c r="E28" s="159">
        <f>Ben_2!E30</f>
        <v>6766046.2468799995</v>
      </c>
      <c r="F28" s="159">
        <f>Ben_3!O42</f>
        <v>58675.533256850002</v>
      </c>
      <c r="G28" s="159">
        <f>Ben_3!P42</f>
        <v>1098300.8855729168</v>
      </c>
      <c r="H28" s="159">
        <f t="shared" si="1"/>
        <v>57620488.665709771</v>
      </c>
      <c r="I28" s="159">
        <f t="shared" si="0"/>
        <v>57620488.665709771</v>
      </c>
      <c r="K28" s="15">
        <v>2033</v>
      </c>
      <c r="L28" s="159">
        <v>0</v>
      </c>
      <c r="M28" s="159">
        <f>Ben_1!Q54</f>
        <v>29192023.540593553</v>
      </c>
      <c r="N28" s="159">
        <f>Ben_2!F30</f>
        <v>3974339.0802996997</v>
      </c>
      <c r="O28" s="159">
        <f>Ben_3!Q42</f>
        <v>34465.691834083555</v>
      </c>
      <c r="P28" s="159">
        <f>Ben_3!R42</f>
        <v>645136.01772571937</v>
      </c>
      <c r="Q28" s="159">
        <f t="shared" si="2"/>
        <v>33845964.330453061</v>
      </c>
      <c r="R28" s="159">
        <f t="shared" si="3"/>
        <v>33845964.330453061</v>
      </c>
      <c r="T28" s="15">
        <v>2033</v>
      </c>
      <c r="U28" s="159">
        <v>0</v>
      </c>
      <c r="V28" s="159">
        <f>Ben_1!R54</f>
        <v>14703686.922019474</v>
      </c>
      <c r="W28" s="159">
        <f>Ben_2!G30</f>
        <v>2001828.9406149683</v>
      </c>
      <c r="X28" s="159">
        <f>Ben_3!S42</f>
        <v>17359.973061629826</v>
      </c>
      <c r="Y28" s="159">
        <f>Ben_3!T42</f>
        <v>645136.01772571937</v>
      </c>
      <c r="Z28" s="159">
        <f t="shared" si="4"/>
        <v>17368011.853421792</v>
      </c>
      <c r="AA28" s="159">
        <f t="shared" si="5"/>
        <v>17368011.853421792</v>
      </c>
    </row>
    <row r="29" spans="2:27" ht="14.45" x14ac:dyDescent="0.3">
      <c r="B29" s="15">
        <v>2034</v>
      </c>
      <c r="C29" s="159">
        <v>0</v>
      </c>
      <c r="D29" s="159">
        <f>Ben_1!P55</f>
        <v>51127618</v>
      </c>
      <c r="E29" s="159">
        <f>Ben_2!E31</f>
        <v>6829643.31568</v>
      </c>
      <c r="F29" s="159">
        <f>Ben_3!O43</f>
        <v>60505.528651789995</v>
      </c>
      <c r="G29" s="159">
        <f>Ben_3!P43</f>
        <v>1151304.1580241898</v>
      </c>
      <c r="H29" s="159">
        <f t="shared" si="1"/>
        <v>59169071.002355978</v>
      </c>
      <c r="I29" s="159">
        <f t="shared" si="0"/>
        <v>59169071.002355978</v>
      </c>
      <c r="K29" s="15">
        <v>2034</v>
      </c>
      <c r="L29" s="159">
        <v>0</v>
      </c>
      <c r="M29" s="159">
        <f>Ben_1!Q55</f>
        <v>29157366.12957786</v>
      </c>
      <c r="N29" s="159">
        <f>Ben_2!F31</f>
        <v>3894850.151041769</v>
      </c>
      <c r="O29" s="159">
        <f>Ben_3!Q43</f>
        <v>34505.457534984409</v>
      </c>
      <c r="P29" s="159">
        <f>Ben_3!R43</f>
        <v>656572.67393166386</v>
      </c>
      <c r="Q29" s="159">
        <f t="shared" si="2"/>
        <v>33743294.412086278</v>
      </c>
      <c r="R29" s="159">
        <f t="shared" si="3"/>
        <v>33743294.412086278</v>
      </c>
      <c r="T29" s="15">
        <v>2034</v>
      </c>
      <c r="U29" s="159">
        <v>0</v>
      </c>
      <c r="V29" s="159">
        <f>Ben_1!R55</f>
        <v>14137212.423994992</v>
      </c>
      <c r="W29" s="159">
        <f>Ben_2!G31</f>
        <v>1888453.2882772994</v>
      </c>
      <c r="X29" s="159">
        <f>Ben_3!S43</f>
        <v>16730.282865446039</v>
      </c>
      <c r="Y29" s="159">
        <f>Ben_3!T43</f>
        <v>656572.67393166386</v>
      </c>
      <c r="Z29" s="159">
        <f t="shared" si="4"/>
        <v>16698968.669069402</v>
      </c>
      <c r="AA29" s="159">
        <f t="shared" si="5"/>
        <v>16698968.669069402</v>
      </c>
    </row>
    <row r="30" spans="2:27" ht="14.45" x14ac:dyDescent="0.3">
      <c r="B30" s="15">
        <v>2035</v>
      </c>
      <c r="C30" s="159">
        <v>0</v>
      </c>
      <c r="D30" s="159">
        <f>Ben_1!P56</f>
        <v>52587918</v>
      </c>
      <c r="E30" s="159">
        <f>Ben_2!E32</f>
        <v>6889843.7531199995</v>
      </c>
      <c r="F30" s="159">
        <f>Ben_3!O44</f>
        <v>62373.364119240003</v>
      </c>
      <c r="G30" s="159">
        <f>Ben_3!P44</f>
        <v>1206186.9254442127</v>
      </c>
      <c r="H30" s="159">
        <f t="shared" si="1"/>
        <v>60746322.042683452</v>
      </c>
      <c r="I30" s="159">
        <f t="shared" si="0"/>
        <v>60746322.042683452</v>
      </c>
      <c r="K30" s="15">
        <v>2035</v>
      </c>
      <c r="L30" s="159">
        <v>0</v>
      </c>
      <c r="M30" s="159">
        <f>Ben_1!Q56</f>
        <v>29116655.15973914</v>
      </c>
      <c r="N30" s="159">
        <f>Ben_2!F32</f>
        <v>3814739.4362347242</v>
      </c>
      <c r="O30" s="159">
        <f>Ben_3!Q44</f>
        <v>34534.619419859097</v>
      </c>
      <c r="P30" s="159">
        <f>Ben_3!R44</f>
        <v>667836.45563502109</v>
      </c>
      <c r="Q30" s="159">
        <f t="shared" si="2"/>
        <v>33633765.671028741</v>
      </c>
      <c r="R30" s="159">
        <f t="shared" si="3"/>
        <v>33633765.671028741</v>
      </c>
      <c r="T30" s="15">
        <v>2035</v>
      </c>
      <c r="U30" s="159">
        <v>0</v>
      </c>
      <c r="V30" s="159">
        <f>Ben_1!R56</f>
        <v>13589717.329617497</v>
      </c>
      <c r="W30" s="159">
        <f>Ben_2!G32</f>
        <v>1780466.5522246328</v>
      </c>
      <c r="X30" s="159">
        <f>Ben_3!S44</f>
        <v>16118.462557840339</v>
      </c>
      <c r="Y30" s="159">
        <f>Ben_3!T44</f>
        <v>667836.45563502109</v>
      </c>
      <c r="Z30" s="159">
        <f t="shared" si="4"/>
        <v>16054138.800034991</v>
      </c>
      <c r="AA30" s="159">
        <f t="shared" si="5"/>
        <v>16054138.800034991</v>
      </c>
    </row>
    <row r="31" spans="2:27" ht="14.45" x14ac:dyDescent="0.3">
      <c r="B31" s="15">
        <v>2036</v>
      </c>
      <c r="C31" s="159">
        <v>0</v>
      </c>
      <c r="D31" s="159">
        <f>Ben_1!P57</f>
        <v>54078935</v>
      </c>
      <c r="E31" s="159">
        <f>Ben_2!E33</f>
        <v>6953482.8019199995</v>
      </c>
      <c r="F31" s="159">
        <f>Ben_3!O45</f>
        <v>64281.075466149996</v>
      </c>
      <c r="G31" s="159">
        <f>Ben_3!P45</f>
        <v>1263013.9720989584</v>
      </c>
      <c r="H31" s="159">
        <f t="shared" si="1"/>
        <v>62359712.849485107</v>
      </c>
      <c r="I31" s="159">
        <f t="shared" si="0"/>
        <v>62359712.849485107</v>
      </c>
      <c r="K31" s="15">
        <v>2036</v>
      </c>
      <c r="L31" s="159">
        <v>0</v>
      </c>
      <c r="M31" s="159">
        <f>Ben_1!Q57</f>
        <v>29070092.351183292</v>
      </c>
      <c r="N31" s="159">
        <f>Ben_2!F33</f>
        <v>3737839.6452182191</v>
      </c>
      <c r="O31" s="159">
        <f>Ben_3!Q45</f>
        <v>34554.245571484775</v>
      </c>
      <c r="P31" s="159">
        <f>Ben_3!R45</f>
        <v>678932.24616482481</v>
      </c>
      <c r="Q31" s="159">
        <f t="shared" si="2"/>
        <v>33521418.488137819</v>
      </c>
      <c r="R31" s="159">
        <f t="shared" si="3"/>
        <v>33521418.488137819</v>
      </c>
      <c r="T31" s="15">
        <v>2036</v>
      </c>
      <c r="U31" s="159">
        <v>0</v>
      </c>
      <c r="V31" s="159">
        <f>Ben_1!R57</f>
        <v>13060770.519566376</v>
      </c>
      <c r="W31" s="159">
        <f>Ben_2!G33</f>
        <v>1679357.0950986466</v>
      </c>
      <c r="X31" s="159">
        <f>Ben_3!S45</f>
        <v>15524.720954921047</v>
      </c>
      <c r="Y31" s="159">
        <f>Ben_3!T45</f>
        <v>678932.24616482481</v>
      </c>
      <c r="Z31" s="159">
        <f t="shared" si="4"/>
        <v>15434584.581784768</v>
      </c>
      <c r="AA31" s="159">
        <f t="shared" si="5"/>
        <v>15434584.581784768</v>
      </c>
    </row>
    <row r="32" spans="2:27" ht="14.45" x14ac:dyDescent="0.3">
      <c r="B32" s="15">
        <v>2037</v>
      </c>
      <c r="C32" s="159">
        <v>0</v>
      </c>
      <c r="D32" s="159">
        <f>Ben_1!P58</f>
        <v>55601266</v>
      </c>
      <c r="E32" s="159">
        <f>Ben_2!E34</f>
        <v>7013641.2593600005</v>
      </c>
      <c r="F32" s="159">
        <f>Ben_3!O46</f>
        <v>66229.516425969996</v>
      </c>
      <c r="G32" s="159">
        <f>Ben_3!P46</f>
        <v>1321840.1592925924</v>
      </c>
      <c r="H32" s="159">
        <f t="shared" si="1"/>
        <v>64002976.935078561</v>
      </c>
      <c r="I32" s="159">
        <f t="shared" si="0"/>
        <v>64002976.935078561</v>
      </c>
      <c r="K32" s="15">
        <v>2037</v>
      </c>
      <c r="L32" s="159">
        <v>0</v>
      </c>
      <c r="M32" s="159">
        <f>Ben_1!Q58</f>
        <v>29017883.764977872</v>
      </c>
      <c r="N32" s="159">
        <f>Ben_2!F34</f>
        <v>3660366.7771406774</v>
      </c>
      <c r="O32" s="159">
        <f>Ben_3!Q46</f>
        <v>34564.687959793759</v>
      </c>
      <c r="P32" s="159">
        <f>Ben_3!R46</f>
        <v>689858.46650024632</v>
      </c>
      <c r="Q32" s="159">
        <f t="shared" si="2"/>
        <v>33402673.696578588</v>
      </c>
      <c r="R32" s="159">
        <f t="shared" si="3"/>
        <v>33402673.696578588</v>
      </c>
      <c r="T32" s="15">
        <v>2037</v>
      </c>
      <c r="U32" s="159">
        <v>0</v>
      </c>
      <c r="V32" s="159">
        <f>Ben_1!R58</f>
        <v>12549937.736840477</v>
      </c>
      <c r="W32" s="159">
        <f>Ben_2!G34</f>
        <v>1583071.1680828172</v>
      </c>
      <c r="X32" s="159">
        <f>Ben_3!S46</f>
        <v>14948.873780805226</v>
      </c>
      <c r="Y32" s="159">
        <f>Ben_3!T46</f>
        <v>689858.46650024632</v>
      </c>
      <c r="Z32" s="159">
        <f t="shared" si="4"/>
        <v>14837816.245204346</v>
      </c>
      <c r="AA32" s="159">
        <f t="shared" si="5"/>
        <v>14837816.245204346</v>
      </c>
    </row>
    <row r="33" spans="2:27" ht="14.45" x14ac:dyDescent="0.3">
      <c r="B33" s="15">
        <v>2038</v>
      </c>
      <c r="C33" s="159">
        <v>0</v>
      </c>
      <c r="D33" s="159">
        <f>Ben_1!P59</f>
        <v>57155512</v>
      </c>
      <c r="E33" s="159">
        <f>Ben_2!E35</f>
        <v>7077364.2681600004</v>
      </c>
      <c r="F33" s="159">
        <f>Ben_3!O47</f>
        <v>68218.253579969998</v>
      </c>
      <c r="G33" s="159">
        <f>Ben_3!P47</f>
        <v>1382704.7491412035</v>
      </c>
      <c r="H33" s="159">
        <f t="shared" si="1"/>
        <v>65683799.270881169</v>
      </c>
      <c r="I33" s="159">
        <f t="shared" si="0"/>
        <v>65683799.270881169</v>
      </c>
      <c r="K33" s="15">
        <v>2038</v>
      </c>
      <c r="L33" s="159">
        <v>0</v>
      </c>
      <c r="M33" s="159">
        <f>Ben_1!Q59</f>
        <v>28960226.307674393</v>
      </c>
      <c r="N33" s="159">
        <f>Ben_2!F35</f>
        <v>3586042.0753078368</v>
      </c>
      <c r="O33" s="159">
        <f>Ben_3!Q47</f>
        <v>34565.626181255277</v>
      </c>
      <c r="P33" s="159">
        <f>Ben_3!R47</f>
        <v>700605.08690439875</v>
      </c>
      <c r="Q33" s="159">
        <f t="shared" si="2"/>
        <v>33281439.096067887</v>
      </c>
      <c r="R33" s="159">
        <f t="shared" si="3"/>
        <v>33281439.096067887</v>
      </c>
      <c r="T33" s="15">
        <v>2038</v>
      </c>
      <c r="U33" s="159">
        <v>0</v>
      </c>
      <c r="V33" s="159">
        <f>Ben_1!R59</f>
        <v>12056777.12239987</v>
      </c>
      <c r="W33" s="159">
        <f>Ben_2!G35</f>
        <v>1492947.9346671202</v>
      </c>
      <c r="X33" s="159">
        <f>Ben_3!S47</f>
        <v>14390.42797994803</v>
      </c>
      <c r="Y33" s="159">
        <f>Ben_3!T47</f>
        <v>700605.08690439875</v>
      </c>
      <c r="Z33" s="159">
        <f t="shared" si="4"/>
        <v>14264720.571951337</v>
      </c>
      <c r="AA33" s="159">
        <f t="shared" si="5"/>
        <v>14264720.571951337</v>
      </c>
    </row>
    <row r="34" spans="2:27" ht="14.45" x14ac:dyDescent="0.3">
      <c r="B34" s="15">
        <v>2039</v>
      </c>
      <c r="C34" s="159">
        <v>0</v>
      </c>
      <c r="D34" s="159">
        <f>Ben_1!P60</f>
        <v>58742291</v>
      </c>
      <c r="E34" s="159">
        <f>Ben_2!E36</f>
        <v>7141087.2769600004</v>
      </c>
      <c r="F34" s="159">
        <f>Ben_3!O48</f>
        <v>70249.913771849999</v>
      </c>
      <c r="G34" s="159">
        <f>Ben_3!P48</f>
        <v>1467586.4938417247</v>
      </c>
      <c r="H34" s="159">
        <f t="shared" si="1"/>
        <v>67421214.684573576</v>
      </c>
      <c r="I34" s="159">
        <f t="shared" si="0"/>
        <v>67421214.684573576</v>
      </c>
      <c r="K34" s="15">
        <v>2039</v>
      </c>
      <c r="L34" s="159">
        <v>0</v>
      </c>
      <c r="M34" s="159">
        <f>Ben_1!Q60</f>
        <v>28897314.692772739</v>
      </c>
      <c r="N34" s="159">
        <f>Ben_2!F36</f>
        <v>3512941.7456814661</v>
      </c>
      <c r="O34" s="159">
        <f>Ben_3!Q48</f>
        <v>34558.302559314528</v>
      </c>
      <c r="P34" s="159">
        <f>Ben_3!R48</f>
        <v>721955.30731696007</v>
      </c>
      <c r="Q34" s="159">
        <f t="shared" si="2"/>
        <v>33166770.048330478</v>
      </c>
      <c r="R34" s="159">
        <f t="shared" si="3"/>
        <v>33166770.048330478</v>
      </c>
      <c r="T34" s="15">
        <v>2039</v>
      </c>
      <c r="U34" s="159">
        <v>0</v>
      </c>
      <c r="V34" s="159">
        <f>Ben_1!R60</f>
        <v>11580844.118698601</v>
      </c>
      <c r="W34" s="159">
        <f>Ben_2!G36</f>
        <v>1407841.2194120183</v>
      </c>
      <c r="X34" s="159">
        <f>Ben_3!S48</f>
        <v>13849.533051814627</v>
      </c>
      <c r="Y34" s="159">
        <f>Ben_3!T48</f>
        <v>721955.30731696007</v>
      </c>
      <c r="Z34" s="159">
        <f t="shared" si="4"/>
        <v>13724490.178479394</v>
      </c>
      <c r="AA34" s="159">
        <f t="shared" si="5"/>
        <v>13724490.178479394</v>
      </c>
    </row>
    <row r="35" spans="2:27" ht="14.45" x14ac:dyDescent="0.3">
      <c r="B35" s="15">
        <v>2040</v>
      </c>
      <c r="C35" s="159">
        <v>0</v>
      </c>
      <c r="D35" s="159">
        <f>Ben_1!P61</f>
        <v>60362222</v>
      </c>
      <c r="E35" s="159">
        <f>Ben_2!E37</f>
        <v>7204852.2657599989</v>
      </c>
      <c r="F35" s="159">
        <f>Ben_3!O49</f>
        <v>72323.577624810001</v>
      </c>
      <c r="G35" s="159">
        <f>Ben_3!P49</f>
        <v>1533361.7558712959</v>
      </c>
      <c r="H35" s="159">
        <f t="shared" si="1"/>
        <v>69172759.599256113</v>
      </c>
      <c r="I35" s="159">
        <f t="shared" si="0"/>
        <v>69172759.599256113</v>
      </c>
      <c r="K35" s="15">
        <v>2040</v>
      </c>
      <c r="L35" s="159">
        <v>0</v>
      </c>
      <c r="M35" s="159">
        <f>Ben_1!Q61</f>
        <v>28829333.400208678</v>
      </c>
      <c r="N35" s="159">
        <f>Ben_2!F37</f>
        <v>3441077.5678344625</v>
      </c>
      <c r="O35" s="159">
        <f>Ben_3!Q49</f>
        <v>34542.143462537213</v>
      </c>
      <c r="P35" s="159">
        <f>Ben_3!R49</f>
        <v>732342.11429696833</v>
      </c>
      <c r="Q35" s="159">
        <f t="shared" si="2"/>
        <v>33037295.225802649</v>
      </c>
      <c r="R35" s="159">
        <f t="shared" si="3"/>
        <v>33037295.225802649</v>
      </c>
      <c r="T35" s="15">
        <v>2040</v>
      </c>
      <c r="U35" s="159">
        <v>0</v>
      </c>
      <c r="V35" s="159">
        <f>Ben_1!R61</f>
        <v>11121689.756914835</v>
      </c>
      <c r="W35" s="159">
        <f>Ben_2!G37</f>
        <v>1327488.104135524</v>
      </c>
      <c r="X35" s="159">
        <f>Ben_3!S49</f>
        <v>13325.559692837092</v>
      </c>
      <c r="Y35" s="159">
        <f>Ben_3!T49</f>
        <v>732342.11429696833</v>
      </c>
      <c r="Z35" s="159">
        <f t="shared" si="4"/>
        <v>13194845.535040166</v>
      </c>
      <c r="AA35" s="159">
        <f t="shared" si="5"/>
        <v>13194845.535040166</v>
      </c>
    </row>
    <row r="36" spans="2:27" ht="14.45" x14ac:dyDescent="0.3">
      <c r="B36" s="15">
        <v>2041</v>
      </c>
      <c r="C36" s="159">
        <v>0</v>
      </c>
      <c r="D36" s="159">
        <f>Ben_1!P62</f>
        <v>62015947</v>
      </c>
      <c r="E36" s="159">
        <f>Ben_2!E38</f>
        <v>7270357.5502400007</v>
      </c>
      <c r="F36" s="159">
        <f>Ben_3!O50</f>
        <v>74440.611100039998</v>
      </c>
      <c r="G36" s="159">
        <f>Ben_3!P50</f>
        <v>1601364.2288644095</v>
      </c>
      <c r="H36" s="159">
        <f t="shared" si="1"/>
        <v>70962109.390204445</v>
      </c>
      <c r="I36" s="159">
        <f t="shared" si="0"/>
        <v>70962109.390204445</v>
      </c>
      <c r="K36" s="15">
        <v>2041</v>
      </c>
      <c r="L36" s="159">
        <v>0</v>
      </c>
      <c r="M36" s="159">
        <f>Ben_1!Q62</f>
        <v>28756467.64100574</v>
      </c>
      <c r="N36" s="159">
        <f>Ben_2!F38</f>
        <v>3371226.46263901</v>
      </c>
      <c r="O36" s="159">
        <f>Ben_3!Q50</f>
        <v>34517.71887438876</v>
      </c>
      <c r="P36" s="159">
        <f>Ben_3!R50</f>
        <v>742544.14963305322</v>
      </c>
      <c r="Q36" s="159">
        <f t="shared" si="2"/>
        <v>32904755.972152192</v>
      </c>
      <c r="R36" s="159">
        <f t="shared" si="3"/>
        <v>32904755.972152192</v>
      </c>
      <c r="T36" s="15">
        <v>2041</v>
      </c>
      <c r="U36" s="159">
        <v>0</v>
      </c>
      <c r="V36" s="159">
        <f>Ben_1!R62</f>
        <v>10678866.568236263</v>
      </c>
      <c r="W36" s="159">
        <f>Ben_2!G38</f>
        <v>1251922.8027330139</v>
      </c>
      <c r="X36" s="159">
        <f>Ben_3!S50</f>
        <v>12818.337728444176</v>
      </c>
      <c r="Y36" s="159">
        <f>Ben_3!T50</f>
        <v>742544.14963305322</v>
      </c>
      <c r="Z36" s="159">
        <f t="shared" si="4"/>
        <v>12686151.858330775</v>
      </c>
      <c r="AA36" s="159">
        <f t="shared" si="5"/>
        <v>12686151.858330775</v>
      </c>
    </row>
    <row r="37" spans="2:27" ht="14.45" x14ac:dyDescent="0.3">
      <c r="B37" s="15">
        <v>2042</v>
      </c>
      <c r="C37" s="159">
        <v>0</v>
      </c>
      <c r="D37" s="159">
        <f>Ben_1!P63</f>
        <v>63704109</v>
      </c>
      <c r="E37" s="159">
        <f>Ben_2!E39</f>
        <v>7335904.8147200001</v>
      </c>
      <c r="F37" s="159">
        <f>Ben_3!O51</f>
        <v>76602.485237410001</v>
      </c>
      <c r="G37" s="159">
        <f>Ben_3!P51</f>
        <v>1647780.716613889</v>
      </c>
      <c r="H37" s="159">
        <f>SUM(D37:G37)</f>
        <v>72764397.016571298</v>
      </c>
      <c r="I37" s="159">
        <f t="shared" si="0"/>
        <v>72764397.016571298</v>
      </c>
      <c r="K37" s="15">
        <v>2042</v>
      </c>
      <c r="L37" s="159">
        <v>0</v>
      </c>
      <c r="M37" s="159">
        <f>Ben_1!Q63</f>
        <v>28678892.679094933</v>
      </c>
      <c r="N37" s="159">
        <f>Ben_2!F39</f>
        <v>3302544.0617246637</v>
      </c>
      <c r="O37" s="159">
        <f>Ben_3!Q51</f>
        <v>34485.600498323198</v>
      </c>
      <c r="P37" s="159">
        <f>Ben_3!R51</f>
        <v>741812.84492106887</v>
      </c>
      <c r="Q37" s="159">
        <f t="shared" si="2"/>
        <v>32757735.186238986</v>
      </c>
      <c r="R37" s="159">
        <f t="shared" si="3"/>
        <v>32757735.186238986</v>
      </c>
      <c r="T37" s="15">
        <v>2042</v>
      </c>
      <c r="U37" s="159">
        <v>0</v>
      </c>
      <c r="V37" s="159">
        <f>Ben_1!R63</f>
        <v>10251925.659915363</v>
      </c>
      <c r="W37" s="159">
        <f>Ben_2!G39</f>
        <v>1180569.8563137366</v>
      </c>
      <c r="X37" s="159">
        <f>Ben_3!S51</f>
        <v>12327.666085380635</v>
      </c>
      <c r="Y37" s="159">
        <f>Ben_3!T51</f>
        <v>741812.84492106887</v>
      </c>
      <c r="Z37" s="159">
        <f t="shared" si="4"/>
        <v>12186636.027235551</v>
      </c>
      <c r="AA37" s="159">
        <f t="shared" si="5"/>
        <v>12186636.027235551</v>
      </c>
    </row>
    <row r="38" spans="2:27" ht="14.45" x14ac:dyDescent="0.3">
      <c r="B38" s="15">
        <v>2043</v>
      </c>
      <c r="C38" s="159">
        <v>0</v>
      </c>
      <c r="D38" s="159">
        <f>Ben_1!P64</f>
        <v>65427378</v>
      </c>
      <c r="E38" s="159">
        <f>Ben_2!E40</f>
        <v>7403192.3748799991</v>
      </c>
      <c r="F38" s="159">
        <f>Ben_3!O52</f>
        <v>78809.462733619992</v>
      </c>
      <c r="G38" s="159">
        <f>Ben_3!P52</f>
        <v>1719741.0116452547</v>
      </c>
      <c r="H38" s="159">
        <f>SUM(D38:G38)</f>
        <v>74629120.849258885</v>
      </c>
      <c r="I38" s="159">
        <f t="shared" si="0"/>
        <v>74629120.849258885</v>
      </c>
      <c r="K38" s="15">
        <v>2043</v>
      </c>
      <c r="L38" s="159">
        <v>0</v>
      </c>
      <c r="M38" s="159">
        <f>Ben_1!Q64</f>
        <v>28596785.944694135</v>
      </c>
      <c r="N38" s="159">
        <f>Ben_2!F40</f>
        <v>3235763.2863086024</v>
      </c>
      <c r="O38" s="159">
        <f>Ben_3!Q52</f>
        <v>34445.784090716283</v>
      </c>
      <c r="P38" s="159">
        <f>Ben_3!R52</f>
        <v>751658.81766393094</v>
      </c>
      <c r="Q38" s="159">
        <f t="shared" si="2"/>
        <v>32618653.832757384</v>
      </c>
      <c r="R38" s="159">
        <f t="shared" si="3"/>
        <v>32618653.832757384</v>
      </c>
      <c r="T38" s="15">
        <v>2043</v>
      </c>
      <c r="U38" s="159">
        <v>0</v>
      </c>
      <c r="V38" s="159">
        <f>Ben_1!R64</f>
        <v>9840422.4047128744</v>
      </c>
      <c r="W38" s="159">
        <f>Ben_2!G40</f>
        <v>1113456.5122290037</v>
      </c>
      <c r="X38" s="159">
        <f>Ben_3!S52</f>
        <v>11853.117555578927</v>
      </c>
      <c r="Y38" s="159">
        <f>Ben_3!T52</f>
        <v>751658.81766393094</v>
      </c>
      <c r="Z38" s="159">
        <f t="shared" si="4"/>
        <v>11717390.852161387</v>
      </c>
      <c r="AA38" s="159">
        <f t="shared" si="5"/>
        <v>11717390.852161387</v>
      </c>
    </row>
    <row r="39" spans="2:27" ht="14.45" x14ac:dyDescent="0.3">
      <c r="T39" t="s">
        <v>355</v>
      </c>
    </row>
    <row r="40" spans="2:27" s="147" customFormat="1" ht="14.45" x14ac:dyDescent="0.3">
      <c r="H40" s="194">
        <f>SUM(H13:H18)</f>
        <v>-34601749.969792336</v>
      </c>
      <c r="Q40" s="194">
        <f>SUM(Q13:Q18)</f>
        <v>-29415386.324412882</v>
      </c>
      <c r="Z40" s="194">
        <f>SUM(Z13:Z18)</f>
        <v>-24073649.355449021</v>
      </c>
    </row>
    <row r="59" spans="12:13" x14ac:dyDescent="0.25">
      <c r="L59" s="147"/>
      <c r="M59" s="147"/>
    </row>
    <row r="60" spans="12:13" x14ac:dyDescent="0.25">
      <c r="L60" s="147"/>
      <c r="M60" s="147"/>
    </row>
    <row r="61" spans="12:13" x14ac:dyDescent="0.25">
      <c r="L61" s="147"/>
      <c r="M61" s="147"/>
    </row>
    <row r="72" s="147" customFormat="1" x14ac:dyDescent="0.25"/>
  </sheetData>
  <mergeCells count="8">
    <mergeCell ref="B2:C2"/>
    <mergeCell ref="B8:I8"/>
    <mergeCell ref="K8:R8"/>
    <mergeCell ref="T8:AA8"/>
    <mergeCell ref="B3:C3"/>
    <mergeCell ref="B4:C4"/>
    <mergeCell ref="B5:C5"/>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topLeftCell="C1" workbookViewId="0">
      <selection activeCell="I25" sqref="I25:U25"/>
    </sheetView>
  </sheetViews>
  <sheetFormatPr defaultRowHeight="15" x14ac:dyDescent="0.25"/>
  <cols>
    <col min="1" max="1" width="34" customWidth="1"/>
    <col min="2" max="2" width="12.5703125" bestFit="1" customWidth="1"/>
    <col min="3" max="11" width="5" customWidth="1"/>
    <col min="12" max="14" width="10.140625" bestFit="1" customWidth="1"/>
    <col min="15" max="20" width="11.140625" bestFit="1" customWidth="1"/>
    <col min="21" max="21" width="14.28515625" customWidth="1"/>
    <col min="23" max="23" width="9.140625" style="147"/>
  </cols>
  <sheetData>
    <row r="1" spans="1:23" ht="14.45" x14ac:dyDescent="0.3">
      <c r="H1" s="164"/>
      <c r="I1" s="164"/>
      <c r="J1" s="164"/>
      <c r="K1" s="164"/>
      <c r="L1" s="164"/>
      <c r="M1" s="164"/>
      <c r="N1" s="164"/>
      <c r="O1" s="164"/>
      <c r="P1" s="164"/>
      <c r="Q1" s="164"/>
      <c r="R1" s="164"/>
      <c r="S1" s="164"/>
      <c r="T1" s="164"/>
      <c r="U1" s="164"/>
      <c r="V1" s="164"/>
      <c r="W1" s="164"/>
    </row>
    <row r="2" spans="1:23" ht="15" customHeight="1" x14ac:dyDescent="0.3">
      <c r="C2" s="203" t="s">
        <v>282</v>
      </c>
      <c r="D2" s="203"/>
      <c r="E2" s="203"/>
      <c r="F2" s="203"/>
      <c r="G2" s="203"/>
      <c r="H2" s="203"/>
      <c r="I2" s="203"/>
      <c r="J2" s="203"/>
      <c r="K2" s="203"/>
    </row>
    <row r="3" spans="1:23" ht="14.45" x14ac:dyDescent="0.3">
      <c r="A3" s="124" t="s">
        <v>277</v>
      </c>
      <c r="B3" s="124" t="s">
        <v>240</v>
      </c>
      <c r="C3" s="124">
        <v>2015</v>
      </c>
      <c r="D3" s="124">
        <v>2016</v>
      </c>
      <c r="E3" s="124">
        <f t="shared" ref="E3:K3" si="0">D3+1</f>
        <v>2017</v>
      </c>
      <c r="F3" s="124">
        <f t="shared" si="0"/>
        <v>2018</v>
      </c>
      <c r="G3" s="124">
        <f t="shared" si="0"/>
        <v>2019</v>
      </c>
      <c r="H3" s="124">
        <f t="shared" si="0"/>
        <v>2020</v>
      </c>
      <c r="I3" s="124">
        <f t="shared" si="0"/>
        <v>2021</v>
      </c>
      <c r="J3" s="124">
        <f t="shared" si="0"/>
        <v>2022</v>
      </c>
      <c r="K3" s="124">
        <f t="shared" si="0"/>
        <v>2023</v>
      </c>
      <c r="L3" s="124">
        <v>2015</v>
      </c>
      <c r="M3" s="124">
        <v>2016</v>
      </c>
      <c r="N3" s="124">
        <f t="shared" ref="N3:T3" si="1">M3+1</f>
        <v>2017</v>
      </c>
      <c r="O3" s="124">
        <f t="shared" si="1"/>
        <v>2018</v>
      </c>
      <c r="P3" s="124">
        <f t="shared" si="1"/>
        <v>2019</v>
      </c>
      <c r="Q3" s="124">
        <f t="shared" si="1"/>
        <v>2020</v>
      </c>
      <c r="R3" s="124">
        <f t="shared" si="1"/>
        <v>2021</v>
      </c>
      <c r="S3" s="124">
        <f t="shared" si="1"/>
        <v>2022</v>
      </c>
      <c r="T3" s="124">
        <f t="shared" si="1"/>
        <v>2023</v>
      </c>
    </row>
    <row r="4" spans="1:23" ht="15" customHeight="1" x14ac:dyDescent="0.3">
      <c r="A4" s="163" t="s">
        <v>265</v>
      </c>
      <c r="B4" s="157">
        <v>83532000</v>
      </c>
      <c r="C4" s="64"/>
      <c r="D4" s="64"/>
      <c r="E4" s="64"/>
      <c r="F4" s="64">
        <v>0.1</v>
      </c>
      <c r="G4" s="64">
        <v>0.2</v>
      </c>
      <c r="H4" s="64">
        <v>0.3</v>
      </c>
      <c r="I4" s="64">
        <v>0.2</v>
      </c>
      <c r="J4" s="64">
        <v>0.1</v>
      </c>
      <c r="K4" s="64">
        <v>0.1</v>
      </c>
      <c r="L4" s="159">
        <f>$B4*C4</f>
        <v>0</v>
      </c>
      <c r="M4" s="159">
        <f t="shared" ref="M4:T4" si="2">$B4*D4</f>
        <v>0</v>
      </c>
      <c r="N4" s="159">
        <f t="shared" si="2"/>
        <v>0</v>
      </c>
      <c r="O4" s="159">
        <f t="shared" si="2"/>
        <v>8353200</v>
      </c>
      <c r="P4" s="159">
        <f t="shared" si="2"/>
        <v>16706400</v>
      </c>
      <c r="Q4" s="159">
        <f t="shared" si="2"/>
        <v>25059600</v>
      </c>
      <c r="R4" s="159">
        <f t="shared" si="2"/>
        <v>16706400</v>
      </c>
      <c r="S4" s="159">
        <f t="shared" si="2"/>
        <v>8353200</v>
      </c>
      <c r="T4" s="159">
        <f t="shared" si="2"/>
        <v>8353200</v>
      </c>
    </row>
    <row r="5" spans="1:23" x14ac:dyDescent="0.25">
      <c r="A5" s="163" t="s">
        <v>396</v>
      </c>
      <c r="B5" s="157">
        <v>25085995</v>
      </c>
      <c r="C5" s="64"/>
      <c r="D5" s="64"/>
      <c r="E5" s="64"/>
      <c r="F5" s="64">
        <f>1/11</f>
        <v>9.0909090909090912E-2</v>
      </c>
      <c r="G5" s="64">
        <f>2/11</f>
        <v>0.18181818181818182</v>
      </c>
      <c r="H5" s="64">
        <f t="shared" ref="H5:K5" si="3">2/11</f>
        <v>0.18181818181818182</v>
      </c>
      <c r="I5" s="64">
        <f t="shared" si="3"/>
        <v>0.18181818181818182</v>
      </c>
      <c r="J5" s="64">
        <f t="shared" si="3"/>
        <v>0.18181818181818182</v>
      </c>
      <c r="K5" s="64">
        <f t="shared" si="3"/>
        <v>0.18181818181818182</v>
      </c>
      <c r="L5" s="159">
        <f t="shared" ref="L5:L19" si="4">$B5*C5</f>
        <v>0</v>
      </c>
      <c r="M5" s="159">
        <f t="shared" ref="M5:M19" si="5">$B5*D5</f>
        <v>0</v>
      </c>
      <c r="N5" s="159">
        <f t="shared" ref="N5:N19" si="6">$B5*E5</f>
        <v>0</v>
      </c>
      <c r="O5" s="159">
        <f t="shared" ref="O5:O19" si="7">$B5*F5</f>
        <v>2280545</v>
      </c>
      <c r="P5" s="159">
        <f t="shared" ref="P5:P19" si="8">$B5*G5</f>
        <v>4561090</v>
      </c>
      <c r="Q5" s="159">
        <f t="shared" ref="Q5:Q19" si="9">$B5*H5</f>
        <v>4561090</v>
      </c>
      <c r="R5" s="159">
        <f t="shared" ref="R5:R19" si="10">$B5*I5</f>
        <v>4561090</v>
      </c>
      <c r="S5" s="159">
        <f t="shared" ref="S5:S19" si="11">$B5*J5</f>
        <v>4561090</v>
      </c>
      <c r="T5" s="159">
        <f t="shared" ref="T5:T19" si="12">$B5*K5</f>
        <v>4561090</v>
      </c>
    </row>
    <row r="6" spans="1:23" x14ac:dyDescent="0.25">
      <c r="A6" s="163" t="s">
        <v>266</v>
      </c>
      <c r="B6" s="190">
        <v>5764627</v>
      </c>
      <c r="C6" s="191"/>
      <c r="D6" s="191"/>
      <c r="E6" s="191"/>
      <c r="F6" s="191">
        <v>0.02</v>
      </c>
      <c r="G6" s="191"/>
      <c r="H6" s="191"/>
      <c r="I6" s="191"/>
      <c r="J6" s="191">
        <v>0.5</v>
      </c>
      <c r="K6" s="191">
        <v>0.48</v>
      </c>
      <c r="L6" s="159">
        <f t="shared" si="4"/>
        <v>0</v>
      </c>
      <c r="M6" s="159">
        <f t="shared" si="5"/>
        <v>0</v>
      </c>
      <c r="N6" s="159">
        <f t="shared" si="6"/>
        <v>0</v>
      </c>
      <c r="O6" s="159">
        <f t="shared" si="7"/>
        <v>115292.54000000001</v>
      </c>
      <c r="P6" s="159">
        <f t="shared" si="8"/>
        <v>0</v>
      </c>
      <c r="Q6" s="159">
        <f t="shared" si="9"/>
        <v>0</v>
      </c>
      <c r="R6" s="159">
        <f t="shared" si="10"/>
        <v>0</v>
      </c>
      <c r="S6" s="159">
        <f t="shared" si="11"/>
        <v>2882313.5</v>
      </c>
      <c r="T6" s="159">
        <f t="shared" si="12"/>
        <v>2767020.96</v>
      </c>
    </row>
    <row r="7" spans="1:23" ht="14.45" x14ac:dyDescent="0.3">
      <c r="A7" s="163" t="s">
        <v>267</v>
      </c>
      <c r="B7" s="157">
        <v>127936</v>
      </c>
      <c r="C7" s="64"/>
      <c r="D7" s="64"/>
      <c r="E7" s="64"/>
      <c r="F7" s="64">
        <f>1/11</f>
        <v>9.0909090909090912E-2</v>
      </c>
      <c r="G7" s="64">
        <f>2/11</f>
        <v>0.18181818181818182</v>
      </c>
      <c r="H7" s="64">
        <f t="shared" ref="H7:K8" si="13">2/11</f>
        <v>0.18181818181818182</v>
      </c>
      <c r="I7" s="64">
        <f t="shared" si="13"/>
        <v>0.18181818181818182</v>
      </c>
      <c r="J7" s="64">
        <f t="shared" si="13"/>
        <v>0.18181818181818182</v>
      </c>
      <c r="K7" s="64">
        <f t="shared" si="13"/>
        <v>0.18181818181818182</v>
      </c>
      <c r="L7" s="159">
        <f t="shared" si="4"/>
        <v>0</v>
      </c>
      <c r="M7" s="159">
        <f t="shared" si="5"/>
        <v>0</v>
      </c>
      <c r="N7" s="159">
        <f t="shared" si="6"/>
        <v>0</v>
      </c>
      <c r="O7" s="159">
        <f t="shared" si="7"/>
        <v>11630.545454545454</v>
      </c>
      <c r="P7" s="159">
        <f t="shared" si="8"/>
        <v>23261.090909090908</v>
      </c>
      <c r="Q7" s="159">
        <f t="shared" si="9"/>
        <v>23261.090909090908</v>
      </c>
      <c r="R7" s="159">
        <f t="shared" si="10"/>
        <v>23261.090909090908</v>
      </c>
      <c r="S7" s="159">
        <f t="shared" si="11"/>
        <v>23261.090909090908</v>
      </c>
      <c r="T7" s="159">
        <f t="shared" si="12"/>
        <v>23261.090909090908</v>
      </c>
    </row>
    <row r="8" spans="1:23" ht="14.45" x14ac:dyDescent="0.3">
      <c r="A8" s="163" t="s">
        <v>279</v>
      </c>
      <c r="B8" s="157">
        <v>1400000</v>
      </c>
      <c r="C8" s="64"/>
      <c r="D8" s="64"/>
      <c r="E8" s="64"/>
      <c r="F8" s="64">
        <f>1/11</f>
        <v>9.0909090909090912E-2</v>
      </c>
      <c r="G8" s="64">
        <f>2/11</f>
        <v>0.18181818181818182</v>
      </c>
      <c r="H8" s="64">
        <f t="shared" si="13"/>
        <v>0.18181818181818182</v>
      </c>
      <c r="I8" s="64">
        <f t="shared" si="13"/>
        <v>0.18181818181818182</v>
      </c>
      <c r="J8" s="64">
        <f t="shared" si="13"/>
        <v>0.18181818181818182</v>
      </c>
      <c r="K8" s="64">
        <f t="shared" si="13"/>
        <v>0.18181818181818182</v>
      </c>
      <c r="L8" s="159">
        <f t="shared" si="4"/>
        <v>0</v>
      </c>
      <c r="M8" s="159">
        <f t="shared" si="5"/>
        <v>0</v>
      </c>
      <c r="N8" s="159">
        <f t="shared" si="6"/>
        <v>0</v>
      </c>
      <c r="O8" s="159">
        <f t="shared" si="7"/>
        <v>127272.72727272728</v>
      </c>
      <c r="P8" s="159">
        <f t="shared" si="8"/>
        <v>254545.45454545456</v>
      </c>
      <c r="Q8" s="159">
        <f t="shared" si="9"/>
        <v>254545.45454545456</v>
      </c>
      <c r="R8" s="159">
        <f t="shared" si="10"/>
        <v>254545.45454545456</v>
      </c>
      <c r="S8" s="159">
        <f t="shared" si="11"/>
        <v>254545.45454545456</v>
      </c>
      <c r="T8" s="159">
        <f t="shared" si="12"/>
        <v>254545.45454545456</v>
      </c>
    </row>
    <row r="9" spans="1:23" ht="14.45" x14ac:dyDescent="0.3">
      <c r="A9" s="163" t="s">
        <v>268</v>
      </c>
      <c r="B9" s="157">
        <v>1214525</v>
      </c>
      <c r="C9" s="64"/>
      <c r="D9" s="64"/>
      <c r="E9" s="64"/>
      <c r="F9" s="64">
        <v>1</v>
      </c>
      <c r="G9" s="64"/>
      <c r="H9" s="64"/>
      <c r="I9" s="64"/>
      <c r="J9" s="64"/>
      <c r="K9" s="64"/>
      <c r="L9" s="159">
        <f t="shared" si="4"/>
        <v>0</v>
      </c>
      <c r="M9" s="159">
        <f t="shared" si="5"/>
        <v>0</v>
      </c>
      <c r="N9" s="159">
        <f t="shared" si="6"/>
        <v>0</v>
      </c>
      <c r="O9" s="159">
        <f t="shared" si="7"/>
        <v>1214525</v>
      </c>
      <c r="P9" s="159">
        <f t="shared" si="8"/>
        <v>0</v>
      </c>
      <c r="Q9" s="159">
        <f t="shared" si="9"/>
        <v>0</v>
      </c>
      <c r="R9" s="159">
        <f t="shared" si="10"/>
        <v>0</v>
      </c>
      <c r="S9" s="159">
        <f t="shared" si="11"/>
        <v>0</v>
      </c>
      <c r="T9" s="159">
        <f t="shared" si="12"/>
        <v>0</v>
      </c>
    </row>
    <row r="10" spans="1:23" s="23" customFormat="1" ht="14.45" x14ac:dyDescent="0.3">
      <c r="A10" s="163" t="s">
        <v>269</v>
      </c>
      <c r="B10" s="157">
        <v>3643574</v>
      </c>
      <c r="C10" s="64"/>
      <c r="D10" s="64"/>
      <c r="E10" s="64"/>
      <c r="F10" s="64">
        <f>1/6</f>
        <v>0.16666666666666666</v>
      </c>
      <c r="G10" s="64">
        <f t="shared" ref="G10:K10" si="14">1/6</f>
        <v>0.16666666666666666</v>
      </c>
      <c r="H10" s="64">
        <f t="shared" si="14"/>
        <v>0.16666666666666666</v>
      </c>
      <c r="I10" s="64">
        <f t="shared" si="14"/>
        <v>0.16666666666666666</v>
      </c>
      <c r="J10" s="64">
        <f t="shared" si="14"/>
        <v>0.16666666666666666</v>
      </c>
      <c r="K10" s="64">
        <f t="shared" si="14"/>
        <v>0.16666666666666666</v>
      </c>
      <c r="L10" s="159">
        <f t="shared" si="4"/>
        <v>0</v>
      </c>
      <c r="M10" s="159">
        <f t="shared" si="5"/>
        <v>0</v>
      </c>
      <c r="N10" s="159">
        <f t="shared" si="6"/>
        <v>0</v>
      </c>
      <c r="O10" s="159">
        <f t="shared" si="7"/>
        <v>607262.33333333326</v>
      </c>
      <c r="P10" s="159">
        <f t="shared" si="8"/>
        <v>607262.33333333326</v>
      </c>
      <c r="Q10" s="159">
        <f t="shared" si="9"/>
        <v>607262.33333333326</v>
      </c>
      <c r="R10" s="159">
        <f t="shared" si="10"/>
        <v>607262.33333333326</v>
      </c>
      <c r="S10" s="159">
        <f t="shared" si="11"/>
        <v>607262.33333333326</v>
      </c>
      <c r="T10" s="159">
        <f t="shared" si="12"/>
        <v>607262.33333333326</v>
      </c>
    </row>
    <row r="11" spans="1:23" s="23" customFormat="1" ht="14.45" x14ac:dyDescent="0.3">
      <c r="A11" s="163" t="s">
        <v>270</v>
      </c>
      <c r="B11" s="157">
        <v>12145248</v>
      </c>
      <c r="C11" s="64"/>
      <c r="D11" s="64"/>
      <c r="E11" s="64"/>
      <c r="F11" s="64">
        <v>0.4</v>
      </c>
      <c r="G11" s="64">
        <v>0.05</v>
      </c>
      <c r="H11" s="64">
        <v>0.05</v>
      </c>
      <c r="I11" s="64">
        <v>0.05</v>
      </c>
      <c r="J11" s="64">
        <v>0.05</v>
      </c>
      <c r="K11" s="64">
        <v>0.4</v>
      </c>
      <c r="L11" s="159">
        <f t="shared" si="4"/>
        <v>0</v>
      </c>
      <c r="M11" s="159">
        <f t="shared" si="5"/>
        <v>0</v>
      </c>
      <c r="N11" s="159">
        <f t="shared" si="6"/>
        <v>0</v>
      </c>
      <c r="O11" s="159">
        <f t="shared" si="7"/>
        <v>4858099.2</v>
      </c>
      <c r="P11" s="159">
        <f t="shared" si="8"/>
        <v>607262.4</v>
      </c>
      <c r="Q11" s="159">
        <f t="shared" si="9"/>
        <v>607262.4</v>
      </c>
      <c r="R11" s="159">
        <f t="shared" si="10"/>
        <v>607262.4</v>
      </c>
      <c r="S11" s="159">
        <f t="shared" si="11"/>
        <v>607262.4</v>
      </c>
      <c r="T11" s="159">
        <f t="shared" si="12"/>
        <v>4858099.2</v>
      </c>
    </row>
    <row r="12" spans="1:23" ht="14.45" x14ac:dyDescent="0.3">
      <c r="A12" s="163" t="s">
        <v>271</v>
      </c>
      <c r="B12" s="157">
        <v>1214525</v>
      </c>
      <c r="C12" s="64"/>
      <c r="D12" s="64"/>
      <c r="E12" s="64"/>
      <c r="F12" s="64">
        <v>0.5</v>
      </c>
      <c r="G12" s="64">
        <v>0.1</v>
      </c>
      <c r="H12" s="64">
        <v>0.1</v>
      </c>
      <c r="I12" s="64">
        <v>0.1</v>
      </c>
      <c r="J12" s="64">
        <v>0.1</v>
      </c>
      <c r="K12" s="64">
        <v>0.1</v>
      </c>
      <c r="L12" s="159">
        <f t="shared" si="4"/>
        <v>0</v>
      </c>
      <c r="M12" s="159">
        <f t="shared" si="5"/>
        <v>0</v>
      </c>
      <c r="N12" s="159">
        <f t="shared" si="6"/>
        <v>0</v>
      </c>
      <c r="O12" s="159">
        <f t="shared" si="7"/>
        <v>607262.5</v>
      </c>
      <c r="P12" s="159">
        <f t="shared" si="8"/>
        <v>121452.5</v>
      </c>
      <c r="Q12" s="159">
        <f t="shared" si="9"/>
        <v>121452.5</v>
      </c>
      <c r="R12" s="159">
        <f t="shared" si="10"/>
        <v>121452.5</v>
      </c>
      <c r="S12" s="159">
        <f t="shared" si="11"/>
        <v>121452.5</v>
      </c>
      <c r="T12" s="159">
        <f t="shared" si="12"/>
        <v>121452.5</v>
      </c>
    </row>
    <row r="13" spans="1:23" x14ac:dyDescent="0.25">
      <c r="A13" s="163" t="s">
        <v>249</v>
      </c>
      <c r="B13" s="157">
        <v>13967040</v>
      </c>
      <c r="C13" s="64"/>
      <c r="D13" s="64"/>
      <c r="E13" s="64"/>
      <c r="F13" s="64">
        <f t="shared" ref="F13:F19" si="15">1/11</f>
        <v>9.0909090909090912E-2</v>
      </c>
      <c r="G13" s="64">
        <f t="shared" ref="G13:G19" si="16">2/11</f>
        <v>0.18181818181818182</v>
      </c>
      <c r="H13" s="64">
        <f t="shared" ref="H13:K14" si="17">2/11</f>
        <v>0.18181818181818182</v>
      </c>
      <c r="I13" s="64">
        <f t="shared" si="17"/>
        <v>0.18181818181818182</v>
      </c>
      <c r="J13" s="64">
        <f t="shared" si="17"/>
        <v>0.18181818181818182</v>
      </c>
      <c r="K13" s="64">
        <f t="shared" si="17"/>
        <v>0.18181818181818182</v>
      </c>
      <c r="L13" s="159">
        <f t="shared" si="4"/>
        <v>0</v>
      </c>
      <c r="M13" s="159">
        <f t="shared" si="5"/>
        <v>0</v>
      </c>
      <c r="N13" s="159">
        <f t="shared" si="6"/>
        <v>0</v>
      </c>
      <c r="O13" s="159">
        <f t="shared" si="7"/>
        <v>1269730.9090909092</v>
      </c>
      <c r="P13" s="159">
        <f t="shared" si="8"/>
        <v>2539461.8181818184</v>
      </c>
      <c r="Q13" s="159">
        <f t="shared" si="9"/>
        <v>2539461.8181818184</v>
      </c>
      <c r="R13" s="159">
        <f t="shared" si="10"/>
        <v>2539461.8181818184</v>
      </c>
      <c r="S13" s="159">
        <f t="shared" si="11"/>
        <v>2539461.8181818184</v>
      </c>
      <c r="T13" s="159">
        <f t="shared" si="12"/>
        <v>2539461.8181818184</v>
      </c>
    </row>
    <row r="14" spans="1:23" s="23" customFormat="1" ht="14.45" x14ac:dyDescent="0.3">
      <c r="A14" s="163" t="s">
        <v>272</v>
      </c>
      <c r="B14" s="157">
        <v>15363739</v>
      </c>
      <c r="C14" s="64"/>
      <c r="D14" s="64"/>
      <c r="E14" s="64"/>
      <c r="F14" s="64">
        <f t="shared" si="15"/>
        <v>9.0909090909090912E-2</v>
      </c>
      <c r="G14" s="64">
        <f t="shared" si="16"/>
        <v>0.18181818181818182</v>
      </c>
      <c r="H14" s="64">
        <f t="shared" si="17"/>
        <v>0.18181818181818182</v>
      </c>
      <c r="I14" s="64">
        <f t="shared" si="17"/>
        <v>0.18181818181818182</v>
      </c>
      <c r="J14" s="64">
        <f t="shared" si="17"/>
        <v>0.18181818181818182</v>
      </c>
      <c r="K14" s="64">
        <f t="shared" si="17"/>
        <v>0.18181818181818182</v>
      </c>
      <c r="L14" s="159">
        <f t="shared" si="4"/>
        <v>0</v>
      </c>
      <c r="M14" s="159">
        <f t="shared" si="5"/>
        <v>0</v>
      </c>
      <c r="N14" s="159">
        <f t="shared" si="6"/>
        <v>0</v>
      </c>
      <c r="O14" s="159">
        <f t="shared" si="7"/>
        <v>1396703.5454545454</v>
      </c>
      <c r="P14" s="159">
        <f t="shared" si="8"/>
        <v>2793407.0909090908</v>
      </c>
      <c r="Q14" s="159">
        <f t="shared" si="9"/>
        <v>2793407.0909090908</v>
      </c>
      <c r="R14" s="159">
        <f t="shared" si="10"/>
        <v>2793407.0909090908</v>
      </c>
      <c r="S14" s="159">
        <f t="shared" si="11"/>
        <v>2793407.0909090908</v>
      </c>
      <c r="T14" s="159">
        <f t="shared" si="12"/>
        <v>2793407.0909090908</v>
      </c>
    </row>
    <row r="15" spans="1:23" ht="14.45" x14ac:dyDescent="0.3">
      <c r="A15" s="163" t="s">
        <v>273</v>
      </c>
      <c r="B15" s="157">
        <v>23045608</v>
      </c>
      <c r="C15" s="64"/>
      <c r="D15" s="64"/>
      <c r="E15" s="64"/>
      <c r="F15" s="64">
        <f t="shared" si="15"/>
        <v>9.0909090909090912E-2</v>
      </c>
      <c r="G15" s="64">
        <f t="shared" si="16"/>
        <v>0.18181818181818182</v>
      </c>
      <c r="H15" s="64">
        <f t="shared" ref="H15:K19" si="18">2/11</f>
        <v>0.18181818181818182</v>
      </c>
      <c r="I15" s="64">
        <f t="shared" si="18"/>
        <v>0.18181818181818182</v>
      </c>
      <c r="J15" s="64">
        <f t="shared" si="18"/>
        <v>0.18181818181818182</v>
      </c>
      <c r="K15" s="64">
        <f t="shared" si="18"/>
        <v>0.18181818181818182</v>
      </c>
      <c r="L15" s="159">
        <f t="shared" si="4"/>
        <v>0</v>
      </c>
      <c r="M15" s="159">
        <f t="shared" si="5"/>
        <v>0</v>
      </c>
      <c r="N15" s="159">
        <f t="shared" si="6"/>
        <v>0</v>
      </c>
      <c r="O15" s="159">
        <f t="shared" si="7"/>
        <v>2095055.2727272727</v>
      </c>
      <c r="P15" s="159">
        <f t="shared" si="8"/>
        <v>4190110.5454545454</v>
      </c>
      <c r="Q15" s="159">
        <f t="shared" si="9"/>
        <v>4190110.5454545454</v>
      </c>
      <c r="R15" s="159">
        <f t="shared" si="10"/>
        <v>4190110.5454545454</v>
      </c>
      <c r="S15" s="159">
        <f t="shared" si="11"/>
        <v>4190110.5454545454</v>
      </c>
      <c r="T15" s="159">
        <f t="shared" si="12"/>
        <v>4190110.5454545454</v>
      </c>
    </row>
    <row r="16" spans="1:23" ht="14.45" x14ac:dyDescent="0.3">
      <c r="A16" s="163" t="s">
        <v>274</v>
      </c>
      <c r="B16" s="157">
        <v>7690000</v>
      </c>
      <c r="C16" s="64"/>
      <c r="D16" s="64"/>
      <c r="E16" s="64"/>
      <c r="F16" s="64">
        <f t="shared" si="15"/>
        <v>9.0909090909090912E-2</v>
      </c>
      <c r="G16" s="64">
        <f t="shared" si="16"/>
        <v>0.18181818181818182</v>
      </c>
      <c r="H16" s="64">
        <f t="shared" si="18"/>
        <v>0.18181818181818182</v>
      </c>
      <c r="I16" s="64">
        <f t="shared" si="18"/>
        <v>0.18181818181818182</v>
      </c>
      <c r="J16" s="64">
        <f t="shared" si="18"/>
        <v>0.18181818181818182</v>
      </c>
      <c r="K16" s="64">
        <f t="shared" si="18"/>
        <v>0.18181818181818182</v>
      </c>
      <c r="L16" s="159">
        <f t="shared" si="4"/>
        <v>0</v>
      </c>
      <c r="M16" s="159">
        <f t="shared" si="5"/>
        <v>0</v>
      </c>
      <c r="N16" s="159">
        <f t="shared" si="6"/>
        <v>0</v>
      </c>
      <c r="O16" s="159">
        <f t="shared" si="7"/>
        <v>699090.90909090906</v>
      </c>
      <c r="P16" s="159">
        <f t="shared" si="8"/>
        <v>1398181.8181818181</v>
      </c>
      <c r="Q16" s="159">
        <f t="shared" si="9"/>
        <v>1398181.8181818181</v>
      </c>
      <c r="R16" s="159">
        <f t="shared" si="10"/>
        <v>1398181.8181818181</v>
      </c>
      <c r="S16" s="159">
        <f t="shared" si="11"/>
        <v>1398181.8181818181</v>
      </c>
      <c r="T16" s="159">
        <f t="shared" si="12"/>
        <v>1398181.8181818181</v>
      </c>
    </row>
    <row r="17" spans="1:21" ht="14.45" x14ac:dyDescent="0.3">
      <c r="A17" s="163" t="s">
        <v>276</v>
      </c>
      <c r="B17" s="157">
        <v>5150000</v>
      </c>
      <c r="C17" s="64"/>
      <c r="D17" s="64"/>
      <c r="E17" s="64"/>
      <c r="F17" s="64">
        <f t="shared" si="15"/>
        <v>9.0909090909090912E-2</v>
      </c>
      <c r="G17" s="64">
        <f t="shared" si="16"/>
        <v>0.18181818181818182</v>
      </c>
      <c r="H17" s="64">
        <f t="shared" si="18"/>
        <v>0.18181818181818182</v>
      </c>
      <c r="I17" s="64">
        <f t="shared" si="18"/>
        <v>0.18181818181818182</v>
      </c>
      <c r="J17" s="64">
        <f t="shared" si="18"/>
        <v>0.18181818181818182</v>
      </c>
      <c r="K17" s="64">
        <f t="shared" si="18"/>
        <v>0.18181818181818182</v>
      </c>
      <c r="L17" s="159">
        <f t="shared" si="4"/>
        <v>0</v>
      </c>
      <c r="M17" s="159">
        <f t="shared" si="5"/>
        <v>0</v>
      </c>
      <c r="N17" s="159">
        <f t="shared" si="6"/>
        <v>0</v>
      </c>
      <c r="O17" s="159">
        <f t="shared" si="7"/>
        <v>468181.81818181818</v>
      </c>
      <c r="P17" s="159">
        <f t="shared" si="8"/>
        <v>936363.63636363635</v>
      </c>
      <c r="Q17" s="159">
        <f t="shared" si="9"/>
        <v>936363.63636363635</v>
      </c>
      <c r="R17" s="159">
        <f t="shared" si="10"/>
        <v>936363.63636363635</v>
      </c>
      <c r="S17" s="159">
        <f t="shared" si="11"/>
        <v>936363.63636363635</v>
      </c>
      <c r="T17" s="159">
        <f t="shared" si="12"/>
        <v>936363.63636363635</v>
      </c>
    </row>
    <row r="18" spans="1:21" x14ac:dyDescent="0.25">
      <c r="A18" s="193" t="s">
        <v>397</v>
      </c>
      <c r="B18" s="157">
        <v>4135465</v>
      </c>
      <c r="C18" s="64"/>
      <c r="D18" s="64"/>
      <c r="E18" s="64"/>
      <c r="F18" s="64">
        <f t="shared" si="15"/>
        <v>9.0909090909090912E-2</v>
      </c>
      <c r="G18" s="64">
        <f t="shared" si="16"/>
        <v>0.18181818181818182</v>
      </c>
      <c r="H18" s="64">
        <f t="shared" si="18"/>
        <v>0.18181818181818182</v>
      </c>
      <c r="I18" s="64">
        <f t="shared" si="18"/>
        <v>0.18181818181818182</v>
      </c>
      <c r="J18" s="64">
        <f t="shared" si="18"/>
        <v>0.18181818181818182</v>
      </c>
      <c r="K18" s="64">
        <f t="shared" si="18"/>
        <v>0.18181818181818182</v>
      </c>
      <c r="L18" s="159">
        <f t="shared" si="4"/>
        <v>0</v>
      </c>
      <c r="M18" s="159">
        <f t="shared" si="5"/>
        <v>0</v>
      </c>
      <c r="N18" s="159">
        <f t="shared" si="6"/>
        <v>0</v>
      </c>
      <c r="O18" s="159">
        <f t="shared" si="7"/>
        <v>375951.36363636365</v>
      </c>
      <c r="P18" s="159">
        <f t="shared" si="8"/>
        <v>751902.72727272729</v>
      </c>
      <c r="Q18" s="159">
        <f t="shared" si="9"/>
        <v>751902.72727272729</v>
      </c>
      <c r="R18" s="159">
        <f t="shared" si="10"/>
        <v>751902.72727272729</v>
      </c>
      <c r="S18" s="159">
        <f t="shared" si="11"/>
        <v>751902.72727272729</v>
      </c>
      <c r="T18" s="159">
        <f t="shared" si="12"/>
        <v>751902.72727272729</v>
      </c>
    </row>
    <row r="19" spans="1:21" x14ac:dyDescent="0.25">
      <c r="A19" s="193" t="s">
        <v>398</v>
      </c>
      <c r="B19" s="157">
        <v>1406454</v>
      </c>
      <c r="C19" s="64"/>
      <c r="D19" s="64"/>
      <c r="E19" s="64"/>
      <c r="F19" s="64">
        <f t="shared" si="15"/>
        <v>9.0909090909090912E-2</v>
      </c>
      <c r="G19" s="64">
        <f t="shared" si="16"/>
        <v>0.18181818181818182</v>
      </c>
      <c r="H19" s="64">
        <f t="shared" si="18"/>
        <v>0.18181818181818182</v>
      </c>
      <c r="I19" s="64">
        <f t="shared" si="18"/>
        <v>0.18181818181818182</v>
      </c>
      <c r="J19" s="64">
        <f t="shared" si="18"/>
        <v>0.18181818181818182</v>
      </c>
      <c r="K19" s="64">
        <f t="shared" si="18"/>
        <v>0.18181818181818182</v>
      </c>
      <c r="L19" s="159">
        <f t="shared" si="4"/>
        <v>0</v>
      </c>
      <c r="M19" s="159">
        <f t="shared" si="5"/>
        <v>0</v>
      </c>
      <c r="N19" s="159">
        <f t="shared" si="6"/>
        <v>0</v>
      </c>
      <c r="O19" s="159">
        <f t="shared" si="7"/>
        <v>127859.45454545454</v>
      </c>
      <c r="P19" s="159">
        <f t="shared" si="8"/>
        <v>255718.90909090909</v>
      </c>
      <c r="Q19" s="159">
        <f t="shared" si="9"/>
        <v>255718.90909090909</v>
      </c>
      <c r="R19" s="159">
        <f t="shared" si="10"/>
        <v>255718.90909090909</v>
      </c>
      <c r="S19" s="159">
        <f t="shared" si="11"/>
        <v>255718.90909090909</v>
      </c>
      <c r="T19" s="159">
        <f t="shared" si="12"/>
        <v>255718.90909090909</v>
      </c>
    </row>
    <row r="20" spans="1:21" ht="14.45" customHeight="1" x14ac:dyDescent="0.3">
      <c r="A20" s="59" t="s">
        <v>278</v>
      </c>
      <c r="B20" s="124" t="s">
        <v>240</v>
      </c>
      <c r="C20" s="124">
        <v>2015</v>
      </c>
      <c r="D20" s="124">
        <v>2016</v>
      </c>
      <c r="E20" s="124">
        <f t="shared" ref="E20:K20" si="19">D20+1</f>
        <v>2017</v>
      </c>
      <c r="F20" s="124">
        <f t="shared" si="19"/>
        <v>2018</v>
      </c>
      <c r="G20" s="124">
        <f t="shared" si="19"/>
        <v>2019</v>
      </c>
      <c r="H20" s="124">
        <f t="shared" si="19"/>
        <v>2020</v>
      </c>
      <c r="I20" s="124">
        <f t="shared" si="19"/>
        <v>2021</v>
      </c>
      <c r="J20" s="124">
        <f t="shared" si="19"/>
        <v>2022</v>
      </c>
      <c r="K20" s="124">
        <f t="shared" si="19"/>
        <v>2023</v>
      </c>
      <c r="L20" s="124">
        <v>2015</v>
      </c>
      <c r="M20" s="124">
        <v>2016</v>
      </c>
      <c r="N20" s="124">
        <f t="shared" ref="N20:T20" si="20">M20+1</f>
        <v>2017</v>
      </c>
      <c r="O20" s="124">
        <f t="shared" si="20"/>
        <v>2018</v>
      </c>
      <c r="P20" s="124">
        <f t="shared" si="20"/>
        <v>2019</v>
      </c>
      <c r="Q20" s="124">
        <f t="shared" si="20"/>
        <v>2020</v>
      </c>
      <c r="R20" s="124">
        <f t="shared" si="20"/>
        <v>2021</v>
      </c>
      <c r="S20" s="124">
        <f t="shared" si="20"/>
        <v>2022</v>
      </c>
      <c r="T20" s="124">
        <f t="shared" si="20"/>
        <v>2023</v>
      </c>
    </row>
    <row r="21" spans="1:21" ht="14.45" x14ac:dyDescent="0.3">
      <c r="A21" s="163" t="s">
        <v>139</v>
      </c>
      <c r="B21" s="157">
        <v>140000</v>
      </c>
      <c r="C21" s="64"/>
      <c r="D21" s="64"/>
      <c r="E21" s="64">
        <v>0.1</v>
      </c>
      <c r="F21" s="64">
        <v>0.9</v>
      </c>
      <c r="G21" s="64"/>
      <c r="H21" s="64"/>
      <c r="I21" s="64"/>
      <c r="J21" s="64"/>
      <c r="K21" s="64"/>
      <c r="L21" s="159">
        <f t="shared" ref="L21:L23" si="21">$B21*C21</f>
        <v>0</v>
      </c>
      <c r="M21" s="159">
        <f t="shared" ref="M21:M23" si="22">$B21*D21</f>
        <v>0</v>
      </c>
      <c r="N21" s="159">
        <f t="shared" ref="N21:N23" si="23">$B21*E21</f>
        <v>14000</v>
      </c>
      <c r="O21" s="159">
        <f t="shared" ref="O21:O23" si="24">$B21*F21</f>
        <v>126000</v>
      </c>
      <c r="P21" s="159">
        <f t="shared" ref="P21:P23" si="25">$B21*G21</f>
        <v>0</v>
      </c>
      <c r="Q21" s="159">
        <f t="shared" ref="Q21:Q23" si="26">$B21*H21</f>
        <v>0</v>
      </c>
      <c r="R21" s="159">
        <f t="shared" ref="R21:R23" si="27">$B21*I21</f>
        <v>0</v>
      </c>
      <c r="S21" s="159">
        <f t="shared" ref="S21:S23" si="28">$B21*J21</f>
        <v>0</v>
      </c>
      <c r="T21" s="159">
        <f t="shared" ref="T21:T23" si="29">$B21*K21</f>
        <v>0</v>
      </c>
    </row>
    <row r="22" spans="1:21" ht="15" customHeight="1" x14ac:dyDescent="0.3">
      <c r="A22" s="163" t="s">
        <v>138</v>
      </c>
      <c r="B22" s="157">
        <v>6450000</v>
      </c>
      <c r="C22" s="64">
        <v>1</v>
      </c>
      <c r="D22" s="64"/>
      <c r="E22" s="64"/>
      <c r="F22" s="64"/>
      <c r="G22" s="64"/>
      <c r="H22" s="64"/>
      <c r="I22" s="64"/>
      <c r="J22" s="64"/>
      <c r="K22" s="64"/>
      <c r="L22" s="159">
        <f t="shared" si="21"/>
        <v>6450000</v>
      </c>
      <c r="M22" s="159">
        <f t="shared" si="22"/>
        <v>0</v>
      </c>
      <c r="N22" s="159">
        <f t="shared" si="23"/>
        <v>0</v>
      </c>
      <c r="O22" s="159">
        <f t="shared" si="24"/>
        <v>0</v>
      </c>
      <c r="P22" s="159">
        <f t="shared" si="25"/>
        <v>0</v>
      </c>
      <c r="Q22" s="159">
        <f t="shared" si="26"/>
        <v>0</v>
      </c>
      <c r="R22" s="159">
        <f t="shared" si="27"/>
        <v>0</v>
      </c>
      <c r="S22" s="159">
        <f t="shared" si="28"/>
        <v>0</v>
      </c>
      <c r="T22" s="159">
        <f t="shared" si="29"/>
        <v>0</v>
      </c>
    </row>
    <row r="23" spans="1:21" ht="14.45" x14ac:dyDescent="0.3">
      <c r="A23" s="163" t="s">
        <v>88</v>
      </c>
      <c r="B23" s="157">
        <v>15550000</v>
      </c>
      <c r="C23" s="64"/>
      <c r="D23" s="64">
        <v>0.5</v>
      </c>
      <c r="E23" s="64">
        <v>0.25</v>
      </c>
      <c r="F23" s="64">
        <v>0.25</v>
      </c>
      <c r="G23" s="64"/>
      <c r="H23" s="64"/>
      <c r="I23" s="64"/>
      <c r="J23" s="64"/>
      <c r="K23" s="64"/>
      <c r="L23" s="159">
        <f t="shared" si="21"/>
        <v>0</v>
      </c>
      <c r="M23" s="159">
        <f t="shared" si="22"/>
        <v>7775000</v>
      </c>
      <c r="N23" s="159">
        <f t="shared" si="23"/>
        <v>3887500</v>
      </c>
      <c r="O23" s="159">
        <f t="shared" si="24"/>
        <v>3887500</v>
      </c>
      <c r="P23" s="159">
        <f t="shared" si="25"/>
        <v>0</v>
      </c>
      <c r="Q23" s="159">
        <f t="shared" si="26"/>
        <v>0</v>
      </c>
      <c r="R23" s="159">
        <f t="shared" si="27"/>
        <v>0</v>
      </c>
      <c r="S23" s="159">
        <f t="shared" si="28"/>
        <v>0</v>
      </c>
      <c r="T23" s="159">
        <f t="shared" si="29"/>
        <v>0</v>
      </c>
    </row>
    <row r="24" spans="1:21" ht="14.45" x14ac:dyDescent="0.3">
      <c r="B24" s="124" t="s">
        <v>30</v>
      </c>
      <c r="L24" s="124">
        <v>2015</v>
      </c>
      <c r="M24" s="124">
        <v>2016</v>
      </c>
      <c r="N24" s="124">
        <f t="shared" ref="N24:T24" si="30">M24+1</f>
        <v>2017</v>
      </c>
      <c r="O24" s="124">
        <f t="shared" si="30"/>
        <v>2018</v>
      </c>
      <c r="P24" s="124">
        <f t="shared" si="30"/>
        <v>2019</v>
      </c>
      <c r="Q24" s="124">
        <f t="shared" si="30"/>
        <v>2020</v>
      </c>
      <c r="R24" s="124">
        <f t="shared" si="30"/>
        <v>2021</v>
      </c>
      <c r="S24" s="124">
        <f t="shared" si="30"/>
        <v>2022</v>
      </c>
      <c r="T24" s="124">
        <f t="shared" si="30"/>
        <v>2023</v>
      </c>
      <c r="U24" s="124" t="s">
        <v>283</v>
      </c>
    </row>
    <row r="25" spans="1:21" ht="14.45" x14ac:dyDescent="0.3">
      <c r="A25" s="163" t="s">
        <v>284</v>
      </c>
      <c r="B25" s="157">
        <f>SUM(B21:B23,B4:B19)</f>
        <v>227026736</v>
      </c>
      <c r="G25" s="15"/>
      <c r="H25" s="15"/>
      <c r="I25" s="15"/>
      <c r="J25" s="15"/>
      <c r="K25" s="168" t="s">
        <v>307</v>
      </c>
      <c r="L25" s="159">
        <f t="shared" ref="L25:T25" si="31">SUM(L21:L23,L4:L19)</f>
        <v>6450000</v>
      </c>
      <c r="M25" s="159">
        <f t="shared" si="31"/>
        <v>7775000</v>
      </c>
      <c r="N25" s="159">
        <f t="shared" si="31"/>
        <v>3901500</v>
      </c>
      <c r="O25" s="159">
        <f t="shared" si="31"/>
        <v>28621163.118787877</v>
      </c>
      <c r="P25" s="159">
        <f t="shared" si="31"/>
        <v>35746420.324242413</v>
      </c>
      <c r="Q25" s="159">
        <f t="shared" si="31"/>
        <v>44099620.32424242</v>
      </c>
      <c r="R25" s="159">
        <f t="shared" si="31"/>
        <v>35746420.324242413</v>
      </c>
      <c r="S25" s="159">
        <f t="shared" si="31"/>
        <v>30275533.824242428</v>
      </c>
      <c r="T25" s="159">
        <f t="shared" si="31"/>
        <v>34411078.084242426</v>
      </c>
      <c r="U25" s="166">
        <f>SUM(L25:T25)</f>
        <v>227026735.99999997</v>
      </c>
    </row>
    <row r="26" spans="1:21" ht="14.45" x14ac:dyDescent="0.3">
      <c r="A26" s="163" t="s">
        <v>275</v>
      </c>
      <c r="B26" s="157">
        <v>22738000</v>
      </c>
      <c r="C26" t="s">
        <v>304</v>
      </c>
      <c r="G26" s="15"/>
      <c r="H26" s="15"/>
      <c r="I26" s="15"/>
      <c r="J26" s="15"/>
      <c r="K26" s="168" t="s">
        <v>308</v>
      </c>
      <c r="L26" s="70">
        <f t="shared" ref="L26:T26" si="32">L25/$U$25</f>
        <v>2.8410750705590907E-2</v>
      </c>
      <c r="M26" s="70">
        <f t="shared" si="32"/>
        <v>3.4247067711002992E-2</v>
      </c>
      <c r="N26" s="70">
        <f t="shared" si="32"/>
        <v>1.7185200601219058E-2</v>
      </c>
      <c r="O26" s="70">
        <f t="shared" si="32"/>
        <v>0.12606957058479615</v>
      </c>
      <c r="P26" s="70">
        <f t="shared" si="32"/>
        <v>0.15745467231772392</v>
      </c>
      <c r="Q26" s="70">
        <f t="shared" si="32"/>
        <v>0.19424857662686226</v>
      </c>
      <c r="R26" s="70">
        <f t="shared" si="32"/>
        <v>0.15745467231772392</v>
      </c>
      <c r="S26" s="70">
        <f t="shared" si="32"/>
        <v>0.1333566889859282</v>
      </c>
      <c r="T26" s="70">
        <f t="shared" si="32"/>
        <v>0.15157280014915261</v>
      </c>
    </row>
    <row r="27" spans="1:21" ht="14.45" x14ac:dyDescent="0.3">
      <c r="A27" s="163" t="s">
        <v>285</v>
      </c>
      <c r="B27" s="157">
        <f>SUM(B25:B26)</f>
        <v>249764736</v>
      </c>
      <c r="D27" s="147" t="s">
        <v>305</v>
      </c>
      <c r="L27" s="124">
        <v>2015</v>
      </c>
      <c r="M27" s="124">
        <v>2016</v>
      </c>
      <c r="N27" s="124">
        <f t="shared" ref="N27:T27" si="33">M27+1</f>
        <v>2017</v>
      </c>
      <c r="O27" s="124">
        <f t="shared" si="33"/>
        <v>2018</v>
      </c>
      <c r="P27" s="124">
        <f t="shared" si="33"/>
        <v>2019</v>
      </c>
      <c r="Q27" s="124">
        <f t="shared" si="33"/>
        <v>2020</v>
      </c>
      <c r="R27" s="124">
        <f t="shared" si="33"/>
        <v>2021</v>
      </c>
      <c r="S27" s="124">
        <f t="shared" si="33"/>
        <v>2022</v>
      </c>
      <c r="T27" s="124">
        <f t="shared" si="33"/>
        <v>2023</v>
      </c>
      <c r="U27" s="124" t="s">
        <v>283</v>
      </c>
    </row>
    <row r="28" spans="1:21" ht="14.45" x14ac:dyDescent="0.3">
      <c r="G28" s="15"/>
      <c r="H28" s="15"/>
      <c r="I28" s="15"/>
      <c r="J28" s="15"/>
      <c r="K28" s="125" t="s">
        <v>280</v>
      </c>
      <c r="L28" s="159">
        <f>L25</f>
        <v>6450000</v>
      </c>
      <c r="M28" s="159">
        <f>M25/(1.03)</f>
        <v>7548543.6893203883</v>
      </c>
      <c r="N28" s="159">
        <f t="shared" ref="N28:T28" si="34">N25/1.03^(N3-2015)</f>
        <v>3677537.9394853427</v>
      </c>
      <c r="O28" s="159">
        <f t="shared" si="34"/>
        <v>26192418.709144991</v>
      </c>
      <c r="P28" s="159">
        <f t="shared" si="34"/>
        <v>31760231.467439529</v>
      </c>
      <c r="Q28" s="159">
        <f t="shared" si="34"/>
        <v>38040719.879697934</v>
      </c>
      <c r="R28" s="159">
        <f t="shared" si="34"/>
        <v>29937064.254349634</v>
      </c>
      <c r="S28" s="159">
        <f t="shared" si="34"/>
        <v>24616779.553880103</v>
      </c>
      <c r="T28" s="159">
        <f t="shared" si="34"/>
        <v>27164422.802398868</v>
      </c>
      <c r="U28" s="166">
        <f>SUM(L28:T28)</f>
        <v>195387718.29571676</v>
      </c>
    </row>
    <row r="29" spans="1:21" ht="14.45" x14ac:dyDescent="0.3">
      <c r="G29" s="15"/>
      <c r="H29" s="15"/>
      <c r="I29" s="15"/>
      <c r="J29" s="15"/>
      <c r="K29" s="125" t="s">
        <v>281</v>
      </c>
      <c r="L29" s="159">
        <f>L25</f>
        <v>6450000</v>
      </c>
      <c r="M29" s="159">
        <f>M25/1.07</f>
        <v>7266355.1401869152</v>
      </c>
      <c r="N29" s="159">
        <f t="shared" ref="N29:T29" si="35">N25/1.07^(N3-2015)</f>
        <v>3407721.1983579351</v>
      </c>
      <c r="O29" s="159">
        <f t="shared" si="35"/>
        <v>23363394.688013297</v>
      </c>
      <c r="P29" s="159">
        <f t="shared" si="35"/>
        <v>27270772.913202882</v>
      </c>
      <c r="Q29" s="159">
        <f t="shared" si="35"/>
        <v>31442419.811661936</v>
      </c>
      <c r="R29" s="159">
        <f t="shared" si="35"/>
        <v>23819349.212335471</v>
      </c>
      <c r="S29" s="159">
        <f t="shared" si="35"/>
        <v>18854080.874465179</v>
      </c>
      <c r="T29" s="159">
        <f t="shared" si="35"/>
        <v>20027560.742927551</v>
      </c>
      <c r="U29" s="166">
        <f>SUM(L29:T29)</f>
        <v>161901654.58115116</v>
      </c>
    </row>
    <row r="30" spans="1:21" x14ac:dyDescent="0.25">
      <c r="B30" s="192"/>
    </row>
    <row r="31" spans="1:21" x14ac:dyDescent="0.25">
      <c r="B31" s="192"/>
    </row>
    <row r="32" spans="1:21" x14ac:dyDescent="0.25">
      <c r="B32" s="192"/>
    </row>
    <row r="39" spans="1:18" x14ac:dyDescent="0.25">
      <c r="O39" s="151"/>
      <c r="P39" s="151"/>
      <c r="Q39" s="151"/>
      <c r="R39" s="151"/>
    </row>
    <row r="40" spans="1:18" x14ac:dyDescent="0.25">
      <c r="O40" s="151"/>
      <c r="P40" s="151"/>
      <c r="Q40" s="151"/>
      <c r="R40" s="151"/>
    </row>
    <row r="41" spans="1:18" x14ac:dyDescent="0.25">
      <c r="A41" s="151"/>
      <c r="O41" s="151"/>
      <c r="P41" s="151"/>
      <c r="Q41" s="151"/>
      <c r="R41" s="151"/>
    </row>
    <row r="42" spans="1:18" x14ac:dyDescent="0.25">
      <c r="A42" s="151"/>
      <c r="O42" s="151"/>
      <c r="P42" s="151"/>
      <c r="Q42" s="151"/>
      <c r="R42" s="151"/>
    </row>
    <row r="43" spans="1:18" x14ac:dyDescent="0.25">
      <c r="A43" s="151"/>
      <c r="O43" s="151"/>
      <c r="P43" s="151"/>
      <c r="Q43" s="151"/>
      <c r="R43" s="151"/>
    </row>
    <row r="44" spans="1:18" x14ac:dyDescent="0.25">
      <c r="A44" s="151"/>
      <c r="O44" s="151"/>
      <c r="P44" s="151"/>
      <c r="Q44" s="151"/>
      <c r="R44" s="151"/>
    </row>
    <row r="45" spans="1:18" x14ac:dyDescent="0.25">
      <c r="A45" s="151"/>
      <c r="O45" s="151"/>
      <c r="P45" s="151"/>
      <c r="Q45" s="151"/>
      <c r="R45" s="151"/>
    </row>
    <row r="46" spans="1:18" x14ac:dyDescent="0.25">
      <c r="A46" s="151"/>
      <c r="O46" s="151"/>
      <c r="P46" s="151"/>
      <c r="Q46" s="151"/>
      <c r="R46" s="151"/>
    </row>
    <row r="47" spans="1:18" x14ac:dyDescent="0.25">
      <c r="A47" s="151"/>
      <c r="O47" s="151"/>
    </row>
    <row r="48" spans="1:18" x14ac:dyDescent="0.25">
      <c r="A48" s="151"/>
      <c r="O48" s="151"/>
    </row>
    <row r="49" spans="1:1" x14ac:dyDescent="0.25">
      <c r="A49" s="151"/>
    </row>
    <row r="50" spans="1:1" x14ac:dyDescent="0.25">
      <c r="A50" s="151"/>
    </row>
    <row r="51" spans="1:1" x14ac:dyDescent="0.25">
      <c r="A51" s="151"/>
    </row>
    <row r="52" spans="1:1" x14ac:dyDescent="0.25">
      <c r="A52" s="151"/>
    </row>
    <row r="53" spans="1:1" x14ac:dyDescent="0.25">
      <c r="A53" s="151"/>
    </row>
    <row r="54" spans="1:1" x14ac:dyDescent="0.25">
      <c r="A54" s="151"/>
    </row>
    <row r="55" spans="1:1" x14ac:dyDescent="0.25">
      <c r="A55" s="151"/>
    </row>
    <row r="56" spans="1:1" x14ac:dyDescent="0.25">
      <c r="A56" s="151"/>
    </row>
    <row r="57" spans="1:1" x14ac:dyDescent="0.25">
      <c r="A57" s="151"/>
    </row>
    <row r="58" spans="1:1" x14ac:dyDescent="0.25">
      <c r="A58" s="151"/>
    </row>
    <row r="59" spans="1:1" x14ac:dyDescent="0.25">
      <c r="A59" s="151"/>
    </row>
    <row r="60" spans="1:1" x14ac:dyDescent="0.25">
      <c r="A60" s="151"/>
    </row>
    <row r="61" spans="1:1" x14ac:dyDescent="0.25">
      <c r="A61" s="151"/>
    </row>
    <row r="62" spans="1:1" x14ac:dyDescent="0.25">
      <c r="A62" s="151"/>
    </row>
    <row r="63" spans="1:1" x14ac:dyDescent="0.25">
      <c r="A63" s="151"/>
    </row>
    <row r="64" spans="1:1" x14ac:dyDescent="0.25">
      <c r="A64" s="151"/>
    </row>
    <row r="65" spans="1:1" x14ac:dyDescent="0.25">
      <c r="A65" s="151"/>
    </row>
  </sheetData>
  <mergeCells count="1">
    <mergeCell ref="C2:K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111"/>
  <sheetViews>
    <sheetView zoomScale="70" zoomScaleNormal="70" workbookViewId="0">
      <selection activeCell="C39" sqref="C39:C64"/>
    </sheetView>
  </sheetViews>
  <sheetFormatPr defaultRowHeight="15" x14ac:dyDescent="0.25"/>
  <cols>
    <col min="1" max="40" width="12.7109375" customWidth="1"/>
    <col min="42" max="42" width="14" customWidth="1"/>
  </cols>
  <sheetData>
    <row r="1" spans="2:5" s="147" customFormat="1" ht="14.45" x14ac:dyDescent="0.3"/>
    <row r="2" spans="2:5" s="147" customFormat="1" ht="14.45" x14ac:dyDescent="0.3">
      <c r="B2" s="143" t="s">
        <v>334</v>
      </c>
    </row>
    <row r="3" spans="2:5" s="147" customFormat="1" ht="14.45" x14ac:dyDescent="0.3">
      <c r="B3" s="147" t="s">
        <v>331</v>
      </c>
    </row>
    <row r="4" spans="2:5" s="147" customFormat="1" ht="14.45" x14ac:dyDescent="0.3">
      <c r="B4" s="147" t="s">
        <v>332</v>
      </c>
    </row>
    <row r="5" spans="2:5" s="147" customFormat="1" ht="14.45" x14ac:dyDescent="0.3">
      <c r="B5" s="147" t="s">
        <v>333</v>
      </c>
    </row>
    <row r="6" spans="2:5" s="147" customFormat="1" ht="14.45" x14ac:dyDescent="0.3">
      <c r="B6" s="147" t="s">
        <v>335</v>
      </c>
    </row>
    <row r="7" spans="2:5" s="147" customFormat="1" ht="14.45" x14ac:dyDescent="0.3"/>
    <row r="8" spans="2:5" s="147" customFormat="1" ht="14.45" x14ac:dyDescent="0.3">
      <c r="B8" s="16" t="s">
        <v>41</v>
      </c>
      <c r="C8" s="201" t="s">
        <v>52</v>
      </c>
      <c r="D8" s="201"/>
      <c r="E8" s="201"/>
    </row>
    <row r="9" spans="2:5" s="147" customFormat="1" ht="14.45" x14ac:dyDescent="0.3">
      <c r="B9" s="185" t="s">
        <v>31</v>
      </c>
      <c r="C9" s="64">
        <v>1.1000000000000001</v>
      </c>
      <c r="D9" s="147" t="s">
        <v>394</v>
      </c>
    </row>
    <row r="10" spans="2:5" ht="14.45" x14ac:dyDescent="0.3">
      <c r="B10" s="15" t="s">
        <v>53</v>
      </c>
      <c r="C10" s="64">
        <v>1.2</v>
      </c>
      <c r="D10" s="147" t="s">
        <v>130</v>
      </c>
    </row>
    <row r="11" spans="2:5" ht="14.45" x14ac:dyDescent="0.3">
      <c r="B11" s="15" t="s">
        <v>54</v>
      </c>
      <c r="C11" s="64">
        <v>1.6</v>
      </c>
      <c r="D11" s="147" t="s">
        <v>130</v>
      </c>
    </row>
    <row r="12" spans="2:5" ht="14.45" x14ac:dyDescent="0.3">
      <c r="C12" s="43"/>
      <c r="D12" s="43"/>
      <c r="E12" s="43"/>
    </row>
    <row r="13" spans="2:5" ht="14.45" x14ac:dyDescent="0.3">
      <c r="B13" s="16" t="s">
        <v>41</v>
      </c>
      <c r="C13" s="201" t="s">
        <v>301</v>
      </c>
      <c r="D13" s="201"/>
      <c r="E13" s="201"/>
    </row>
    <row r="14" spans="2:5" ht="14.45" x14ac:dyDescent="0.3">
      <c r="B14" s="15" t="s">
        <v>53</v>
      </c>
      <c r="C14" s="173">
        <v>30.77981680760405</v>
      </c>
      <c r="D14" s="148" t="s">
        <v>300</v>
      </c>
    </row>
    <row r="15" spans="2:5" ht="14.45" x14ac:dyDescent="0.3">
      <c r="B15" s="15" t="s">
        <v>54</v>
      </c>
      <c r="C15" s="173">
        <v>16.885644095638181</v>
      </c>
      <c r="D15" s="148" t="s">
        <v>297</v>
      </c>
    </row>
    <row r="16" spans="2:5" ht="14.45" x14ac:dyDescent="0.3">
      <c r="B16" s="15" t="s">
        <v>55</v>
      </c>
      <c r="C16" s="174">
        <v>28.981000000000002</v>
      </c>
      <c r="D16" s="148" t="s">
        <v>298</v>
      </c>
    </row>
    <row r="17" spans="2:7" ht="14.45" x14ac:dyDescent="0.3">
      <c r="B17" s="15" t="s">
        <v>294</v>
      </c>
      <c r="C17" s="174">
        <v>1.59</v>
      </c>
      <c r="D17" s="148" t="s">
        <v>303</v>
      </c>
    </row>
    <row r="18" spans="2:7" s="147" customFormat="1" ht="14.45" x14ac:dyDescent="0.3">
      <c r="B18" s="148" t="s">
        <v>302</v>
      </c>
      <c r="C18" s="176"/>
      <c r="D18" s="148"/>
    </row>
    <row r="19" spans="2:7" s="147" customFormat="1" ht="14.45" x14ac:dyDescent="0.3">
      <c r="B19" s="16" t="s">
        <v>41</v>
      </c>
      <c r="C19" s="201" t="s">
        <v>299</v>
      </c>
      <c r="D19" s="201"/>
      <c r="E19" s="201"/>
    </row>
    <row r="20" spans="2:7" ht="14.45" x14ac:dyDescent="0.3">
      <c r="B20" s="15" t="s">
        <v>53</v>
      </c>
      <c r="C20" s="173">
        <f>C14</f>
        <v>30.77981680760405</v>
      </c>
      <c r="D20" s="148" t="s">
        <v>296</v>
      </c>
    </row>
    <row r="21" spans="2:7" ht="14.45" x14ac:dyDescent="0.3">
      <c r="B21" s="15" t="s">
        <v>54</v>
      </c>
      <c r="C21" s="173">
        <f>C15</f>
        <v>16.885644095638181</v>
      </c>
      <c r="D21" s="148" t="s">
        <v>296</v>
      </c>
    </row>
    <row r="22" spans="2:7" ht="14.45" x14ac:dyDescent="0.3">
      <c r="B22" s="15" t="s">
        <v>228</v>
      </c>
      <c r="C22" s="174">
        <f>C17*24.05+C16</f>
        <v>67.220500000000001</v>
      </c>
      <c r="D22" s="175" t="s">
        <v>295</v>
      </c>
    </row>
    <row r="24" spans="2:7" s="147" customFormat="1" ht="15" customHeight="1" x14ac:dyDescent="0.3">
      <c r="B24" s="16" t="s">
        <v>42</v>
      </c>
      <c r="C24" s="205" t="s">
        <v>313</v>
      </c>
      <c r="D24" s="205"/>
      <c r="E24" s="205"/>
      <c r="F24"/>
      <c r="G24"/>
    </row>
    <row r="25" spans="2:7" s="147" customFormat="1" ht="14.45" x14ac:dyDescent="0.3">
      <c r="B25" s="15" t="s">
        <v>196</v>
      </c>
      <c r="C25" s="173">
        <v>5.0283331871032697</v>
      </c>
      <c r="D25" t="s">
        <v>312</v>
      </c>
      <c r="E25"/>
      <c r="F25"/>
      <c r="G25"/>
    </row>
    <row r="26" spans="2:7" s="147" customFormat="1" ht="14.45" x14ac:dyDescent="0.3">
      <c r="B26" s="15" t="s">
        <v>15</v>
      </c>
      <c r="C26" s="173">
        <v>22.563047409057599</v>
      </c>
      <c r="D26" t="s">
        <v>311</v>
      </c>
      <c r="E26"/>
      <c r="F26"/>
      <c r="G26"/>
    </row>
    <row r="27" spans="2:7" s="147" customFormat="1" ht="14.45" x14ac:dyDescent="0.3">
      <c r="B27"/>
      <c r="C27"/>
      <c r="D27"/>
      <c r="E27"/>
      <c r="F27"/>
      <c r="G27"/>
    </row>
    <row r="28" spans="2:7" s="147" customFormat="1" ht="15" customHeight="1" x14ac:dyDescent="0.3">
      <c r="B28" s="16" t="s">
        <v>42</v>
      </c>
      <c r="C28" s="205" t="s">
        <v>309</v>
      </c>
      <c r="D28" s="205"/>
      <c r="E28" s="205"/>
      <c r="F28"/>
      <c r="G28"/>
    </row>
    <row r="29" spans="2:7" s="147" customFormat="1" ht="14.45" x14ac:dyDescent="0.3">
      <c r="B29" s="15" t="s">
        <v>196</v>
      </c>
      <c r="C29" s="173">
        <v>1.8634259259999999</v>
      </c>
      <c r="D29" t="s">
        <v>314</v>
      </c>
      <c r="E29"/>
      <c r="F29"/>
      <c r="G29"/>
    </row>
    <row r="30" spans="2:7" ht="14.45" x14ac:dyDescent="0.3">
      <c r="B30" s="15" t="s">
        <v>15</v>
      </c>
      <c r="C30" s="173">
        <v>9.84375</v>
      </c>
      <c r="D30" s="147" t="s">
        <v>314</v>
      </c>
    </row>
    <row r="31" spans="2:7" s="147" customFormat="1" ht="14.45" x14ac:dyDescent="0.3">
      <c r="B31"/>
      <c r="C31"/>
      <c r="D31"/>
      <c r="E31"/>
      <c r="F31"/>
      <c r="G31"/>
    </row>
    <row r="32" spans="2:7" s="147" customFormat="1" ht="14.45" x14ac:dyDescent="0.3">
      <c r="B32" s="16" t="s">
        <v>316</v>
      </c>
      <c r="C32" s="205" t="s">
        <v>310</v>
      </c>
      <c r="D32" s="205"/>
      <c r="E32" s="205"/>
      <c r="F32"/>
      <c r="G32"/>
    </row>
    <row r="33" spans="2:42" s="147" customFormat="1" ht="14.45" x14ac:dyDescent="0.3">
      <c r="B33" s="15" t="s">
        <v>202</v>
      </c>
      <c r="C33" s="88">
        <v>3.5467</v>
      </c>
      <c r="D33" t="s">
        <v>315</v>
      </c>
      <c r="E33"/>
      <c r="F33"/>
      <c r="G33"/>
    </row>
    <row r="34" spans="2:42" s="147" customFormat="1" ht="14.45" x14ac:dyDescent="0.3">
      <c r="B34" s="15" t="s">
        <v>201</v>
      </c>
      <c r="C34" s="64">
        <v>4.0069999999999997</v>
      </c>
      <c r="D34" s="147" t="s">
        <v>315</v>
      </c>
      <c r="E34"/>
      <c r="F34"/>
      <c r="G34"/>
    </row>
    <row r="36" spans="2:42" ht="15" customHeight="1" x14ac:dyDescent="0.3">
      <c r="B36" s="205" t="s">
        <v>241</v>
      </c>
      <c r="C36" s="205"/>
      <c r="D36" s="205"/>
      <c r="E36" s="205"/>
      <c r="F36" s="205"/>
      <c r="G36" s="205"/>
      <c r="H36" s="205"/>
      <c r="I36" s="205"/>
      <c r="J36" s="205"/>
      <c r="K36" s="205"/>
      <c r="L36" s="205"/>
      <c r="M36" s="205"/>
      <c r="N36" s="205"/>
      <c r="O36" s="205"/>
      <c r="P36" s="205"/>
      <c r="Q36" s="205"/>
      <c r="R36" s="205"/>
      <c r="S36" s="122"/>
      <c r="T36" s="205" t="s">
        <v>242</v>
      </c>
      <c r="U36" s="205"/>
      <c r="V36" s="205"/>
      <c r="W36" s="205"/>
      <c r="X36" s="205"/>
      <c r="Y36" s="205"/>
      <c r="Z36" s="205"/>
      <c r="AA36" s="205"/>
      <c r="AB36" s="205"/>
      <c r="AC36" s="205"/>
      <c r="AD36" s="205"/>
      <c r="AE36" s="122"/>
      <c r="AF36" s="205" t="s">
        <v>243</v>
      </c>
      <c r="AG36" s="205"/>
      <c r="AH36" s="205"/>
      <c r="AI36" s="205"/>
      <c r="AJ36" s="205"/>
      <c r="AK36" s="205"/>
      <c r="AL36" s="205"/>
      <c r="AM36" s="205"/>
      <c r="AN36" s="205"/>
      <c r="AO36" s="205"/>
      <c r="AP36" s="205"/>
    </row>
    <row r="37" spans="2:42" ht="30" customHeight="1" x14ac:dyDescent="0.3">
      <c r="B37" s="74"/>
      <c r="C37" s="205" t="s">
        <v>185</v>
      </c>
      <c r="D37" s="205"/>
      <c r="E37" s="205"/>
      <c r="F37" s="205" t="s">
        <v>186</v>
      </c>
      <c r="G37" s="205"/>
      <c r="H37" s="205"/>
      <c r="I37" s="205" t="s">
        <v>187</v>
      </c>
      <c r="J37" s="205"/>
      <c r="K37" s="205"/>
      <c r="L37" s="205"/>
      <c r="M37" s="205" t="s">
        <v>224</v>
      </c>
      <c r="N37" s="205"/>
      <c r="O37" s="205"/>
      <c r="P37" s="205" t="s">
        <v>225</v>
      </c>
      <c r="Q37" s="205"/>
      <c r="R37" s="205"/>
      <c r="S37" s="122"/>
      <c r="T37" s="74"/>
      <c r="U37" s="206" t="s">
        <v>185</v>
      </c>
      <c r="V37" s="206"/>
      <c r="W37" s="206"/>
      <c r="X37" s="206" t="s">
        <v>186</v>
      </c>
      <c r="Y37" s="206"/>
      <c r="Z37" s="206"/>
      <c r="AA37" s="206" t="s">
        <v>187</v>
      </c>
      <c r="AB37" s="206"/>
      <c r="AC37" s="206"/>
      <c r="AD37" s="206"/>
      <c r="AE37" s="122"/>
      <c r="AF37" s="74"/>
      <c r="AG37" s="206" t="s">
        <v>185</v>
      </c>
      <c r="AH37" s="206"/>
      <c r="AI37" s="206"/>
      <c r="AJ37" s="206" t="s">
        <v>186</v>
      </c>
      <c r="AK37" s="206"/>
      <c r="AL37" s="206"/>
      <c r="AM37" s="206" t="s">
        <v>187</v>
      </c>
      <c r="AN37" s="206"/>
      <c r="AO37" s="206"/>
      <c r="AP37" s="206"/>
    </row>
    <row r="38" spans="2:42" ht="28.9" x14ac:dyDescent="0.3">
      <c r="B38" s="74" t="s">
        <v>82</v>
      </c>
      <c r="C38" s="74" t="s">
        <v>190</v>
      </c>
      <c r="D38" s="74" t="s">
        <v>227</v>
      </c>
      <c r="E38" s="74" t="s">
        <v>191</v>
      </c>
      <c r="F38" s="74" t="s">
        <v>190</v>
      </c>
      <c r="G38" s="117" t="s">
        <v>227</v>
      </c>
      <c r="H38" s="74" t="s">
        <v>191</v>
      </c>
      <c r="I38" s="74" t="s">
        <v>190</v>
      </c>
      <c r="J38" s="74" t="s">
        <v>192</v>
      </c>
      <c r="K38" s="74" t="s">
        <v>191</v>
      </c>
      <c r="L38" s="74" t="s">
        <v>222</v>
      </c>
      <c r="M38" s="117" t="s">
        <v>223</v>
      </c>
      <c r="N38" s="117" t="s">
        <v>220</v>
      </c>
      <c r="O38" s="117" t="s">
        <v>221</v>
      </c>
      <c r="P38" s="117" t="s">
        <v>223</v>
      </c>
      <c r="Q38" s="117" t="s">
        <v>220</v>
      </c>
      <c r="R38" s="117" t="s">
        <v>221</v>
      </c>
      <c r="S38" s="122"/>
      <c r="T38" s="74" t="s">
        <v>82</v>
      </c>
      <c r="U38" s="74" t="s">
        <v>190</v>
      </c>
      <c r="V38" s="117" t="s">
        <v>227</v>
      </c>
      <c r="W38" s="74" t="s">
        <v>191</v>
      </c>
      <c r="X38" s="74" t="s">
        <v>190</v>
      </c>
      <c r="Y38" s="117" t="s">
        <v>227</v>
      </c>
      <c r="Z38" s="74" t="s">
        <v>191</v>
      </c>
      <c r="AA38" s="74" t="s">
        <v>190</v>
      </c>
      <c r="AB38" s="74" t="s">
        <v>192</v>
      </c>
      <c r="AC38" s="74" t="s">
        <v>191</v>
      </c>
      <c r="AD38" s="117" t="s">
        <v>222</v>
      </c>
      <c r="AE38" s="122"/>
      <c r="AF38" s="74" t="s">
        <v>82</v>
      </c>
      <c r="AG38" s="74" t="s">
        <v>190</v>
      </c>
      <c r="AH38" s="117" t="s">
        <v>227</v>
      </c>
      <c r="AI38" s="74" t="s">
        <v>191</v>
      </c>
      <c r="AJ38" s="74" t="s">
        <v>190</v>
      </c>
      <c r="AK38" s="117" t="s">
        <v>227</v>
      </c>
      <c r="AL38" s="74" t="s">
        <v>191</v>
      </c>
      <c r="AM38" s="74" t="s">
        <v>190</v>
      </c>
      <c r="AN38" s="74" t="s">
        <v>192</v>
      </c>
      <c r="AO38" s="74" t="s">
        <v>191</v>
      </c>
      <c r="AP38" s="117" t="s">
        <v>222</v>
      </c>
    </row>
    <row r="39" spans="2:42" ht="14.45" x14ac:dyDescent="0.3">
      <c r="B39" s="15">
        <v>2018</v>
      </c>
      <c r="C39" s="120">
        <f t="shared" ref="C39:C64" si="0">SUM(U39,AG39)</f>
        <v>-45504</v>
      </c>
      <c r="D39" s="120">
        <f t="shared" ref="D39:D64" si="1">SUM(V39,AH39)</f>
        <v>-144420</v>
      </c>
      <c r="E39" s="120">
        <f t="shared" ref="E39:E64" si="2">SUM(W39,AI39)</f>
        <v>-31239</v>
      </c>
      <c r="F39" s="120">
        <f t="shared" ref="F39:F64" si="3">SUM(X39,AJ39)</f>
        <v>-760747</v>
      </c>
      <c r="G39" s="120">
        <f t="shared" ref="G39:G64" si="4">SUM(Y39,AK39)</f>
        <v>-1766505</v>
      </c>
      <c r="H39" s="120">
        <f t="shared" ref="H39:H64" si="5">SUM(Z39,AL39)</f>
        <v>-286573</v>
      </c>
      <c r="I39" s="120">
        <f t="shared" ref="I39:I64" si="6">SUM(AA39,AM39)</f>
        <v>-786248</v>
      </c>
      <c r="J39" s="120">
        <f t="shared" ref="J39:J64" si="7">SUM(AB39,AN39)</f>
        <v>-404213</v>
      </c>
      <c r="K39" s="120">
        <f t="shared" ref="K39:K64" si="8">SUM(AC39,AO39)</f>
        <v>-227620</v>
      </c>
      <c r="L39" s="120">
        <f t="shared" ref="L39:L64" si="9">SUM(AD39,AP39)</f>
        <v>-1004222</v>
      </c>
      <c r="M39" s="155">
        <f>SUM(C39:K39)</f>
        <v>-4453069</v>
      </c>
      <c r="N39" s="155">
        <f>M39/1.03^(B39-2015)</f>
        <v>-4075188.9538741149</v>
      </c>
      <c r="O39" s="155">
        <f>M39/1.07^(B39-2015)</f>
        <v>-3635030.7703484693</v>
      </c>
      <c r="P39" s="155">
        <f t="shared" ref="P39:P64" si="10">SUM(C39:L39)</f>
        <v>-5457291</v>
      </c>
      <c r="Q39" s="155">
        <f>P39/1.03^(B39-2015)</f>
        <v>-4994194.3413130632</v>
      </c>
      <c r="R39" s="155">
        <f>P39/1.07^(B39-2015)</f>
        <v>-4454775.0568755539</v>
      </c>
      <c r="T39" s="15">
        <v>2018</v>
      </c>
      <c r="U39" s="119">
        <v>-38812</v>
      </c>
      <c r="V39" s="119">
        <v>-123182</v>
      </c>
      <c r="W39" s="119">
        <v>-25916</v>
      </c>
      <c r="X39" s="119">
        <v>-648953</v>
      </c>
      <c r="Y39" s="119">
        <v>-1506912</v>
      </c>
      <c r="Z39" s="119">
        <v>-237774</v>
      </c>
      <c r="AA39" s="119">
        <v>-622116</v>
      </c>
      <c r="AB39" s="119">
        <v>-319832</v>
      </c>
      <c r="AC39" s="119">
        <v>-173249</v>
      </c>
      <c r="AD39" s="119">
        <v>-807840</v>
      </c>
      <c r="AF39" s="15">
        <v>2018</v>
      </c>
      <c r="AG39" s="119">
        <v>-6692</v>
      </c>
      <c r="AH39" s="119">
        <v>-21238</v>
      </c>
      <c r="AI39" s="119">
        <v>-5323</v>
      </c>
      <c r="AJ39" s="119">
        <v>-111794</v>
      </c>
      <c r="AK39" s="119">
        <v>-259593</v>
      </c>
      <c r="AL39" s="119">
        <v>-48799</v>
      </c>
      <c r="AM39" s="119">
        <v>-164132</v>
      </c>
      <c r="AN39" s="119">
        <v>-84381</v>
      </c>
      <c r="AO39" s="119">
        <v>-54371</v>
      </c>
      <c r="AP39" s="119">
        <v>-196382</v>
      </c>
    </row>
    <row r="40" spans="2:42" ht="14.45" x14ac:dyDescent="0.3">
      <c r="B40" s="15">
        <v>2019</v>
      </c>
      <c r="C40" s="120">
        <f t="shared" si="0"/>
        <v>-46089</v>
      </c>
      <c r="D40" s="120">
        <f t="shared" si="1"/>
        <v>-146277</v>
      </c>
      <c r="E40" s="120">
        <f t="shared" si="2"/>
        <v>-31743</v>
      </c>
      <c r="F40" s="120">
        <f t="shared" si="3"/>
        <v>-770542</v>
      </c>
      <c r="G40" s="120">
        <f t="shared" si="4"/>
        <v>-1789251</v>
      </c>
      <c r="H40" s="120">
        <f t="shared" si="5"/>
        <v>-291201</v>
      </c>
      <c r="I40" s="120">
        <f t="shared" si="6"/>
        <v>-795171</v>
      </c>
      <c r="J40" s="120">
        <f t="shared" si="7"/>
        <v>-408800</v>
      </c>
      <c r="K40" s="120">
        <f t="shared" si="8"/>
        <v>-229515</v>
      </c>
      <c r="L40" s="120">
        <f t="shared" si="9"/>
        <v>-1015631</v>
      </c>
      <c r="M40" s="155">
        <f t="shared" ref="M40:M64" si="11">SUM(C40:K40)</f>
        <v>-4508589</v>
      </c>
      <c r="N40" s="155">
        <f t="shared" ref="N40:N64" si="12">M40/1.03^(B40-2015)</f>
        <v>-4005822.9308751482</v>
      </c>
      <c r="O40" s="155">
        <f t="shared" ref="O40:O64" si="13">M40/1.07^(B40-2015)</f>
        <v>-3439580.9611901399</v>
      </c>
      <c r="P40" s="155">
        <f t="shared" si="10"/>
        <v>-5524220</v>
      </c>
      <c r="Q40" s="155">
        <f t="shared" ref="Q40:Q64" si="14">P40/1.03^(B40-2015)</f>
        <v>-4908197.9198368071</v>
      </c>
      <c r="R40" s="155">
        <f t="shared" ref="R40:R64" si="15">P40/1.07^(B40-2015)</f>
        <v>-4214400.9882971793</v>
      </c>
      <c r="T40" s="15">
        <v>2019</v>
      </c>
      <c r="U40" s="119">
        <v>-39327</v>
      </c>
      <c r="V40" s="119">
        <v>-124815</v>
      </c>
      <c r="W40" s="119">
        <v>-26371</v>
      </c>
      <c r="X40" s="119">
        <v>-657559</v>
      </c>
      <c r="Y40" s="119">
        <v>-1526897</v>
      </c>
      <c r="Z40" s="119">
        <v>-241954</v>
      </c>
      <c r="AA40" s="119">
        <v>-629302</v>
      </c>
      <c r="AB40" s="119">
        <v>-323526</v>
      </c>
      <c r="AC40" s="119">
        <v>-174647</v>
      </c>
      <c r="AD40" s="119">
        <v>-817172</v>
      </c>
      <c r="AF40" s="15">
        <v>2019</v>
      </c>
      <c r="AG40" s="119">
        <v>-6762</v>
      </c>
      <c r="AH40" s="119">
        <v>-21462</v>
      </c>
      <c r="AI40" s="119">
        <v>-5372</v>
      </c>
      <c r="AJ40" s="119">
        <v>-112983</v>
      </c>
      <c r="AK40" s="119">
        <v>-262354</v>
      </c>
      <c r="AL40" s="119">
        <v>-49247</v>
      </c>
      <c r="AM40" s="119">
        <v>-165869</v>
      </c>
      <c r="AN40" s="119">
        <v>-85274</v>
      </c>
      <c r="AO40" s="119">
        <v>-54868</v>
      </c>
      <c r="AP40" s="119">
        <v>-198459</v>
      </c>
    </row>
    <row r="41" spans="2:42" ht="14.45" x14ac:dyDescent="0.3">
      <c r="B41" s="15">
        <v>2020</v>
      </c>
      <c r="C41" s="120">
        <f t="shared" si="0"/>
        <v>-46682</v>
      </c>
      <c r="D41" s="120">
        <f t="shared" si="1"/>
        <v>-148158</v>
      </c>
      <c r="E41" s="120">
        <f t="shared" si="2"/>
        <v>-32254</v>
      </c>
      <c r="F41" s="120">
        <f t="shared" si="3"/>
        <v>-780465</v>
      </c>
      <c r="G41" s="120">
        <f t="shared" si="4"/>
        <v>-1812294</v>
      </c>
      <c r="H41" s="120">
        <f t="shared" si="5"/>
        <v>-295903</v>
      </c>
      <c r="I41" s="120">
        <f t="shared" si="6"/>
        <v>-804194</v>
      </c>
      <c r="J41" s="120">
        <f t="shared" si="7"/>
        <v>-413439</v>
      </c>
      <c r="K41" s="120">
        <f t="shared" si="8"/>
        <v>-231423</v>
      </c>
      <c r="L41" s="120">
        <f t="shared" si="9"/>
        <v>-1027170</v>
      </c>
      <c r="M41" s="155">
        <f t="shared" si="11"/>
        <v>-4564812</v>
      </c>
      <c r="N41" s="155">
        <f t="shared" si="12"/>
        <v>-3937646.9302622448</v>
      </c>
      <c r="O41" s="155">
        <f t="shared" si="13"/>
        <v>-3254647.8679412031</v>
      </c>
      <c r="P41" s="155">
        <f t="shared" si="10"/>
        <v>-5591982</v>
      </c>
      <c r="Q41" s="155">
        <f t="shared" si="14"/>
        <v>-4823692.7953181267</v>
      </c>
      <c r="R41" s="155">
        <f t="shared" si="15"/>
        <v>-3987005.8819214427</v>
      </c>
      <c r="T41" s="15">
        <v>2020</v>
      </c>
      <c r="U41" s="119">
        <v>-39848</v>
      </c>
      <c r="V41" s="119">
        <v>-126469</v>
      </c>
      <c r="W41" s="119">
        <v>-26834</v>
      </c>
      <c r="X41" s="119">
        <v>-666280</v>
      </c>
      <c r="Y41" s="119">
        <v>-1547148</v>
      </c>
      <c r="Z41" s="119">
        <v>-246204</v>
      </c>
      <c r="AA41" s="119">
        <v>-636571</v>
      </c>
      <c r="AB41" s="119">
        <v>-327263</v>
      </c>
      <c r="AC41" s="119">
        <v>-176054</v>
      </c>
      <c r="AD41" s="119">
        <v>-826611</v>
      </c>
      <c r="AF41" s="15">
        <v>2020</v>
      </c>
      <c r="AG41" s="119">
        <v>-6834</v>
      </c>
      <c r="AH41" s="119">
        <v>-21689</v>
      </c>
      <c r="AI41" s="119">
        <v>-5420</v>
      </c>
      <c r="AJ41" s="119">
        <v>-114185</v>
      </c>
      <c r="AK41" s="119">
        <v>-265146</v>
      </c>
      <c r="AL41" s="119">
        <v>-49699</v>
      </c>
      <c r="AM41" s="119">
        <v>-167623</v>
      </c>
      <c r="AN41" s="119">
        <v>-86176</v>
      </c>
      <c r="AO41" s="119">
        <v>-55369</v>
      </c>
      <c r="AP41" s="119">
        <v>-200559</v>
      </c>
    </row>
    <row r="42" spans="2:42" ht="14.45" x14ac:dyDescent="0.3">
      <c r="B42" s="15">
        <v>2021</v>
      </c>
      <c r="C42" s="120">
        <f t="shared" si="0"/>
        <v>-47283</v>
      </c>
      <c r="D42" s="120">
        <f t="shared" si="1"/>
        <v>-150064</v>
      </c>
      <c r="E42" s="120">
        <f t="shared" si="2"/>
        <v>-32775</v>
      </c>
      <c r="F42" s="120">
        <f t="shared" si="3"/>
        <v>-790516</v>
      </c>
      <c r="G42" s="120">
        <f t="shared" si="4"/>
        <v>-1835633</v>
      </c>
      <c r="H42" s="120">
        <f t="shared" si="5"/>
        <v>-300680</v>
      </c>
      <c r="I42" s="120">
        <f t="shared" si="6"/>
        <v>-813321</v>
      </c>
      <c r="J42" s="120">
        <f t="shared" si="7"/>
        <v>-418131</v>
      </c>
      <c r="K42" s="120">
        <f t="shared" si="8"/>
        <v>-233344</v>
      </c>
      <c r="L42" s="120">
        <f t="shared" si="9"/>
        <v>-1038839</v>
      </c>
      <c r="M42" s="155">
        <f t="shared" si="11"/>
        <v>-4621747</v>
      </c>
      <c r="N42" s="155">
        <f t="shared" si="12"/>
        <v>-3870640.3508749097</v>
      </c>
      <c r="O42" s="155">
        <f t="shared" si="13"/>
        <v>-3079665.1738972953</v>
      </c>
      <c r="P42" s="155">
        <f t="shared" si="10"/>
        <v>-5660586</v>
      </c>
      <c r="Q42" s="155">
        <f t="shared" si="14"/>
        <v>-4740651.658603901</v>
      </c>
      <c r="R42" s="155">
        <f t="shared" si="15"/>
        <v>-3771887.4633446173</v>
      </c>
      <c r="T42" s="15">
        <v>2021</v>
      </c>
      <c r="U42" s="119">
        <v>-40377</v>
      </c>
      <c r="V42" s="119">
        <v>-128146</v>
      </c>
      <c r="W42" s="119">
        <v>-27305</v>
      </c>
      <c r="X42" s="119">
        <v>-675116</v>
      </c>
      <c r="Y42" s="119">
        <v>-1567666</v>
      </c>
      <c r="Z42" s="119">
        <v>-250524</v>
      </c>
      <c r="AA42" s="119">
        <v>-643924</v>
      </c>
      <c r="AB42" s="119">
        <v>-331044</v>
      </c>
      <c r="AC42" s="119">
        <v>-177470</v>
      </c>
      <c r="AD42" s="119">
        <v>-836159</v>
      </c>
      <c r="AF42" s="15">
        <v>2021</v>
      </c>
      <c r="AG42" s="119">
        <v>-6906</v>
      </c>
      <c r="AH42" s="119">
        <v>-21918</v>
      </c>
      <c r="AI42" s="119">
        <v>-5470</v>
      </c>
      <c r="AJ42" s="119">
        <v>-115400</v>
      </c>
      <c r="AK42" s="119">
        <v>-267967</v>
      </c>
      <c r="AL42" s="119">
        <v>-50156</v>
      </c>
      <c r="AM42" s="119">
        <v>-169397</v>
      </c>
      <c r="AN42" s="119">
        <v>-87087</v>
      </c>
      <c r="AO42" s="119">
        <v>-55874</v>
      </c>
      <c r="AP42" s="119">
        <v>-202680</v>
      </c>
    </row>
    <row r="43" spans="2:42" ht="14.45" x14ac:dyDescent="0.3">
      <c r="B43" s="15">
        <v>2022</v>
      </c>
      <c r="C43" s="120">
        <f t="shared" si="0"/>
        <v>-47891</v>
      </c>
      <c r="D43" s="120">
        <f t="shared" si="1"/>
        <v>-151994</v>
      </c>
      <c r="E43" s="120">
        <f t="shared" si="2"/>
        <v>-33303</v>
      </c>
      <c r="F43" s="120">
        <f t="shared" si="3"/>
        <v>-800698</v>
      </c>
      <c r="G43" s="120">
        <f t="shared" si="4"/>
        <v>-1859275</v>
      </c>
      <c r="H43" s="120">
        <f t="shared" si="5"/>
        <v>-305531</v>
      </c>
      <c r="I43" s="120">
        <f t="shared" si="6"/>
        <v>-822550</v>
      </c>
      <c r="J43" s="120">
        <f t="shared" si="7"/>
        <v>-422877</v>
      </c>
      <c r="K43" s="120">
        <f t="shared" si="8"/>
        <v>-235279</v>
      </c>
      <c r="L43" s="120">
        <f t="shared" si="9"/>
        <v>-1050642</v>
      </c>
      <c r="M43" s="155">
        <f t="shared" si="11"/>
        <v>-4679398</v>
      </c>
      <c r="N43" s="155">
        <f t="shared" si="12"/>
        <v>-3804778.7919970667</v>
      </c>
      <c r="O43" s="155">
        <f t="shared" si="13"/>
        <v>-2914093.8966752719</v>
      </c>
      <c r="P43" s="155">
        <f t="shared" si="10"/>
        <v>-5730040</v>
      </c>
      <c r="Q43" s="155">
        <f t="shared" si="14"/>
        <v>-4659046.8836578708</v>
      </c>
      <c r="R43" s="155">
        <f t="shared" si="15"/>
        <v>-3568380.9309883825</v>
      </c>
      <c r="T43" s="15">
        <v>2022</v>
      </c>
      <c r="U43" s="119">
        <v>-40912</v>
      </c>
      <c r="V43" s="119">
        <v>-129845</v>
      </c>
      <c r="W43" s="119">
        <v>-27783</v>
      </c>
      <c r="X43" s="119">
        <v>-684070</v>
      </c>
      <c r="Y43" s="119">
        <v>-1588457</v>
      </c>
      <c r="Z43" s="119">
        <v>-254915</v>
      </c>
      <c r="AA43" s="119">
        <v>-651362</v>
      </c>
      <c r="AB43" s="119">
        <v>-334868</v>
      </c>
      <c r="AC43" s="119">
        <v>-178895</v>
      </c>
      <c r="AD43" s="119">
        <v>-845818</v>
      </c>
      <c r="AF43" s="15">
        <v>2022</v>
      </c>
      <c r="AG43" s="119">
        <v>-6979</v>
      </c>
      <c r="AH43" s="119">
        <v>-22149</v>
      </c>
      <c r="AI43" s="119">
        <v>-5520</v>
      </c>
      <c r="AJ43" s="119">
        <v>-116628</v>
      </c>
      <c r="AK43" s="119">
        <v>-270818</v>
      </c>
      <c r="AL43" s="119">
        <v>-50616</v>
      </c>
      <c r="AM43" s="119">
        <v>-171188</v>
      </c>
      <c r="AN43" s="119">
        <v>-88009</v>
      </c>
      <c r="AO43" s="119">
        <v>-56384</v>
      </c>
      <c r="AP43" s="119">
        <v>-204824</v>
      </c>
    </row>
    <row r="44" spans="2:42" ht="14.45" x14ac:dyDescent="0.3">
      <c r="B44" s="15">
        <v>2023</v>
      </c>
      <c r="C44" s="120">
        <f t="shared" si="0"/>
        <v>-48507</v>
      </c>
      <c r="D44" s="120">
        <f t="shared" si="1"/>
        <v>-153949</v>
      </c>
      <c r="E44" s="120">
        <f t="shared" si="2"/>
        <v>-33840</v>
      </c>
      <c r="F44" s="120">
        <f t="shared" si="3"/>
        <v>-811011</v>
      </c>
      <c r="G44" s="120">
        <f t="shared" si="4"/>
        <v>-1883221</v>
      </c>
      <c r="H44" s="120">
        <f t="shared" si="5"/>
        <v>-310460</v>
      </c>
      <c r="I44" s="120">
        <f t="shared" si="6"/>
        <v>-831885</v>
      </c>
      <c r="J44" s="120">
        <f t="shared" si="7"/>
        <v>-427676</v>
      </c>
      <c r="K44" s="120">
        <f t="shared" si="8"/>
        <v>-237227</v>
      </c>
      <c r="L44" s="120">
        <f t="shared" si="9"/>
        <v>-1062579</v>
      </c>
      <c r="M44" s="155">
        <f t="shared" si="11"/>
        <v>-4737776</v>
      </c>
      <c r="N44" s="155">
        <f t="shared" si="12"/>
        <v>-3740044.1245109416</v>
      </c>
      <c r="O44" s="155">
        <f t="shared" si="13"/>
        <v>-2757428.7673897296</v>
      </c>
      <c r="P44" s="155">
        <f t="shared" si="10"/>
        <v>-5800355</v>
      </c>
      <c r="Q44" s="155">
        <f t="shared" si="14"/>
        <v>-4578853.7992990091</v>
      </c>
      <c r="R44" s="155">
        <f t="shared" si="15"/>
        <v>-3375859.4197093435</v>
      </c>
      <c r="T44" s="15">
        <v>2023</v>
      </c>
      <c r="U44" s="119">
        <v>-41454</v>
      </c>
      <c r="V44" s="119">
        <v>-131566</v>
      </c>
      <c r="W44" s="119">
        <v>-28270</v>
      </c>
      <c r="X44" s="119">
        <v>-693142</v>
      </c>
      <c r="Y44" s="119">
        <v>-1609522</v>
      </c>
      <c r="Z44" s="119">
        <v>-259379</v>
      </c>
      <c r="AA44" s="119">
        <v>-658886</v>
      </c>
      <c r="AB44" s="119">
        <v>-338736</v>
      </c>
      <c r="AC44" s="119">
        <v>-180328</v>
      </c>
      <c r="AD44" s="119">
        <v>-855588</v>
      </c>
      <c r="AF44" s="15">
        <v>2023</v>
      </c>
      <c r="AG44" s="119">
        <v>-7053</v>
      </c>
      <c r="AH44" s="119">
        <v>-22383</v>
      </c>
      <c r="AI44" s="119">
        <v>-5570</v>
      </c>
      <c r="AJ44" s="119">
        <v>-117869</v>
      </c>
      <c r="AK44" s="119">
        <v>-273699</v>
      </c>
      <c r="AL44" s="119">
        <v>-51081</v>
      </c>
      <c r="AM44" s="119">
        <v>-172999</v>
      </c>
      <c r="AN44" s="119">
        <v>-88940</v>
      </c>
      <c r="AO44" s="119">
        <v>-56899</v>
      </c>
      <c r="AP44" s="119">
        <v>-206991</v>
      </c>
    </row>
    <row r="45" spans="2:42" ht="14.45" x14ac:dyDescent="0.3">
      <c r="B45" s="15">
        <v>2024</v>
      </c>
      <c r="C45" s="120">
        <f t="shared" si="0"/>
        <v>307916</v>
      </c>
      <c r="D45" s="120">
        <f t="shared" si="1"/>
        <v>977253</v>
      </c>
      <c r="E45" s="120">
        <f t="shared" si="2"/>
        <v>909670</v>
      </c>
      <c r="F45" s="120">
        <f t="shared" si="3"/>
        <v>4713933</v>
      </c>
      <c r="G45" s="120">
        <f t="shared" si="4"/>
        <v>10946071</v>
      </c>
      <c r="H45" s="120">
        <f t="shared" si="5"/>
        <v>7064775</v>
      </c>
      <c r="I45" s="120">
        <f t="shared" si="6"/>
        <v>3265224</v>
      </c>
      <c r="J45" s="120">
        <f t="shared" si="7"/>
        <v>1678663</v>
      </c>
      <c r="K45" s="120">
        <f t="shared" si="8"/>
        <v>4002628</v>
      </c>
      <c r="L45" s="120">
        <f t="shared" si="9"/>
        <v>4225714</v>
      </c>
      <c r="M45" s="155">
        <f t="shared" si="11"/>
        <v>33866133</v>
      </c>
      <c r="N45" s="155">
        <f t="shared" si="12"/>
        <v>25955570.990974672</v>
      </c>
      <c r="O45" s="155">
        <f t="shared" si="13"/>
        <v>18420932.469542522</v>
      </c>
      <c r="P45" s="155">
        <f t="shared" si="10"/>
        <v>38091847</v>
      </c>
      <c r="Q45" s="155">
        <f t="shared" si="14"/>
        <v>29194228.90667339</v>
      </c>
      <c r="R45" s="155">
        <f t="shared" si="15"/>
        <v>20719440.900652751</v>
      </c>
      <c r="T45" s="15">
        <v>2024</v>
      </c>
      <c r="U45" s="119">
        <v>299176</v>
      </c>
      <c r="V45" s="119">
        <v>949514</v>
      </c>
      <c r="W45" s="119">
        <v>861610</v>
      </c>
      <c r="X45" s="119">
        <v>4573359</v>
      </c>
      <c r="Y45" s="119">
        <v>10619648</v>
      </c>
      <c r="Z45" s="119">
        <v>6677420</v>
      </c>
      <c r="AA45" s="119">
        <v>3125088</v>
      </c>
      <c r="AB45" s="119">
        <v>1606619</v>
      </c>
      <c r="AC45" s="119">
        <v>3750364</v>
      </c>
      <c r="AD45" s="119">
        <v>4058044</v>
      </c>
      <c r="AF45" s="15">
        <v>2024</v>
      </c>
      <c r="AG45" s="119">
        <v>8740</v>
      </c>
      <c r="AH45" s="119">
        <v>27739</v>
      </c>
      <c r="AI45" s="119">
        <v>48060</v>
      </c>
      <c r="AJ45" s="119">
        <v>140574</v>
      </c>
      <c r="AK45" s="119">
        <v>326423</v>
      </c>
      <c r="AL45" s="119">
        <v>387355</v>
      </c>
      <c r="AM45" s="119">
        <v>140136</v>
      </c>
      <c r="AN45" s="119">
        <v>72044</v>
      </c>
      <c r="AO45" s="119">
        <v>252264</v>
      </c>
      <c r="AP45" s="119">
        <v>167670</v>
      </c>
    </row>
    <row r="46" spans="2:42" ht="14.45" x14ac:dyDescent="0.3">
      <c r="B46" s="15">
        <v>2025</v>
      </c>
      <c r="C46" s="120">
        <f t="shared" si="0"/>
        <v>318692</v>
      </c>
      <c r="D46" s="120">
        <f t="shared" si="1"/>
        <v>1011455</v>
      </c>
      <c r="E46" s="120">
        <f t="shared" si="2"/>
        <v>931260</v>
      </c>
      <c r="F46" s="120">
        <f t="shared" si="3"/>
        <v>4873821</v>
      </c>
      <c r="G46" s="120">
        <f t="shared" si="4"/>
        <v>11317342</v>
      </c>
      <c r="H46" s="120">
        <f t="shared" si="5"/>
        <v>7238363</v>
      </c>
      <c r="I46" s="120">
        <f t="shared" si="6"/>
        <v>3378326</v>
      </c>
      <c r="J46" s="120">
        <f t="shared" si="7"/>
        <v>1736810</v>
      </c>
      <c r="K46" s="120">
        <f t="shared" si="8"/>
        <v>4097071</v>
      </c>
      <c r="L46" s="120">
        <f t="shared" si="9"/>
        <v>4372003</v>
      </c>
      <c r="M46" s="155">
        <f t="shared" si="11"/>
        <v>34903140</v>
      </c>
      <c r="N46" s="155">
        <f t="shared" si="12"/>
        <v>25971214.084788486</v>
      </c>
      <c r="O46" s="155">
        <f t="shared" si="13"/>
        <v>17742986.512278955</v>
      </c>
      <c r="P46" s="155">
        <f t="shared" si="10"/>
        <v>39275143</v>
      </c>
      <c r="Q46" s="155">
        <f t="shared" si="14"/>
        <v>29224394.912998714</v>
      </c>
      <c r="R46" s="155">
        <f t="shared" si="15"/>
        <v>19965491.142539818</v>
      </c>
      <c r="T46" s="15">
        <v>2025</v>
      </c>
      <c r="U46" s="119">
        <v>309627</v>
      </c>
      <c r="V46" s="119">
        <v>982685</v>
      </c>
      <c r="W46" s="119">
        <v>882576</v>
      </c>
      <c r="X46" s="119">
        <v>4728163</v>
      </c>
      <c r="Y46" s="119">
        <v>10979114</v>
      </c>
      <c r="Z46" s="119">
        <v>6845865</v>
      </c>
      <c r="AA46" s="119">
        <v>3232534</v>
      </c>
      <c r="AB46" s="119">
        <v>1661858</v>
      </c>
      <c r="AC46" s="119">
        <v>3841090</v>
      </c>
      <c r="AD46" s="119">
        <v>4197566</v>
      </c>
      <c r="AF46" s="15">
        <v>2025</v>
      </c>
      <c r="AG46" s="119">
        <v>9065</v>
      </c>
      <c r="AH46" s="119">
        <v>28770</v>
      </c>
      <c r="AI46" s="119">
        <v>48684</v>
      </c>
      <c r="AJ46" s="119">
        <v>145658</v>
      </c>
      <c r="AK46" s="119">
        <v>338228</v>
      </c>
      <c r="AL46" s="119">
        <v>392498</v>
      </c>
      <c r="AM46" s="119">
        <v>145792</v>
      </c>
      <c r="AN46" s="119">
        <v>74952</v>
      </c>
      <c r="AO46" s="119">
        <v>255981</v>
      </c>
      <c r="AP46" s="119">
        <v>174437</v>
      </c>
    </row>
    <row r="47" spans="2:42" ht="14.45" x14ac:dyDescent="0.3">
      <c r="B47" s="15">
        <v>2026</v>
      </c>
      <c r="C47" s="120">
        <f t="shared" si="0"/>
        <v>329703</v>
      </c>
      <c r="D47" s="120">
        <f t="shared" si="1"/>
        <v>1046400</v>
      </c>
      <c r="E47" s="120">
        <f t="shared" si="2"/>
        <v>953281</v>
      </c>
      <c r="F47" s="120">
        <f t="shared" si="3"/>
        <v>5037222</v>
      </c>
      <c r="G47" s="120">
        <f t="shared" si="4"/>
        <v>11696770</v>
      </c>
      <c r="H47" s="120">
        <f t="shared" si="5"/>
        <v>7415524</v>
      </c>
      <c r="I47" s="120">
        <f t="shared" si="6"/>
        <v>3493865</v>
      </c>
      <c r="J47" s="120">
        <f t="shared" si="7"/>
        <v>1796209</v>
      </c>
      <c r="K47" s="120">
        <f t="shared" si="8"/>
        <v>4193390</v>
      </c>
      <c r="L47" s="120">
        <f t="shared" si="9"/>
        <v>4521448</v>
      </c>
      <c r="M47" s="155">
        <f t="shared" si="11"/>
        <v>35962364</v>
      </c>
      <c r="N47" s="155">
        <f t="shared" si="12"/>
        <v>25979976.910389371</v>
      </c>
      <c r="O47" s="155">
        <f t="shared" si="13"/>
        <v>17085460.077468276</v>
      </c>
      <c r="P47" s="155">
        <f t="shared" si="10"/>
        <v>40483812</v>
      </c>
      <c r="Q47" s="155">
        <f t="shared" si="14"/>
        <v>29246367.146624293</v>
      </c>
      <c r="R47" s="155">
        <f t="shared" si="15"/>
        <v>19233567.451509338</v>
      </c>
      <c r="T47" s="15">
        <v>2026</v>
      </c>
      <c r="U47" s="119">
        <v>320308</v>
      </c>
      <c r="V47" s="119">
        <v>1016582</v>
      </c>
      <c r="W47" s="119">
        <v>903965</v>
      </c>
      <c r="X47" s="119">
        <v>4886393</v>
      </c>
      <c r="Y47" s="119">
        <v>11346535</v>
      </c>
      <c r="Z47" s="119">
        <v>7017818</v>
      </c>
      <c r="AA47" s="119">
        <v>3342316</v>
      </c>
      <c r="AB47" s="119">
        <v>1718297</v>
      </c>
      <c r="AC47" s="119">
        <v>3933643</v>
      </c>
      <c r="AD47" s="119">
        <v>4340122</v>
      </c>
      <c r="AF47" s="15">
        <v>2026</v>
      </c>
      <c r="AG47" s="119">
        <v>9395</v>
      </c>
      <c r="AH47" s="119">
        <v>29818</v>
      </c>
      <c r="AI47" s="119">
        <v>49316</v>
      </c>
      <c r="AJ47" s="119">
        <v>150829</v>
      </c>
      <c r="AK47" s="119">
        <v>350235</v>
      </c>
      <c r="AL47" s="119">
        <v>397706</v>
      </c>
      <c r="AM47" s="119">
        <v>151549</v>
      </c>
      <c r="AN47" s="119">
        <v>77912</v>
      </c>
      <c r="AO47" s="119">
        <v>259747</v>
      </c>
      <c r="AP47" s="119">
        <v>181326</v>
      </c>
    </row>
    <row r="48" spans="2:42" ht="14.45" x14ac:dyDescent="0.3">
      <c r="B48" s="15">
        <v>2027</v>
      </c>
      <c r="C48" s="120">
        <f t="shared" si="0"/>
        <v>340952</v>
      </c>
      <c r="D48" s="120">
        <f t="shared" si="1"/>
        <v>1082103</v>
      </c>
      <c r="E48" s="120">
        <f t="shared" si="2"/>
        <v>975740</v>
      </c>
      <c r="F48" s="120">
        <f t="shared" si="3"/>
        <v>5204206</v>
      </c>
      <c r="G48" s="120">
        <f t="shared" si="4"/>
        <v>12084518</v>
      </c>
      <c r="H48" s="120">
        <f t="shared" si="5"/>
        <v>7596328</v>
      </c>
      <c r="I48" s="120">
        <f t="shared" si="6"/>
        <v>3611888</v>
      </c>
      <c r="J48" s="120">
        <f t="shared" si="7"/>
        <v>1856885</v>
      </c>
      <c r="K48" s="120">
        <f t="shared" si="8"/>
        <v>4291624</v>
      </c>
      <c r="L48" s="120">
        <f t="shared" si="9"/>
        <v>4674108</v>
      </c>
      <c r="M48" s="155">
        <f t="shared" si="11"/>
        <v>37044244</v>
      </c>
      <c r="N48" s="155">
        <f t="shared" si="12"/>
        <v>25982087.418559268</v>
      </c>
      <c r="O48" s="155">
        <f t="shared" si="13"/>
        <v>16448087.357031852</v>
      </c>
      <c r="P48" s="155">
        <f t="shared" si="10"/>
        <v>41718352</v>
      </c>
      <c r="Q48" s="155">
        <f t="shared" si="14"/>
        <v>29260412.727608286</v>
      </c>
      <c r="R48" s="155">
        <f t="shared" si="15"/>
        <v>18523447.207814649</v>
      </c>
      <c r="T48" s="15">
        <v>2027</v>
      </c>
      <c r="U48" s="119">
        <v>331221</v>
      </c>
      <c r="V48" s="119">
        <v>1051218</v>
      </c>
      <c r="W48" s="119">
        <v>925785</v>
      </c>
      <c r="X48" s="119">
        <v>5048117</v>
      </c>
      <c r="Y48" s="119">
        <v>11722069</v>
      </c>
      <c r="Z48" s="119">
        <v>7193348</v>
      </c>
      <c r="AA48" s="119">
        <v>3454479</v>
      </c>
      <c r="AB48" s="119">
        <v>1775960</v>
      </c>
      <c r="AC48" s="119">
        <v>4028059</v>
      </c>
      <c r="AD48" s="119">
        <v>4485770</v>
      </c>
      <c r="AF48" s="15">
        <v>2027</v>
      </c>
      <c r="AG48" s="119">
        <v>9731</v>
      </c>
      <c r="AH48" s="119">
        <v>30885</v>
      </c>
      <c r="AI48" s="119">
        <v>49955</v>
      </c>
      <c r="AJ48" s="119">
        <v>156089</v>
      </c>
      <c r="AK48" s="119">
        <v>362449</v>
      </c>
      <c r="AL48" s="119">
        <v>402980</v>
      </c>
      <c r="AM48" s="119">
        <v>157409</v>
      </c>
      <c r="AN48" s="119">
        <v>80925</v>
      </c>
      <c r="AO48" s="119">
        <v>263565</v>
      </c>
      <c r="AP48" s="119">
        <v>188338</v>
      </c>
    </row>
    <row r="49" spans="2:42" ht="14.45" x14ac:dyDescent="0.3">
      <c r="B49" s="15">
        <v>2028</v>
      </c>
      <c r="C49" s="120">
        <f t="shared" si="0"/>
        <v>352445</v>
      </c>
      <c r="D49" s="120">
        <f t="shared" si="1"/>
        <v>1118579</v>
      </c>
      <c r="E49" s="120">
        <f t="shared" si="2"/>
        <v>998648</v>
      </c>
      <c r="F49" s="120">
        <f t="shared" si="3"/>
        <v>5374841</v>
      </c>
      <c r="G49" s="120">
        <f t="shared" si="4"/>
        <v>12480744</v>
      </c>
      <c r="H49" s="120">
        <f t="shared" si="5"/>
        <v>7780844</v>
      </c>
      <c r="I49" s="120">
        <f t="shared" si="6"/>
        <v>3732443</v>
      </c>
      <c r="J49" s="120">
        <f t="shared" si="7"/>
        <v>1918862</v>
      </c>
      <c r="K49" s="120">
        <f t="shared" si="8"/>
        <v>4391805</v>
      </c>
      <c r="L49" s="120">
        <f t="shared" si="9"/>
        <v>4830044</v>
      </c>
      <c r="M49" s="155">
        <f t="shared" si="11"/>
        <v>38149211</v>
      </c>
      <c r="N49" s="155">
        <f t="shared" si="12"/>
        <v>25977756.350132484</v>
      </c>
      <c r="O49" s="155">
        <f t="shared" si="13"/>
        <v>15830566.279998327</v>
      </c>
      <c r="P49" s="155">
        <f t="shared" si="10"/>
        <v>42979255</v>
      </c>
      <c r="Q49" s="155">
        <f t="shared" si="14"/>
        <v>29266781.284158491</v>
      </c>
      <c r="R49" s="155">
        <f t="shared" si="15"/>
        <v>17834862.821735669</v>
      </c>
      <c r="T49" s="15">
        <v>2028</v>
      </c>
      <c r="U49" s="119">
        <v>342372</v>
      </c>
      <c r="V49" s="119">
        <v>1086609</v>
      </c>
      <c r="W49" s="119">
        <v>948045</v>
      </c>
      <c r="X49" s="119">
        <v>5213402</v>
      </c>
      <c r="Y49" s="119">
        <v>12105872</v>
      </c>
      <c r="Z49" s="119">
        <v>7372524</v>
      </c>
      <c r="AA49" s="119">
        <v>3569069</v>
      </c>
      <c r="AB49" s="119">
        <v>1834871</v>
      </c>
      <c r="AC49" s="119">
        <v>4124372</v>
      </c>
      <c r="AD49" s="119">
        <v>4634569</v>
      </c>
      <c r="AF49" s="15">
        <v>2028</v>
      </c>
      <c r="AG49" s="119">
        <v>10073</v>
      </c>
      <c r="AH49" s="119">
        <v>31970</v>
      </c>
      <c r="AI49" s="119">
        <v>50603</v>
      </c>
      <c r="AJ49" s="119">
        <v>161439</v>
      </c>
      <c r="AK49" s="119">
        <v>374872</v>
      </c>
      <c r="AL49" s="119">
        <v>408320</v>
      </c>
      <c r="AM49" s="119">
        <v>163374</v>
      </c>
      <c r="AN49" s="119">
        <v>83991</v>
      </c>
      <c r="AO49" s="119">
        <v>267433</v>
      </c>
      <c r="AP49" s="119">
        <v>195475</v>
      </c>
    </row>
    <row r="50" spans="2:42" ht="14.45" x14ac:dyDescent="0.3">
      <c r="B50" s="15">
        <v>2029</v>
      </c>
      <c r="C50" s="120">
        <f t="shared" si="0"/>
        <v>364186</v>
      </c>
      <c r="D50" s="120">
        <f t="shared" si="1"/>
        <v>1155841</v>
      </c>
      <c r="E50" s="120">
        <f t="shared" si="2"/>
        <v>1022010</v>
      </c>
      <c r="F50" s="120">
        <f t="shared" si="3"/>
        <v>5549200</v>
      </c>
      <c r="G50" s="120">
        <f t="shared" si="4"/>
        <v>12885618</v>
      </c>
      <c r="H50" s="120">
        <f t="shared" si="5"/>
        <v>7969144</v>
      </c>
      <c r="I50" s="120">
        <f t="shared" si="6"/>
        <v>3855578</v>
      </c>
      <c r="J50" s="120">
        <f t="shared" si="7"/>
        <v>1982166</v>
      </c>
      <c r="K50" s="120">
        <f t="shared" si="8"/>
        <v>4493974</v>
      </c>
      <c r="L50" s="120">
        <f t="shared" si="9"/>
        <v>4989319</v>
      </c>
      <c r="M50" s="155">
        <f t="shared" si="11"/>
        <v>39277717</v>
      </c>
      <c r="N50" s="155">
        <f t="shared" si="12"/>
        <v>25967198.08060468</v>
      </c>
      <c r="O50" s="155">
        <f t="shared" si="13"/>
        <v>15232575.84039928</v>
      </c>
      <c r="P50" s="155">
        <f t="shared" si="10"/>
        <v>44267036</v>
      </c>
      <c r="Q50" s="155">
        <f t="shared" si="14"/>
        <v>29265725.710413828</v>
      </c>
      <c r="R50" s="155">
        <f t="shared" si="15"/>
        <v>17167519.769534599</v>
      </c>
      <c r="T50" s="15">
        <v>2029</v>
      </c>
      <c r="U50" s="119">
        <v>353765</v>
      </c>
      <c r="V50" s="119">
        <v>1122768</v>
      </c>
      <c r="W50" s="119">
        <v>970752</v>
      </c>
      <c r="X50" s="119">
        <v>5382320</v>
      </c>
      <c r="Y50" s="119">
        <v>12498111</v>
      </c>
      <c r="Z50" s="119">
        <v>7555416</v>
      </c>
      <c r="AA50" s="119">
        <v>3686133</v>
      </c>
      <c r="AB50" s="119">
        <v>1895054</v>
      </c>
      <c r="AC50" s="119">
        <v>4222620</v>
      </c>
      <c r="AD50" s="119">
        <v>4786581</v>
      </c>
      <c r="AF50" s="15">
        <v>2029</v>
      </c>
      <c r="AG50" s="119">
        <v>10421</v>
      </c>
      <c r="AH50" s="119">
        <v>33073</v>
      </c>
      <c r="AI50" s="119">
        <v>51258</v>
      </c>
      <c r="AJ50" s="119">
        <v>166880</v>
      </c>
      <c r="AK50" s="119">
        <v>387507</v>
      </c>
      <c r="AL50" s="119">
        <v>413728</v>
      </c>
      <c r="AM50" s="119">
        <v>169445</v>
      </c>
      <c r="AN50" s="119">
        <v>87112</v>
      </c>
      <c r="AO50" s="119">
        <v>271354</v>
      </c>
      <c r="AP50" s="119">
        <v>202738</v>
      </c>
    </row>
    <row r="51" spans="2:42" ht="14.45" x14ac:dyDescent="0.3">
      <c r="B51" s="15">
        <v>2030</v>
      </c>
      <c r="C51" s="120">
        <f t="shared" si="0"/>
        <v>376179</v>
      </c>
      <c r="D51" s="120">
        <f t="shared" si="1"/>
        <v>1193906</v>
      </c>
      <c r="E51" s="120">
        <f t="shared" si="2"/>
        <v>1045838</v>
      </c>
      <c r="F51" s="120">
        <f t="shared" si="3"/>
        <v>5727356</v>
      </c>
      <c r="G51" s="120">
        <f t="shared" si="4"/>
        <v>13299306</v>
      </c>
      <c r="H51" s="120">
        <f t="shared" si="5"/>
        <v>8161302</v>
      </c>
      <c r="I51" s="120">
        <f t="shared" si="6"/>
        <v>3981342</v>
      </c>
      <c r="J51" s="120">
        <f t="shared" si="7"/>
        <v>2046823</v>
      </c>
      <c r="K51" s="120">
        <f t="shared" si="8"/>
        <v>4598165</v>
      </c>
      <c r="L51" s="120">
        <f t="shared" si="9"/>
        <v>5151998</v>
      </c>
      <c r="M51" s="155">
        <f t="shared" si="11"/>
        <v>40430217</v>
      </c>
      <c r="N51" s="155">
        <f t="shared" si="12"/>
        <v>25950617.817291882</v>
      </c>
      <c r="O51" s="155">
        <f t="shared" si="13"/>
        <v>14653771.224926865</v>
      </c>
      <c r="P51" s="155">
        <f t="shared" si="10"/>
        <v>45582215</v>
      </c>
      <c r="Q51" s="155">
        <f t="shared" si="14"/>
        <v>29257489.286555875</v>
      </c>
      <c r="R51" s="155">
        <f t="shared" si="15"/>
        <v>16521092.393232262</v>
      </c>
      <c r="T51" s="15">
        <v>2030</v>
      </c>
      <c r="U51" s="119">
        <v>365405</v>
      </c>
      <c r="V51" s="119">
        <v>1159711</v>
      </c>
      <c r="W51" s="119">
        <v>993916</v>
      </c>
      <c r="X51" s="119">
        <v>5554942</v>
      </c>
      <c r="Y51" s="119">
        <v>12898949</v>
      </c>
      <c r="Z51" s="119">
        <v>7742099</v>
      </c>
      <c r="AA51" s="119">
        <v>3805718</v>
      </c>
      <c r="AB51" s="119">
        <v>1956534</v>
      </c>
      <c r="AC51" s="119">
        <v>4322838</v>
      </c>
      <c r="AD51" s="119">
        <v>4941867</v>
      </c>
      <c r="AF51" s="15">
        <v>2030</v>
      </c>
      <c r="AG51" s="119">
        <v>10774</v>
      </c>
      <c r="AH51" s="119">
        <v>34195</v>
      </c>
      <c r="AI51" s="119">
        <v>51922</v>
      </c>
      <c r="AJ51" s="119">
        <v>172414</v>
      </c>
      <c r="AK51" s="119">
        <v>400357</v>
      </c>
      <c r="AL51" s="119">
        <v>419203</v>
      </c>
      <c r="AM51" s="119">
        <v>175624</v>
      </c>
      <c r="AN51" s="119">
        <v>90289</v>
      </c>
      <c r="AO51" s="119">
        <v>275327</v>
      </c>
      <c r="AP51" s="119">
        <v>210131</v>
      </c>
    </row>
    <row r="52" spans="2:42" ht="14.45" x14ac:dyDescent="0.3">
      <c r="B52" s="15">
        <v>2031</v>
      </c>
      <c r="C52" s="120">
        <f t="shared" si="0"/>
        <v>388431</v>
      </c>
      <c r="D52" s="120">
        <f t="shared" si="1"/>
        <v>1232788</v>
      </c>
      <c r="E52" s="120">
        <f t="shared" si="2"/>
        <v>1070139</v>
      </c>
      <c r="F52" s="120">
        <f t="shared" si="3"/>
        <v>5909382</v>
      </c>
      <c r="G52" s="120">
        <f t="shared" si="4"/>
        <v>13721983</v>
      </c>
      <c r="H52" s="120">
        <f t="shared" si="5"/>
        <v>8357394</v>
      </c>
      <c r="I52" s="120">
        <f t="shared" si="6"/>
        <v>4109785</v>
      </c>
      <c r="J52" s="120">
        <f t="shared" si="7"/>
        <v>2112855</v>
      </c>
      <c r="K52" s="120">
        <f t="shared" si="8"/>
        <v>4704418</v>
      </c>
      <c r="L52" s="120">
        <f t="shared" si="9"/>
        <v>5318145</v>
      </c>
      <c r="M52" s="155">
        <f t="shared" si="11"/>
        <v>41607175</v>
      </c>
      <c r="N52" s="155">
        <f t="shared" si="12"/>
        <v>25928215.894345663</v>
      </c>
      <c r="O52" s="155">
        <f t="shared" si="13"/>
        <v>14093789.689077662</v>
      </c>
      <c r="P52" s="155">
        <f t="shared" si="10"/>
        <v>46925320</v>
      </c>
      <c r="Q52" s="155">
        <f t="shared" si="14"/>
        <v>29242308.036324415</v>
      </c>
      <c r="R52" s="155">
        <f t="shared" si="15"/>
        <v>15895229.39667665</v>
      </c>
      <c r="T52" s="15">
        <v>2031</v>
      </c>
      <c r="U52" s="119">
        <v>377297</v>
      </c>
      <c r="V52" s="119">
        <v>1197452</v>
      </c>
      <c r="W52" s="119">
        <v>1017545</v>
      </c>
      <c r="X52" s="119">
        <v>5731340</v>
      </c>
      <c r="Y52" s="119">
        <v>13308558</v>
      </c>
      <c r="Z52" s="119">
        <v>7932646</v>
      </c>
      <c r="AA52" s="119">
        <v>3927874</v>
      </c>
      <c r="AB52" s="119">
        <v>2019334</v>
      </c>
      <c r="AC52" s="119">
        <v>4425065</v>
      </c>
      <c r="AD52" s="119">
        <v>5100491</v>
      </c>
      <c r="AF52" s="15">
        <v>2031</v>
      </c>
      <c r="AG52" s="119">
        <v>11134</v>
      </c>
      <c r="AH52" s="119">
        <v>35336</v>
      </c>
      <c r="AI52" s="119">
        <v>52594</v>
      </c>
      <c r="AJ52" s="119">
        <v>178042</v>
      </c>
      <c r="AK52" s="119">
        <v>413425</v>
      </c>
      <c r="AL52" s="119">
        <v>424748</v>
      </c>
      <c r="AM52" s="119">
        <v>181911</v>
      </c>
      <c r="AN52" s="119">
        <v>93521</v>
      </c>
      <c r="AO52" s="119">
        <v>279353</v>
      </c>
      <c r="AP52" s="119">
        <v>217654</v>
      </c>
    </row>
    <row r="53" spans="2:42" ht="14.45" x14ac:dyDescent="0.3">
      <c r="B53" s="15">
        <v>2032</v>
      </c>
      <c r="C53" s="120">
        <f t="shared" si="0"/>
        <v>400944</v>
      </c>
      <c r="D53" s="120">
        <f t="shared" si="1"/>
        <v>1272504</v>
      </c>
      <c r="E53" s="120">
        <f t="shared" si="2"/>
        <v>1094922</v>
      </c>
      <c r="F53" s="120">
        <f t="shared" si="3"/>
        <v>6095354</v>
      </c>
      <c r="G53" s="120">
        <f t="shared" si="4"/>
        <v>14153822</v>
      </c>
      <c r="H53" s="120">
        <f t="shared" si="5"/>
        <v>8557492</v>
      </c>
      <c r="I53" s="120">
        <f t="shared" si="6"/>
        <v>4240959</v>
      </c>
      <c r="J53" s="120">
        <f t="shared" si="7"/>
        <v>2180293</v>
      </c>
      <c r="K53" s="120">
        <f t="shared" si="8"/>
        <v>4812771</v>
      </c>
      <c r="L53" s="120">
        <f t="shared" si="9"/>
        <v>5487826</v>
      </c>
      <c r="M53" s="155">
        <f t="shared" si="11"/>
        <v>42809061</v>
      </c>
      <c r="N53" s="155">
        <f t="shared" si="12"/>
        <v>25900185.936172009</v>
      </c>
      <c r="O53" s="155">
        <f t="shared" si="13"/>
        <v>13552252.392415909</v>
      </c>
      <c r="P53" s="155">
        <f t="shared" si="10"/>
        <v>48296887</v>
      </c>
      <c r="Q53" s="155">
        <f t="shared" si="14"/>
        <v>29220410.918106537</v>
      </c>
      <c r="R53" s="155">
        <f t="shared" si="15"/>
        <v>15289557.563339006</v>
      </c>
      <c r="T53" s="15">
        <v>2032</v>
      </c>
      <c r="U53" s="119">
        <v>389445</v>
      </c>
      <c r="V53" s="119">
        <v>1236008</v>
      </c>
      <c r="W53" s="119">
        <v>1041648</v>
      </c>
      <c r="X53" s="119">
        <v>5911589</v>
      </c>
      <c r="Y53" s="119">
        <v>13727108</v>
      </c>
      <c r="Z53" s="119">
        <v>8127130</v>
      </c>
      <c r="AA53" s="119">
        <v>4052649</v>
      </c>
      <c r="AB53" s="119">
        <v>2083482</v>
      </c>
      <c r="AC53" s="119">
        <v>4529337</v>
      </c>
      <c r="AD53" s="119">
        <v>5262516</v>
      </c>
      <c r="AF53" s="15">
        <v>2032</v>
      </c>
      <c r="AG53" s="119">
        <v>11499</v>
      </c>
      <c r="AH53" s="119">
        <v>36496</v>
      </c>
      <c r="AI53" s="119">
        <v>53274</v>
      </c>
      <c r="AJ53" s="119">
        <v>183765</v>
      </c>
      <c r="AK53" s="119">
        <v>426714</v>
      </c>
      <c r="AL53" s="119">
        <v>430362</v>
      </c>
      <c r="AM53" s="119">
        <v>188310</v>
      </c>
      <c r="AN53" s="119">
        <v>96811</v>
      </c>
      <c r="AO53" s="119">
        <v>283434</v>
      </c>
      <c r="AP53" s="119">
        <v>225310</v>
      </c>
    </row>
    <row r="54" spans="2:42" x14ac:dyDescent="0.25">
      <c r="B54" s="15">
        <v>2033</v>
      </c>
      <c r="C54" s="120">
        <f t="shared" si="0"/>
        <v>413725</v>
      </c>
      <c r="D54" s="120">
        <f t="shared" si="1"/>
        <v>1313068</v>
      </c>
      <c r="E54" s="120">
        <f t="shared" si="2"/>
        <v>1120195</v>
      </c>
      <c r="F54" s="120">
        <f t="shared" si="3"/>
        <v>6285348</v>
      </c>
      <c r="G54" s="120">
        <f t="shared" si="4"/>
        <v>14595004</v>
      </c>
      <c r="H54" s="120">
        <f t="shared" si="5"/>
        <v>8761677</v>
      </c>
      <c r="I54" s="120">
        <f t="shared" si="6"/>
        <v>4374916</v>
      </c>
      <c r="J54" s="120">
        <f t="shared" si="7"/>
        <v>2249160</v>
      </c>
      <c r="K54" s="120">
        <f t="shared" si="8"/>
        <v>4923264</v>
      </c>
      <c r="L54" s="120">
        <f t="shared" si="9"/>
        <v>5661109</v>
      </c>
      <c r="M54" s="155">
        <f t="shared" si="11"/>
        <v>44036357</v>
      </c>
      <c r="N54" s="155">
        <f t="shared" si="12"/>
        <v>25866718.640865546</v>
      </c>
      <c r="O54" s="155">
        <f t="shared" si="13"/>
        <v>13028769.042556029</v>
      </c>
      <c r="P54" s="155">
        <f t="shared" si="10"/>
        <v>49697466</v>
      </c>
      <c r="Q54" s="155">
        <f t="shared" si="14"/>
        <v>29192023.540593553</v>
      </c>
      <c r="R54" s="155">
        <f t="shared" si="15"/>
        <v>14703686.922019474</v>
      </c>
      <c r="T54" s="15">
        <v>2033</v>
      </c>
      <c r="U54" s="119">
        <v>401854</v>
      </c>
      <c r="V54" s="119">
        <v>1275393</v>
      </c>
      <c r="W54" s="119">
        <v>1066233</v>
      </c>
      <c r="X54" s="119">
        <v>6095764</v>
      </c>
      <c r="Y54" s="119">
        <v>14154776</v>
      </c>
      <c r="Z54" s="119">
        <v>8325630</v>
      </c>
      <c r="AA54" s="119">
        <v>4180095</v>
      </c>
      <c r="AB54" s="119">
        <v>2149002</v>
      </c>
      <c r="AC54" s="119">
        <v>4635695</v>
      </c>
      <c r="AD54" s="119">
        <v>5428009</v>
      </c>
      <c r="AF54" s="15">
        <v>2033</v>
      </c>
      <c r="AG54" s="119">
        <v>11871</v>
      </c>
      <c r="AH54" s="119">
        <v>37675</v>
      </c>
      <c r="AI54" s="119">
        <v>53962</v>
      </c>
      <c r="AJ54" s="119">
        <v>189584</v>
      </c>
      <c r="AK54" s="119">
        <v>440228</v>
      </c>
      <c r="AL54" s="119">
        <v>436047</v>
      </c>
      <c r="AM54" s="119">
        <v>194821</v>
      </c>
      <c r="AN54" s="119">
        <v>100158</v>
      </c>
      <c r="AO54" s="119">
        <v>287569</v>
      </c>
      <c r="AP54" s="119">
        <v>233100</v>
      </c>
    </row>
    <row r="55" spans="2:42" x14ac:dyDescent="0.25">
      <c r="B55" s="15">
        <v>2034</v>
      </c>
      <c r="C55" s="120">
        <f t="shared" si="0"/>
        <v>426779</v>
      </c>
      <c r="D55" s="120">
        <f t="shared" si="1"/>
        <v>1354498</v>
      </c>
      <c r="E55" s="120">
        <f t="shared" si="2"/>
        <v>1145970</v>
      </c>
      <c r="F55" s="120">
        <f t="shared" si="3"/>
        <v>6479445</v>
      </c>
      <c r="G55" s="120">
        <f t="shared" si="4"/>
        <v>15045708</v>
      </c>
      <c r="H55" s="120">
        <f t="shared" si="5"/>
        <v>8970028</v>
      </c>
      <c r="I55" s="120">
        <f t="shared" si="6"/>
        <v>4511707</v>
      </c>
      <c r="J55" s="120">
        <f t="shared" si="7"/>
        <v>2319485</v>
      </c>
      <c r="K55" s="120">
        <f t="shared" si="8"/>
        <v>5035936</v>
      </c>
      <c r="L55" s="120">
        <f t="shared" si="9"/>
        <v>5838062</v>
      </c>
      <c r="M55" s="155">
        <f t="shared" si="11"/>
        <v>45289556</v>
      </c>
      <c r="N55" s="155">
        <f t="shared" si="12"/>
        <v>25828000.947316177</v>
      </c>
      <c r="O55" s="155">
        <f t="shared" si="13"/>
        <v>12522939.632361064</v>
      </c>
      <c r="P55" s="155">
        <f t="shared" si="10"/>
        <v>51127618</v>
      </c>
      <c r="Q55" s="155">
        <f t="shared" si="14"/>
        <v>29157366.12957786</v>
      </c>
      <c r="R55" s="155">
        <f t="shared" si="15"/>
        <v>14137212.423994992</v>
      </c>
      <c r="T55" s="15">
        <v>2034</v>
      </c>
      <c r="U55" s="119">
        <v>414530</v>
      </c>
      <c r="V55" s="119">
        <v>1315623</v>
      </c>
      <c r="W55" s="119">
        <v>1091310</v>
      </c>
      <c r="X55" s="119">
        <v>6283943</v>
      </c>
      <c r="Y55" s="119">
        <v>14591740</v>
      </c>
      <c r="Z55" s="119">
        <v>8528225</v>
      </c>
      <c r="AA55" s="119">
        <v>4310261</v>
      </c>
      <c r="AB55" s="119">
        <v>2215921</v>
      </c>
      <c r="AC55" s="119">
        <v>4744177</v>
      </c>
      <c r="AD55" s="119">
        <v>5597035</v>
      </c>
      <c r="AF55" s="15">
        <v>2034</v>
      </c>
      <c r="AG55" s="119">
        <v>12249</v>
      </c>
      <c r="AH55" s="119">
        <v>38875</v>
      </c>
      <c r="AI55" s="119">
        <v>54660</v>
      </c>
      <c r="AJ55" s="119">
        <v>195502</v>
      </c>
      <c r="AK55" s="119">
        <v>453968</v>
      </c>
      <c r="AL55" s="119">
        <v>441803</v>
      </c>
      <c r="AM55" s="119">
        <v>201446</v>
      </c>
      <c r="AN55" s="119">
        <v>103564</v>
      </c>
      <c r="AO55" s="119">
        <v>291759</v>
      </c>
      <c r="AP55" s="119">
        <v>241027</v>
      </c>
    </row>
    <row r="56" spans="2:42" x14ac:dyDescent="0.25">
      <c r="B56" s="15">
        <v>2035</v>
      </c>
      <c r="C56" s="120">
        <f t="shared" si="0"/>
        <v>440111</v>
      </c>
      <c r="D56" s="120">
        <f t="shared" si="1"/>
        <v>1396809</v>
      </c>
      <c r="E56" s="120">
        <f t="shared" si="2"/>
        <v>1172253</v>
      </c>
      <c r="F56" s="120">
        <f t="shared" si="3"/>
        <v>6677723</v>
      </c>
      <c r="G56" s="120">
        <f t="shared" si="4"/>
        <v>15506124</v>
      </c>
      <c r="H56" s="120">
        <f t="shared" si="5"/>
        <v>9182625</v>
      </c>
      <c r="I56" s="120">
        <f t="shared" si="6"/>
        <v>4651390</v>
      </c>
      <c r="J56" s="120">
        <f t="shared" si="7"/>
        <v>2391297</v>
      </c>
      <c r="K56" s="120">
        <f t="shared" si="8"/>
        <v>5150830</v>
      </c>
      <c r="L56" s="120">
        <f t="shared" si="9"/>
        <v>6018756</v>
      </c>
      <c r="M56" s="155">
        <f t="shared" si="11"/>
        <v>46569162</v>
      </c>
      <c r="N56" s="155">
        <f t="shared" si="12"/>
        <v>25784215.892175611</v>
      </c>
      <c r="O56" s="155">
        <f t="shared" si="13"/>
        <v>12034356.405917507</v>
      </c>
      <c r="P56" s="155">
        <f t="shared" si="10"/>
        <v>52587918</v>
      </c>
      <c r="Q56" s="155">
        <f t="shared" si="14"/>
        <v>29116655.15973914</v>
      </c>
      <c r="R56" s="155">
        <f t="shared" si="15"/>
        <v>13589717.329617497</v>
      </c>
      <c r="T56" s="15">
        <v>2035</v>
      </c>
      <c r="U56" s="119">
        <v>427478</v>
      </c>
      <c r="V56" s="119">
        <v>1356715</v>
      </c>
      <c r="W56" s="119">
        <v>1116888</v>
      </c>
      <c r="X56" s="119">
        <v>6476204</v>
      </c>
      <c r="Y56" s="119">
        <v>15038184</v>
      </c>
      <c r="Z56" s="119">
        <v>8734993</v>
      </c>
      <c r="AA56" s="119">
        <v>4443203</v>
      </c>
      <c r="AB56" s="119">
        <v>2284267</v>
      </c>
      <c r="AC56" s="119">
        <v>4854824</v>
      </c>
      <c r="AD56" s="119">
        <v>5769664</v>
      </c>
      <c r="AF56" s="15">
        <v>2035</v>
      </c>
      <c r="AG56" s="119">
        <v>12633</v>
      </c>
      <c r="AH56" s="119">
        <v>40094</v>
      </c>
      <c r="AI56" s="119">
        <v>55365</v>
      </c>
      <c r="AJ56" s="119">
        <v>201519</v>
      </c>
      <c r="AK56" s="119">
        <v>467940</v>
      </c>
      <c r="AL56" s="119">
        <v>447632</v>
      </c>
      <c r="AM56" s="119">
        <v>208187</v>
      </c>
      <c r="AN56" s="119">
        <v>107030</v>
      </c>
      <c r="AO56" s="119">
        <v>296006</v>
      </c>
      <c r="AP56" s="119">
        <v>249092</v>
      </c>
    </row>
    <row r="57" spans="2:42" x14ac:dyDescent="0.25">
      <c r="B57" s="15">
        <v>2036</v>
      </c>
      <c r="C57" s="120">
        <f t="shared" si="0"/>
        <v>453726</v>
      </c>
      <c r="D57" s="120">
        <f t="shared" si="1"/>
        <v>1440019</v>
      </c>
      <c r="E57" s="120">
        <f t="shared" si="2"/>
        <v>1199056</v>
      </c>
      <c r="F57" s="120">
        <f t="shared" si="3"/>
        <v>6880263</v>
      </c>
      <c r="G57" s="120">
        <f t="shared" si="4"/>
        <v>15976436</v>
      </c>
      <c r="H57" s="120">
        <f t="shared" si="5"/>
        <v>9399549</v>
      </c>
      <c r="I57" s="120">
        <f t="shared" si="6"/>
        <v>4794016</v>
      </c>
      <c r="J57" s="120">
        <f t="shared" si="7"/>
        <v>2464622</v>
      </c>
      <c r="K57" s="120">
        <f t="shared" si="8"/>
        <v>5267986</v>
      </c>
      <c r="L57" s="120">
        <f t="shared" si="9"/>
        <v>6203262</v>
      </c>
      <c r="M57" s="155">
        <f t="shared" si="11"/>
        <v>47875673</v>
      </c>
      <c r="N57" s="155">
        <f t="shared" si="12"/>
        <v>25735533.354809083</v>
      </c>
      <c r="O57" s="155">
        <f t="shared" si="13"/>
        <v>11562601.566077437</v>
      </c>
      <c r="P57" s="155">
        <f t="shared" si="10"/>
        <v>54078935</v>
      </c>
      <c r="Q57" s="155">
        <f t="shared" si="14"/>
        <v>29070092.351183292</v>
      </c>
      <c r="R57" s="155">
        <f t="shared" si="15"/>
        <v>13060770.519566376</v>
      </c>
      <c r="T57" s="15">
        <v>2036</v>
      </c>
      <c r="U57" s="119">
        <v>440702</v>
      </c>
      <c r="V57" s="119">
        <v>1398685</v>
      </c>
      <c r="W57" s="119">
        <v>1142976</v>
      </c>
      <c r="X57" s="119">
        <v>6672627</v>
      </c>
      <c r="Y57" s="119">
        <v>15494291</v>
      </c>
      <c r="Z57" s="119">
        <v>8946015</v>
      </c>
      <c r="AA57" s="119">
        <v>4578971</v>
      </c>
      <c r="AB57" s="119">
        <v>2354066</v>
      </c>
      <c r="AC57" s="119">
        <v>4967677</v>
      </c>
      <c r="AD57" s="119">
        <v>5945964</v>
      </c>
      <c r="AF57" s="15">
        <v>2036</v>
      </c>
      <c r="AG57" s="119">
        <v>13024</v>
      </c>
      <c r="AH57" s="119">
        <v>41334</v>
      </c>
      <c r="AI57" s="119">
        <v>56080</v>
      </c>
      <c r="AJ57" s="119">
        <v>207636</v>
      </c>
      <c r="AK57" s="119">
        <v>482145</v>
      </c>
      <c r="AL57" s="119">
        <v>453534</v>
      </c>
      <c r="AM57" s="119">
        <v>215045</v>
      </c>
      <c r="AN57" s="119">
        <v>110556</v>
      </c>
      <c r="AO57" s="119">
        <v>300309</v>
      </c>
      <c r="AP57" s="119">
        <v>257298</v>
      </c>
    </row>
    <row r="58" spans="2:42" x14ac:dyDescent="0.25">
      <c r="B58" s="15">
        <v>2037</v>
      </c>
      <c r="C58" s="120">
        <f t="shared" si="0"/>
        <v>467629</v>
      </c>
      <c r="D58" s="120">
        <f t="shared" si="1"/>
        <v>1484144</v>
      </c>
      <c r="E58" s="120">
        <f t="shared" si="2"/>
        <v>1226388</v>
      </c>
      <c r="F58" s="120">
        <f t="shared" si="3"/>
        <v>7087150</v>
      </c>
      <c r="G58" s="120">
        <f t="shared" si="4"/>
        <v>16456841</v>
      </c>
      <c r="H58" s="120">
        <f t="shared" si="5"/>
        <v>9620884</v>
      </c>
      <c r="I58" s="120">
        <f t="shared" si="6"/>
        <v>4939643</v>
      </c>
      <c r="J58" s="120">
        <f t="shared" si="7"/>
        <v>2539488</v>
      </c>
      <c r="K58" s="120">
        <f t="shared" si="8"/>
        <v>5387447</v>
      </c>
      <c r="L58" s="120">
        <f t="shared" si="9"/>
        <v>6391652</v>
      </c>
      <c r="M58" s="155">
        <f t="shared" si="11"/>
        <v>49209614</v>
      </c>
      <c r="N58" s="155">
        <f t="shared" si="12"/>
        <v>25682128.517926693</v>
      </c>
      <c r="O58" s="155">
        <f t="shared" si="13"/>
        <v>11107257.733195381</v>
      </c>
      <c r="P58" s="155">
        <f t="shared" si="10"/>
        <v>55601266</v>
      </c>
      <c r="Q58" s="155">
        <f t="shared" si="14"/>
        <v>29017883.764977872</v>
      </c>
      <c r="R58" s="155">
        <f t="shared" si="15"/>
        <v>12549937.736840477</v>
      </c>
      <c r="T58" s="15">
        <v>2037</v>
      </c>
      <c r="U58" s="119">
        <v>454208</v>
      </c>
      <c r="V58" s="119">
        <v>1441550</v>
      </c>
      <c r="W58" s="119">
        <v>1169585</v>
      </c>
      <c r="X58" s="119">
        <v>6873294</v>
      </c>
      <c r="Y58" s="119">
        <v>15960253</v>
      </c>
      <c r="Z58" s="119">
        <v>9161374</v>
      </c>
      <c r="AA58" s="119">
        <v>4717620</v>
      </c>
      <c r="AB58" s="119">
        <v>2425345</v>
      </c>
      <c r="AC58" s="119">
        <v>5082777</v>
      </c>
      <c r="AD58" s="119">
        <v>6126005</v>
      </c>
      <c r="AF58" s="15">
        <v>2037</v>
      </c>
      <c r="AG58" s="119">
        <v>13421</v>
      </c>
      <c r="AH58" s="119">
        <v>42594</v>
      </c>
      <c r="AI58" s="119">
        <v>56803</v>
      </c>
      <c r="AJ58" s="119">
        <v>213856</v>
      </c>
      <c r="AK58" s="119">
        <v>496588</v>
      </c>
      <c r="AL58" s="119">
        <v>459510</v>
      </c>
      <c r="AM58" s="119">
        <v>222023</v>
      </c>
      <c r="AN58" s="119">
        <v>114143</v>
      </c>
      <c r="AO58" s="119">
        <v>304670</v>
      </c>
      <c r="AP58" s="119">
        <v>265647</v>
      </c>
    </row>
    <row r="59" spans="2:42" x14ac:dyDescent="0.25">
      <c r="B59" s="15">
        <v>2038</v>
      </c>
      <c r="C59" s="120">
        <f t="shared" si="0"/>
        <v>481825</v>
      </c>
      <c r="D59" s="120">
        <f t="shared" si="1"/>
        <v>1529204</v>
      </c>
      <c r="E59" s="120">
        <f t="shared" si="2"/>
        <v>1254258</v>
      </c>
      <c r="F59" s="120">
        <f t="shared" si="3"/>
        <v>7298467</v>
      </c>
      <c r="G59" s="120">
        <f t="shared" si="4"/>
        <v>16947533</v>
      </c>
      <c r="H59" s="120">
        <f t="shared" si="5"/>
        <v>9846716</v>
      </c>
      <c r="I59" s="120">
        <f t="shared" si="6"/>
        <v>5088327</v>
      </c>
      <c r="J59" s="120">
        <f t="shared" si="7"/>
        <v>2615927</v>
      </c>
      <c r="K59" s="120">
        <f t="shared" si="8"/>
        <v>5509255</v>
      </c>
      <c r="L59" s="120">
        <f t="shared" si="9"/>
        <v>6584000</v>
      </c>
      <c r="M59" s="155">
        <f t="shared" si="11"/>
        <v>50571512</v>
      </c>
      <c r="N59" s="155">
        <f t="shared" si="12"/>
        <v>25624167.836013284</v>
      </c>
      <c r="O59" s="155">
        <f t="shared" si="13"/>
        <v>10667902.842454994</v>
      </c>
      <c r="P59" s="155">
        <f t="shared" si="10"/>
        <v>57155512</v>
      </c>
      <c r="Q59" s="155">
        <f t="shared" si="14"/>
        <v>28960226.307674393</v>
      </c>
      <c r="R59" s="155">
        <f t="shared" si="15"/>
        <v>12056777.12239987</v>
      </c>
      <c r="T59" s="15">
        <v>2038</v>
      </c>
      <c r="U59" s="119">
        <v>468001</v>
      </c>
      <c r="V59" s="119">
        <v>1485328</v>
      </c>
      <c r="W59" s="119">
        <v>1196723</v>
      </c>
      <c r="X59" s="119">
        <v>7078288</v>
      </c>
      <c r="Y59" s="119">
        <v>16436262</v>
      </c>
      <c r="Z59" s="119">
        <v>9381155</v>
      </c>
      <c r="AA59" s="119">
        <v>4859206</v>
      </c>
      <c r="AB59" s="119">
        <v>2498135</v>
      </c>
      <c r="AC59" s="119">
        <v>5200166</v>
      </c>
      <c r="AD59" s="119">
        <v>6309860</v>
      </c>
      <c r="AF59" s="15">
        <v>2038</v>
      </c>
      <c r="AG59" s="119">
        <v>13824</v>
      </c>
      <c r="AH59" s="119">
        <v>43876</v>
      </c>
      <c r="AI59" s="119">
        <v>57535</v>
      </c>
      <c r="AJ59" s="119">
        <v>220179</v>
      </c>
      <c r="AK59" s="119">
        <v>511271</v>
      </c>
      <c r="AL59" s="119">
        <v>465561</v>
      </c>
      <c r="AM59" s="119">
        <v>229121</v>
      </c>
      <c r="AN59" s="119">
        <v>117792</v>
      </c>
      <c r="AO59" s="119">
        <v>309089</v>
      </c>
      <c r="AP59" s="119">
        <v>274140</v>
      </c>
    </row>
    <row r="60" spans="2:42" x14ac:dyDescent="0.25">
      <c r="B60" s="15">
        <v>2039</v>
      </c>
      <c r="C60" s="120">
        <f t="shared" si="0"/>
        <v>496323</v>
      </c>
      <c r="D60" s="120">
        <f t="shared" si="1"/>
        <v>1575213</v>
      </c>
      <c r="E60" s="120">
        <f t="shared" si="2"/>
        <v>1282679</v>
      </c>
      <c r="F60" s="120">
        <f t="shared" si="3"/>
        <v>7514300</v>
      </c>
      <c r="G60" s="120">
        <f t="shared" si="4"/>
        <v>17448713</v>
      </c>
      <c r="H60" s="120">
        <f t="shared" si="5"/>
        <v>10077131</v>
      </c>
      <c r="I60" s="120">
        <f t="shared" si="6"/>
        <v>5240127</v>
      </c>
      <c r="J60" s="120">
        <f t="shared" si="7"/>
        <v>2693968</v>
      </c>
      <c r="K60" s="120">
        <f t="shared" si="8"/>
        <v>5633457</v>
      </c>
      <c r="L60" s="120">
        <f t="shared" si="9"/>
        <v>6780380</v>
      </c>
      <c r="M60" s="155">
        <f t="shared" si="11"/>
        <v>51961911</v>
      </c>
      <c r="N60" s="155">
        <f t="shared" si="12"/>
        <v>25561817.025571056</v>
      </c>
      <c r="O60" s="155">
        <f t="shared" si="13"/>
        <v>10244115.11973018</v>
      </c>
      <c r="P60" s="155">
        <f t="shared" si="10"/>
        <v>58742291</v>
      </c>
      <c r="Q60" s="155">
        <f t="shared" si="14"/>
        <v>28897314.692772739</v>
      </c>
      <c r="R60" s="155">
        <f t="shared" si="15"/>
        <v>11580844.118698601</v>
      </c>
      <c r="T60" s="15">
        <v>2039</v>
      </c>
      <c r="U60" s="119">
        <v>482088</v>
      </c>
      <c r="V60" s="119">
        <v>1530035</v>
      </c>
      <c r="W60" s="119">
        <v>1224402</v>
      </c>
      <c r="X60" s="119">
        <v>7287693</v>
      </c>
      <c r="Y60" s="119">
        <v>16922515</v>
      </c>
      <c r="Z60" s="119">
        <v>9605444</v>
      </c>
      <c r="AA60" s="119">
        <v>5003785</v>
      </c>
      <c r="AB60" s="119">
        <v>2572464</v>
      </c>
      <c r="AC60" s="119">
        <v>5319890</v>
      </c>
      <c r="AD60" s="119">
        <v>6497601</v>
      </c>
      <c r="AF60" s="15">
        <v>2039</v>
      </c>
      <c r="AG60" s="119">
        <v>14235</v>
      </c>
      <c r="AH60" s="119">
        <v>45178</v>
      </c>
      <c r="AI60" s="119">
        <v>58277</v>
      </c>
      <c r="AJ60" s="119">
        <v>226607</v>
      </c>
      <c r="AK60" s="119">
        <v>526198</v>
      </c>
      <c r="AL60" s="119">
        <v>471687</v>
      </c>
      <c r="AM60" s="119">
        <v>236342</v>
      </c>
      <c r="AN60" s="119">
        <v>121504</v>
      </c>
      <c r="AO60" s="119">
        <v>313567</v>
      </c>
      <c r="AP60" s="119">
        <v>282779</v>
      </c>
    </row>
    <row r="61" spans="2:42" x14ac:dyDescent="0.25">
      <c r="B61" s="15">
        <v>2040</v>
      </c>
      <c r="C61" s="120">
        <f t="shared" si="0"/>
        <v>511125</v>
      </c>
      <c r="D61" s="120">
        <f t="shared" si="1"/>
        <v>1622192</v>
      </c>
      <c r="E61" s="120">
        <f t="shared" si="2"/>
        <v>1311657</v>
      </c>
      <c r="F61" s="120">
        <f t="shared" si="3"/>
        <v>7734738</v>
      </c>
      <c r="G61" s="120">
        <f t="shared" si="4"/>
        <v>17960583</v>
      </c>
      <c r="H61" s="120">
        <f t="shared" si="5"/>
        <v>10312219</v>
      </c>
      <c r="I61" s="120">
        <f t="shared" si="6"/>
        <v>5395101</v>
      </c>
      <c r="J61" s="120">
        <f t="shared" si="7"/>
        <v>2773642</v>
      </c>
      <c r="K61" s="120">
        <f t="shared" si="8"/>
        <v>5760095</v>
      </c>
      <c r="L61" s="120">
        <f t="shared" si="9"/>
        <v>6980870</v>
      </c>
      <c r="M61" s="155">
        <f t="shared" si="11"/>
        <v>53381352</v>
      </c>
      <c r="N61" s="155">
        <f t="shared" si="12"/>
        <v>25495231.009917036</v>
      </c>
      <c r="O61" s="155">
        <f t="shared" si="13"/>
        <v>9835470.2010251582</v>
      </c>
      <c r="P61" s="155">
        <f t="shared" si="10"/>
        <v>60362222</v>
      </c>
      <c r="Q61" s="155">
        <f t="shared" si="14"/>
        <v>28829333.400208678</v>
      </c>
      <c r="R61" s="155">
        <f t="shared" si="15"/>
        <v>11121689.756914835</v>
      </c>
      <c r="T61" s="15">
        <v>2040</v>
      </c>
      <c r="U61" s="119">
        <v>496473</v>
      </c>
      <c r="V61" s="119">
        <v>1575690</v>
      </c>
      <c r="W61" s="119">
        <v>1252630</v>
      </c>
      <c r="X61" s="119">
        <v>7501596</v>
      </c>
      <c r="Y61" s="119">
        <v>17419211</v>
      </c>
      <c r="Z61" s="119">
        <v>9834328</v>
      </c>
      <c r="AA61" s="119">
        <v>5151414</v>
      </c>
      <c r="AB61" s="119">
        <v>2648361</v>
      </c>
      <c r="AC61" s="119">
        <v>5441991</v>
      </c>
      <c r="AD61" s="119">
        <v>6689302</v>
      </c>
      <c r="AF61" s="15">
        <v>2040</v>
      </c>
      <c r="AG61" s="119">
        <v>14652</v>
      </c>
      <c r="AH61" s="119">
        <v>46502</v>
      </c>
      <c r="AI61" s="119">
        <v>59027</v>
      </c>
      <c r="AJ61" s="119">
        <v>233142</v>
      </c>
      <c r="AK61" s="119">
        <v>541372</v>
      </c>
      <c r="AL61" s="119">
        <v>477891</v>
      </c>
      <c r="AM61" s="119">
        <v>243687</v>
      </c>
      <c r="AN61" s="119">
        <v>125281</v>
      </c>
      <c r="AO61" s="119">
        <v>318104</v>
      </c>
      <c r="AP61" s="119">
        <v>291568</v>
      </c>
    </row>
    <row r="62" spans="2:42" x14ac:dyDescent="0.25">
      <c r="B62" s="15">
        <v>2041</v>
      </c>
      <c r="C62" s="120">
        <f t="shared" si="0"/>
        <v>526238</v>
      </c>
      <c r="D62" s="120">
        <f t="shared" si="1"/>
        <v>1670158</v>
      </c>
      <c r="E62" s="120">
        <f t="shared" si="2"/>
        <v>1341206</v>
      </c>
      <c r="F62" s="120">
        <f t="shared" si="3"/>
        <v>7959868</v>
      </c>
      <c r="G62" s="120">
        <f t="shared" si="4"/>
        <v>18483351</v>
      </c>
      <c r="H62" s="120">
        <f t="shared" si="5"/>
        <v>10552068</v>
      </c>
      <c r="I62" s="120">
        <f t="shared" si="6"/>
        <v>5553311</v>
      </c>
      <c r="J62" s="120">
        <f t="shared" si="7"/>
        <v>2854978</v>
      </c>
      <c r="K62" s="120">
        <f t="shared" si="8"/>
        <v>5889219</v>
      </c>
      <c r="L62" s="120">
        <f t="shared" si="9"/>
        <v>7185550</v>
      </c>
      <c r="M62" s="155">
        <f t="shared" si="11"/>
        <v>54830397</v>
      </c>
      <c r="N62" s="155">
        <f t="shared" si="12"/>
        <v>25424565.992259994</v>
      </c>
      <c r="O62" s="155">
        <f t="shared" si="13"/>
        <v>9441547.2434279192</v>
      </c>
      <c r="P62" s="155">
        <f t="shared" si="10"/>
        <v>62015947</v>
      </c>
      <c r="Q62" s="155">
        <f t="shared" si="14"/>
        <v>28756467.64100574</v>
      </c>
      <c r="R62" s="155">
        <f t="shared" si="15"/>
        <v>10678866.568236263</v>
      </c>
      <c r="T62" s="15">
        <v>2041</v>
      </c>
      <c r="U62" s="119">
        <v>511162</v>
      </c>
      <c r="V62" s="119">
        <v>1622310</v>
      </c>
      <c r="W62" s="119">
        <v>1281419</v>
      </c>
      <c r="X62" s="119">
        <v>7720083</v>
      </c>
      <c r="Y62" s="119">
        <v>17926554</v>
      </c>
      <c r="Z62" s="119">
        <v>10067896</v>
      </c>
      <c r="AA62" s="119">
        <v>5302152</v>
      </c>
      <c r="AB62" s="119">
        <v>2725856</v>
      </c>
      <c r="AC62" s="119">
        <v>5566516</v>
      </c>
      <c r="AD62" s="119">
        <v>6885042</v>
      </c>
      <c r="AF62" s="15">
        <v>2041</v>
      </c>
      <c r="AG62" s="119">
        <v>15076</v>
      </c>
      <c r="AH62" s="119">
        <v>47848</v>
      </c>
      <c r="AI62" s="119">
        <v>59787</v>
      </c>
      <c r="AJ62" s="119">
        <v>239785</v>
      </c>
      <c r="AK62" s="119">
        <v>556797</v>
      </c>
      <c r="AL62" s="119">
        <v>484172</v>
      </c>
      <c r="AM62" s="119">
        <v>251159</v>
      </c>
      <c r="AN62" s="119">
        <v>129122</v>
      </c>
      <c r="AO62" s="119">
        <v>322703</v>
      </c>
      <c r="AP62" s="119">
        <v>300508</v>
      </c>
    </row>
    <row r="63" spans="2:42" x14ac:dyDescent="0.25">
      <c r="B63" s="15">
        <v>2042</v>
      </c>
      <c r="C63" s="120">
        <f t="shared" si="0"/>
        <v>541669</v>
      </c>
      <c r="D63" s="120">
        <f t="shared" si="1"/>
        <v>1719131</v>
      </c>
      <c r="E63" s="120">
        <f t="shared" si="2"/>
        <v>1371335</v>
      </c>
      <c r="F63" s="120">
        <f t="shared" si="3"/>
        <v>8189783</v>
      </c>
      <c r="G63" s="120">
        <f t="shared" si="4"/>
        <v>19017230</v>
      </c>
      <c r="H63" s="120">
        <f t="shared" si="5"/>
        <v>10796773</v>
      </c>
      <c r="I63" s="120">
        <f t="shared" si="6"/>
        <v>5714816</v>
      </c>
      <c r="J63" s="120">
        <f t="shared" si="7"/>
        <v>2938008</v>
      </c>
      <c r="K63" s="120">
        <f t="shared" si="8"/>
        <v>6020869</v>
      </c>
      <c r="L63" s="120">
        <f t="shared" si="9"/>
        <v>7394495</v>
      </c>
      <c r="M63" s="155">
        <f t="shared" si="11"/>
        <v>56309614</v>
      </c>
      <c r="N63" s="155">
        <f t="shared" si="12"/>
        <v>25349971.957181938</v>
      </c>
      <c r="O63" s="155">
        <f t="shared" si="13"/>
        <v>9061926.8635643162</v>
      </c>
      <c r="P63" s="155">
        <f t="shared" si="10"/>
        <v>63704109</v>
      </c>
      <c r="Q63" s="155">
        <f t="shared" si="14"/>
        <v>28678892.679094933</v>
      </c>
      <c r="R63" s="155">
        <f t="shared" si="15"/>
        <v>10251925.659915363</v>
      </c>
      <c r="T63" s="15">
        <v>2042</v>
      </c>
      <c r="U63" s="119">
        <v>526162</v>
      </c>
      <c r="V63" s="119">
        <v>1669915</v>
      </c>
      <c r="W63" s="119">
        <v>1310779</v>
      </c>
      <c r="X63" s="119">
        <v>7943246</v>
      </c>
      <c r="Y63" s="119">
        <v>18444754</v>
      </c>
      <c r="Z63" s="119">
        <v>10306240</v>
      </c>
      <c r="AA63" s="119">
        <v>5456057</v>
      </c>
      <c r="AB63" s="119">
        <v>2804979</v>
      </c>
      <c r="AC63" s="119">
        <v>5693507</v>
      </c>
      <c r="AD63" s="119">
        <v>7084894</v>
      </c>
      <c r="AF63" s="15">
        <v>2042</v>
      </c>
      <c r="AG63" s="119">
        <v>15507</v>
      </c>
      <c r="AH63" s="119">
        <v>49216</v>
      </c>
      <c r="AI63" s="119">
        <v>60556</v>
      </c>
      <c r="AJ63" s="119">
        <v>246537</v>
      </c>
      <c r="AK63" s="119">
        <v>572476</v>
      </c>
      <c r="AL63" s="119">
        <v>490533</v>
      </c>
      <c r="AM63" s="119">
        <v>258759</v>
      </c>
      <c r="AN63" s="119">
        <v>133029</v>
      </c>
      <c r="AO63" s="119">
        <v>327362</v>
      </c>
      <c r="AP63" s="119">
        <v>309601</v>
      </c>
    </row>
    <row r="64" spans="2:42" x14ac:dyDescent="0.25">
      <c r="B64" s="15">
        <v>2043</v>
      </c>
      <c r="C64" s="120">
        <f t="shared" si="0"/>
        <v>557422</v>
      </c>
      <c r="D64" s="120">
        <f t="shared" si="1"/>
        <v>1769129</v>
      </c>
      <c r="E64" s="120">
        <f t="shared" si="2"/>
        <v>1402056</v>
      </c>
      <c r="F64" s="120">
        <f t="shared" si="3"/>
        <v>8424577</v>
      </c>
      <c r="G64" s="120">
        <f t="shared" si="4"/>
        <v>19562435</v>
      </c>
      <c r="H64" s="120">
        <f t="shared" si="5"/>
        <v>11046424</v>
      </c>
      <c r="I64" s="120">
        <f t="shared" si="6"/>
        <v>5879681</v>
      </c>
      <c r="J64" s="120">
        <f t="shared" si="7"/>
        <v>3022766</v>
      </c>
      <c r="K64" s="120">
        <f t="shared" si="8"/>
        <v>6155099</v>
      </c>
      <c r="L64" s="120">
        <f t="shared" si="9"/>
        <v>7607789</v>
      </c>
      <c r="M64" s="155">
        <f t="shared" si="11"/>
        <v>57819589</v>
      </c>
      <c r="N64" s="155">
        <f t="shared" si="12"/>
        <v>25271598.229768455</v>
      </c>
      <c r="O64" s="155">
        <f t="shared" si="13"/>
        <v>8696194.1074100509</v>
      </c>
      <c r="P64" s="155">
        <f t="shared" si="10"/>
        <v>65427378</v>
      </c>
      <c r="Q64" s="155">
        <f t="shared" si="14"/>
        <v>28596785.944694135</v>
      </c>
      <c r="R64" s="155">
        <f t="shared" si="15"/>
        <v>9840422.4047128744</v>
      </c>
      <c r="T64" s="15">
        <v>2043</v>
      </c>
      <c r="U64" s="119">
        <v>541477</v>
      </c>
      <c r="V64" s="119">
        <v>1718522</v>
      </c>
      <c r="W64" s="119">
        <v>1340721</v>
      </c>
      <c r="X64" s="119">
        <v>8171176</v>
      </c>
      <c r="Y64" s="119">
        <v>18974022</v>
      </c>
      <c r="Z64" s="119">
        <v>10549452</v>
      </c>
      <c r="AA64" s="119">
        <v>5613193</v>
      </c>
      <c r="AB64" s="119">
        <v>2885763</v>
      </c>
      <c r="AC64" s="119">
        <v>5823015</v>
      </c>
      <c r="AD64" s="119">
        <v>7288940</v>
      </c>
      <c r="AF64" s="15">
        <v>2043</v>
      </c>
      <c r="AG64" s="119">
        <v>15945</v>
      </c>
      <c r="AH64" s="119">
        <v>50607</v>
      </c>
      <c r="AI64" s="119">
        <v>61335</v>
      </c>
      <c r="AJ64" s="119">
        <v>253401</v>
      </c>
      <c r="AK64" s="119">
        <v>588413</v>
      </c>
      <c r="AL64" s="119">
        <v>496972</v>
      </c>
      <c r="AM64" s="119">
        <v>266488</v>
      </c>
      <c r="AN64" s="119">
        <v>137003</v>
      </c>
      <c r="AO64" s="119">
        <v>332084</v>
      </c>
      <c r="AP64" s="119">
        <v>318849</v>
      </c>
    </row>
    <row r="65" spans="2:24" x14ac:dyDescent="0.25">
      <c r="K65" s="204" t="s">
        <v>226</v>
      </c>
      <c r="L65" s="204"/>
      <c r="M65" s="156">
        <f t="shared" ref="M65:R65" si="16">SUM(M39:M64)</f>
        <v>874338608</v>
      </c>
      <c r="N65" s="156">
        <f t="shared" si="16"/>
        <v>491802650.8046689</v>
      </c>
      <c r="O65" s="156">
        <f t="shared" si="16"/>
        <v>242183055.16341758</v>
      </c>
      <c r="P65" s="156">
        <f t="shared" si="16"/>
        <v>984356055</v>
      </c>
      <c r="Q65" s="156">
        <f t="shared" si="16"/>
        <v>552746523.14295745</v>
      </c>
      <c r="R65" s="156">
        <f t="shared" si="16"/>
        <v>271349749.46881485</v>
      </c>
    </row>
    <row r="67" spans="2:24" ht="15" customHeight="1" x14ac:dyDescent="0.25">
      <c r="B67" s="205" t="s">
        <v>193</v>
      </c>
      <c r="C67" s="205"/>
      <c r="D67" s="205"/>
      <c r="E67" s="205"/>
      <c r="F67" s="205"/>
      <c r="G67" s="205"/>
      <c r="H67" s="205"/>
      <c r="I67" s="122"/>
      <c r="J67" s="205" t="s">
        <v>189</v>
      </c>
      <c r="K67" s="205"/>
      <c r="L67" s="205"/>
      <c r="M67" s="205"/>
      <c r="N67" s="205"/>
      <c r="O67" s="205"/>
      <c r="P67" s="205"/>
      <c r="Q67" s="122"/>
      <c r="R67" s="205" t="s">
        <v>188</v>
      </c>
      <c r="S67" s="205"/>
      <c r="T67" s="205"/>
      <c r="U67" s="205"/>
      <c r="V67" s="205"/>
      <c r="W67" s="205"/>
      <c r="X67" s="205"/>
    </row>
    <row r="68" spans="2:24" ht="15" customHeight="1" x14ac:dyDescent="0.25">
      <c r="B68" s="74"/>
      <c r="C68" s="206" t="s">
        <v>185</v>
      </c>
      <c r="D68" s="206"/>
      <c r="E68" s="206" t="s">
        <v>186</v>
      </c>
      <c r="F68" s="206"/>
      <c r="G68" s="206" t="s">
        <v>187</v>
      </c>
      <c r="H68" s="206"/>
      <c r="I68" s="122"/>
      <c r="J68" s="74"/>
      <c r="K68" s="206" t="s">
        <v>185</v>
      </c>
      <c r="L68" s="206"/>
      <c r="M68" s="206" t="s">
        <v>186</v>
      </c>
      <c r="N68" s="206"/>
      <c r="O68" s="206" t="s">
        <v>187</v>
      </c>
      <c r="P68" s="206"/>
      <c r="Q68" s="122"/>
      <c r="R68" s="74"/>
      <c r="S68" s="206" t="s">
        <v>185</v>
      </c>
      <c r="T68" s="206"/>
      <c r="U68" s="206" t="s">
        <v>186</v>
      </c>
      <c r="V68" s="206"/>
      <c r="W68" s="206" t="s">
        <v>187</v>
      </c>
      <c r="X68" s="206"/>
    </row>
    <row r="69" spans="2:24" ht="30" x14ac:dyDescent="0.25">
      <c r="B69" s="74" t="s">
        <v>82</v>
      </c>
      <c r="C69" s="74" t="s">
        <v>184</v>
      </c>
      <c r="D69" s="74" t="s">
        <v>183</v>
      </c>
      <c r="E69" s="74" t="s">
        <v>184</v>
      </c>
      <c r="F69" s="74" t="s">
        <v>183</v>
      </c>
      <c r="G69" s="74" t="s">
        <v>184</v>
      </c>
      <c r="H69" s="74" t="s">
        <v>183</v>
      </c>
      <c r="I69" s="122"/>
      <c r="J69" s="74" t="s">
        <v>82</v>
      </c>
      <c r="K69" s="74" t="s">
        <v>184</v>
      </c>
      <c r="L69" s="74" t="s">
        <v>183</v>
      </c>
      <c r="M69" s="74" t="s">
        <v>184</v>
      </c>
      <c r="N69" s="74" t="s">
        <v>183</v>
      </c>
      <c r="O69" s="74" t="s">
        <v>184</v>
      </c>
      <c r="P69" s="74" t="s">
        <v>183</v>
      </c>
      <c r="Q69" s="122"/>
      <c r="R69" s="74" t="s">
        <v>82</v>
      </c>
      <c r="S69" s="74" t="s">
        <v>184</v>
      </c>
      <c r="T69" s="74" t="s">
        <v>183</v>
      </c>
      <c r="U69" s="74" t="s">
        <v>184</v>
      </c>
      <c r="V69" s="74" t="s">
        <v>183</v>
      </c>
      <c r="W69" s="74" t="s">
        <v>184</v>
      </c>
      <c r="X69" s="74" t="s">
        <v>183</v>
      </c>
    </row>
    <row r="70" spans="2:24" x14ac:dyDescent="0.25">
      <c r="B70" s="15">
        <v>2018</v>
      </c>
      <c r="C70" s="120">
        <f>K70+S70</f>
        <v>-3910</v>
      </c>
      <c r="D70" s="120">
        <f t="shared" ref="D70:H85" si="17">L70+T70</f>
        <v>-1015</v>
      </c>
      <c r="E70" s="120">
        <f t="shared" si="17"/>
        <v>-65368</v>
      </c>
      <c r="F70" s="120">
        <f t="shared" si="17"/>
        <v>-16967</v>
      </c>
      <c r="G70" s="120">
        <f t="shared" si="17"/>
        <v>-12680</v>
      </c>
      <c r="H70" s="120">
        <f t="shared" si="17"/>
        <v>-3386</v>
      </c>
      <c r="J70" s="15">
        <v>2018</v>
      </c>
      <c r="K70" s="63">
        <v>-3335</v>
      </c>
      <c r="L70" s="63">
        <v>-842</v>
      </c>
      <c r="M70" s="63">
        <v>-55762</v>
      </c>
      <c r="N70" s="63">
        <v>-14078</v>
      </c>
      <c r="O70" s="63">
        <v>-10033</v>
      </c>
      <c r="P70" s="63">
        <v>-2577</v>
      </c>
      <c r="R70" s="15">
        <v>2018</v>
      </c>
      <c r="S70" s="63">
        <v>-575</v>
      </c>
      <c r="T70" s="63">
        <v>-173</v>
      </c>
      <c r="U70" s="63">
        <v>-9606</v>
      </c>
      <c r="V70" s="63">
        <v>-2889</v>
      </c>
      <c r="W70" s="63">
        <v>-2647</v>
      </c>
      <c r="X70" s="63">
        <v>-809</v>
      </c>
    </row>
    <row r="71" spans="2:24" x14ac:dyDescent="0.25">
      <c r="B71" s="15">
        <v>2019</v>
      </c>
      <c r="C71" s="120">
        <f t="shared" ref="C71:C95" si="18">K71+S71</f>
        <v>-3960</v>
      </c>
      <c r="D71" s="120">
        <f t="shared" si="17"/>
        <v>-1032</v>
      </c>
      <c r="E71" s="120">
        <f t="shared" si="17"/>
        <v>-66210</v>
      </c>
      <c r="F71" s="120">
        <f t="shared" si="17"/>
        <v>-17241</v>
      </c>
      <c r="G71" s="120">
        <f t="shared" si="17"/>
        <v>-12824</v>
      </c>
      <c r="H71" s="120">
        <f t="shared" si="17"/>
        <v>-3414</v>
      </c>
      <c r="J71" s="15">
        <v>2019</v>
      </c>
      <c r="K71" s="63">
        <v>-3379</v>
      </c>
      <c r="L71" s="63">
        <v>-857</v>
      </c>
      <c r="M71" s="63">
        <v>-56502</v>
      </c>
      <c r="N71" s="63">
        <v>-14325</v>
      </c>
      <c r="O71" s="63">
        <v>-10149</v>
      </c>
      <c r="P71" s="63">
        <v>-2598</v>
      </c>
      <c r="R71" s="15">
        <v>2019</v>
      </c>
      <c r="S71" s="63">
        <v>-581</v>
      </c>
      <c r="T71" s="63">
        <v>-175</v>
      </c>
      <c r="U71" s="63">
        <v>-9708</v>
      </c>
      <c r="V71" s="63">
        <v>-2916</v>
      </c>
      <c r="W71" s="63">
        <v>-2675</v>
      </c>
      <c r="X71" s="63">
        <v>-816</v>
      </c>
    </row>
    <row r="72" spans="2:24" x14ac:dyDescent="0.25">
      <c r="B72" s="15">
        <v>2020</v>
      </c>
      <c r="C72" s="120">
        <f t="shared" si="18"/>
        <v>-4011</v>
      </c>
      <c r="D72" s="120">
        <f t="shared" si="17"/>
        <v>-1048</v>
      </c>
      <c r="E72" s="120">
        <f t="shared" si="17"/>
        <v>-67062</v>
      </c>
      <c r="F72" s="120">
        <f t="shared" si="17"/>
        <v>-17520</v>
      </c>
      <c r="G72" s="120">
        <f t="shared" si="17"/>
        <v>-12969</v>
      </c>
      <c r="H72" s="120">
        <f t="shared" si="17"/>
        <v>-3443</v>
      </c>
      <c r="J72" s="15">
        <v>2020</v>
      </c>
      <c r="K72" s="63">
        <v>-3424</v>
      </c>
      <c r="L72" s="63">
        <v>-872</v>
      </c>
      <c r="M72" s="63">
        <v>-57251</v>
      </c>
      <c r="N72" s="63">
        <v>-14577</v>
      </c>
      <c r="O72" s="63">
        <v>-10266</v>
      </c>
      <c r="P72" s="63">
        <v>-2619</v>
      </c>
      <c r="R72" s="15">
        <v>2020</v>
      </c>
      <c r="S72" s="63">
        <v>-587</v>
      </c>
      <c r="T72" s="63">
        <v>-176</v>
      </c>
      <c r="U72" s="63">
        <v>-9811</v>
      </c>
      <c r="V72" s="63">
        <v>-2943</v>
      </c>
      <c r="W72" s="63">
        <v>-2703</v>
      </c>
      <c r="X72" s="63">
        <v>-824</v>
      </c>
    </row>
    <row r="73" spans="2:24" x14ac:dyDescent="0.25">
      <c r="B73" s="15">
        <v>2021</v>
      </c>
      <c r="C73" s="120">
        <f t="shared" si="18"/>
        <v>-4062</v>
      </c>
      <c r="D73" s="120">
        <f t="shared" si="17"/>
        <v>-1065</v>
      </c>
      <c r="E73" s="120">
        <f t="shared" si="17"/>
        <v>-67926</v>
      </c>
      <c r="F73" s="120">
        <f t="shared" si="17"/>
        <v>-17803</v>
      </c>
      <c r="G73" s="120">
        <f t="shared" si="17"/>
        <v>-13117</v>
      </c>
      <c r="H73" s="120">
        <f t="shared" si="17"/>
        <v>-3471</v>
      </c>
      <c r="J73" s="15">
        <v>2021</v>
      </c>
      <c r="K73" s="63">
        <v>-3469</v>
      </c>
      <c r="L73" s="63">
        <v>-887</v>
      </c>
      <c r="M73" s="63">
        <v>-58010</v>
      </c>
      <c r="N73" s="63">
        <v>-14833</v>
      </c>
      <c r="O73" s="63">
        <v>-10385</v>
      </c>
      <c r="P73" s="63">
        <v>-2640</v>
      </c>
      <c r="R73" s="15">
        <v>2021</v>
      </c>
      <c r="S73" s="63">
        <v>-593</v>
      </c>
      <c r="T73" s="63">
        <v>-178</v>
      </c>
      <c r="U73" s="63">
        <v>-9916</v>
      </c>
      <c r="V73" s="63">
        <v>-2970</v>
      </c>
      <c r="W73" s="63">
        <v>-2732</v>
      </c>
      <c r="X73" s="63">
        <v>-831</v>
      </c>
    </row>
    <row r="74" spans="2:24" x14ac:dyDescent="0.25">
      <c r="B74" s="15">
        <v>2022</v>
      </c>
      <c r="C74" s="120">
        <f t="shared" si="18"/>
        <v>-4115</v>
      </c>
      <c r="D74" s="120">
        <f t="shared" si="17"/>
        <v>-1082</v>
      </c>
      <c r="E74" s="120">
        <f t="shared" si="17"/>
        <v>-68800</v>
      </c>
      <c r="F74" s="120">
        <f t="shared" si="17"/>
        <v>-18090</v>
      </c>
      <c r="G74" s="120">
        <f t="shared" si="17"/>
        <v>-13266</v>
      </c>
      <c r="H74" s="120">
        <f t="shared" si="17"/>
        <v>-3500</v>
      </c>
      <c r="J74" s="15">
        <v>2022</v>
      </c>
      <c r="K74" s="63">
        <v>-3515</v>
      </c>
      <c r="L74" s="63">
        <v>-903</v>
      </c>
      <c r="M74" s="63">
        <v>-58779</v>
      </c>
      <c r="N74" s="63">
        <v>-15093</v>
      </c>
      <c r="O74" s="63">
        <v>-10505</v>
      </c>
      <c r="P74" s="63">
        <v>-2661</v>
      </c>
      <c r="R74" s="15">
        <v>2022</v>
      </c>
      <c r="S74" s="63">
        <v>-600</v>
      </c>
      <c r="T74" s="63">
        <v>-179</v>
      </c>
      <c r="U74" s="63">
        <v>-10021</v>
      </c>
      <c r="V74" s="63">
        <v>-2997</v>
      </c>
      <c r="W74" s="63">
        <v>-2761</v>
      </c>
      <c r="X74" s="63">
        <v>-839</v>
      </c>
    </row>
    <row r="75" spans="2:24" x14ac:dyDescent="0.25">
      <c r="B75" s="15">
        <v>2023</v>
      </c>
      <c r="C75" s="120">
        <f t="shared" si="18"/>
        <v>-4168</v>
      </c>
      <c r="D75" s="120">
        <f t="shared" si="17"/>
        <v>-1099</v>
      </c>
      <c r="E75" s="120">
        <f t="shared" si="17"/>
        <v>-69687</v>
      </c>
      <c r="F75" s="120">
        <f t="shared" si="17"/>
        <v>-18381</v>
      </c>
      <c r="G75" s="120">
        <f t="shared" si="17"/>
        <v>-13416</v>
      </c>
      <c r="H75" s="120">
        <f t="shared" si="17"/>
        <v>-3529</v>
      </c>
      <c r="J75" s="15">
        <v>2023</v>
      </c>
      <c r="K75" s="63">
        <v>-3562</v>
      </c>
      <c r="L75" s="63">
        <v>-918</v>
      </c>
      <c r="M75" s="63">
        <v>-59559</v>
      </c>
      <c r="N75" s="63">
        <v>-15357</v>
      </c>
      <c r="O75" s="63">
        <v>-10626</v>
      </c>
      <c r="P75" s="63">
        <v>-2683</v>
      </c>
      <c r="R75" s="15">
        <v>2023</v>
      </c>
      <c r="S75" s="63">
        <v>-606</v>
      </c>
      <c r="T75" s="63">
        <v>-181</v>
      </c>
      <c r="U75" s="63">
        <v>-10128</v>
      </c>
      <c r="V75" s="63">
        <v>-3024</v>
      </c>
      <c r="W75" s="63">
        <v>-2790</v>
      </c>
      <c r="X75" s="63">
        <v>-846</v>
      </c>
    </row>
    <row r="76" spans="2:24" x14ac:dyDescent="0.25">
      <c r="B76" s="15">
        <v>2024</v>
      </c>
      <c r="C76" s="120">
        <f t="shared" si="18"/>
        <v>26458</v>
      </c>
      <c r="D76" s="120">
        <f t="shared" si="17"/>
        <v>29554</v>
      </c>
      <c r="E76" s="120">
        <f t="shared" si="17"/>
        <v>405050</v>
      </c>
      <c r="F76" s="120">
        <f t="shared" si="17"/>
        <v>418282</v>
      </c>
      <c r="G76" s="120">
        <f t="shared" si="17"/>
        <v>52659</v>
      </c>
      <c r="H76" s="120">
        <f t="shared" si="17"/>
        <v>59545</v>
      </c>
      <c r="J76" s="15">
        <v>2024</v>
      </c>
      <c r="K76" s="63">
        <v>25707</v>
      </c>
      <c r="L76" s="63">
        <v>27993</v>
      </c>
      <c r="M76" s="63">
        <v>392971</v>
      </c>
      <c r="N76" s="63">
        <v>395348</v>
      </c>
      <c r="O76" s="63">
        <v>50399</v>
      </c>
      <c r="P76" s="63">
        <v>55792</v>
      </c>
      <c r="R76" s="15">
        <v>2024</v>
      </c>
      <c r="S76" s="63">
        <v>751</v>
      </c>
      <c r="T76" s="63">
        <v>1561</v>
      </c>
      <c r="U76" s="63">
        <v>12079</v>
      </c>
      <c r="V76" s="63">
        <v>22934</v>
      </c>
      <c r="W76" s="63">
        <v>2260</v>
      </c>
      <c r="X76" s="63">
        <v>3753</v>
      </c>
    </row>
    <row r="77" spans="2:24" x14ac:dyDescent="0.25">
      <c r="B77" s="15">
        <v>2025</v>
      </c>
      <c r="C77" s="120">
        <f t="shared" si="18"/>
        <v>27384</v>
      </c>
      <c r="D77" s="120">
        <f t="shared" si="17"/>
        <v>30256</v>
      </c>
      <c r="E77" s="120">
        <f t="shared" si="17"/>
        <v>418789</v>
      </c>
      <c r="F77" s="120">
        <f t="shared" si="17"/>
        <v>428559</v>
      </c>
      <c r="G77" s="120">
        <f t="shared" si="17"/>
        <v>54483</v>
      </c>
      <c r="H77" s="120">
        <f t="shared" si="17"/>
        <v>60950</v>
      </c>
      <c r="J77" s="15">
        <v>2025</v>
      </c>
      <c r="K77" s="63">
        <v>26605</v>
      </c>
      <c r="L77" s="63">
        <v>28674</v>
      </c>
      <c r="M77" s="63">
        <v>406273</v>
      </c>
      <c r="N77" s="63">
        <v>405321</v>
      </c>
      <c r="O77" s="63">
        <v>52132</v>
      </c>
      <c r="P77" s="63">
        <v>57142</v>
      </c>
      <c r="R77" s="15">
        <v>2025</v>
      </c>
      <c r="S77" s="63">
        <v>779</v>
      </c>
      <c r="T77" s="63">
        <v>1582</v>
      </c>
      <c r="U77" s="63">
        <v>12516</v>
      </c>
      <c r="V77" s="63">
        <v>23238</v>
      </c>
      <c r="W77" s="63">
        <v>2351</v>
      </c>
      <c r="X77" s="63">
        <v>3808</v>
      </c>
    </row>
    <row r="78" spans="2:24" x14ac:dyDescent="0.25">
      <c r="B78" s="15">
        <v>2026</v>
      </c>
      <c r="C78" s="120">
        <f t="shared" si="18"/>
        <v>28330</v>
      </c>
      <c r="D78" s="120">
        <f t="shared" si="17"/>
        <v>30971</v>
      </c>
      <c r="E78" s="120">
        <f t="shared" si="17"/>
        <v>432829</v>
      </c>
      <c r="F78" s="120">
        <f t="shared" si="17"/>
        <v>439048</v>
      </c>
      <c r="G78" s="120">
        <f t="shared" si="17"/>
        <v>56346</v>
      </c>
      <c r="H78" s="120">
        <f t="shared" si="17"/>
        <v>62383</v>
      </c>
      <c r="J78" s="15">
        <v>2026</v>
      </c>
      <c r="K78" s="63">
        <v>27523</v>
      </c>
      <c r="L78" s="63">
        <v>29369</v>
      </c>
      <c r="M78" s="63">
        <v>419869</v>
      </c>
      <c r="N78" s="63">
        <v>415501</v>
      </c>
      <c r="O78" s="63">
        <v>53902</v>
      </c>
      <c r="P78" s="63">
        <v>58519</v>
      </c>
      <c r="R78" s="15">
        <v>2026</v>
      </c>
      <c r="S78" s="63">
        <v>807</v>
      </c>
      <c r="T78" s="63">
        <v>1602</v>
      </c>
      <c r="U78" s="63">
        <v>12960</v>
      </c>
      <c r="V78" s="63">
        <v>23547</v>
      </c>
      <c r="W78" s="63">
        <v>2444</v>
      </c>
      <c r="X78" s="63">
        <v>3864</v>
      </c>
    </row>
    <row r="79" spans="2:24" x14ac:dyDescent="0.25">
      <c r="B79" s="15">
        <v>2027</v>
      </c>
      <c r="C79" s="120">
        <f t="shared" si="18"/>
        <v>29297</v>
      </c>
      <c r="D79" s="120">
        <f t="shared" si="17"/>
        <v>31700</v>
      </c>
      <c r="E79" s="120">
        <f t="shared" si="17"/>
        <v>447177</v>
      </c>
      <c r="F79" s="120">
        <f t="shared" si="17"/>
        <v>449753</v>
      </c>
      <c r="G79" s="120">
        <f t="shared" si="17"/>
        <v>58250</v>
      </c>
      <c r="H79" s="120">
        <f t="shared" si="17"/>
        <v>63845</v>
      </c>
      <c r="J79" s="15">
        <v>2027</v>
      </c>
      <c r="K79" s="63">
        <v>28461</v>
      </c>
      <c r="L79" s="63">
        <v>30077</v>
      </c>
      <c r="M79" s="63">
        <v>433765</v>
      </c>
      <c r="N79" s="63">
        <v>425894</v>
      </c>
      <c r="O79" s="63">
        <v>55711</v>
      </c>
      <c r="P79" s="63">
        <v>59924</v>
      </c>
      <c r="R79" s="15">
        <v>2027</v>
      </c>
      <c r="S79" s="63">
        <v>836</v>
      </c>
      <c r="T79" s="63">
        <v>1623</v>
      </c>
      <c r="U79" s="63">
        <v>13412</v>
      </c>
      <c r="V79" s="63">
        <v>23859</v>
      </c>
      <c r="W79" s="63">
        <v>2539</v>
      </c>
      <c r="X79" s="63">
        <v>3921</v>
      </c>
    </row>
    <row r="80" spans="2:24" x14ac:dyDescent="0.25">
      <c r="B80" s="15">
        <v>2028</v>
      </c>
      <c r="C80" s="120">
        <f t="shared" si="18"/>
        <v>30285</v>
      </c>
      <c r="D80" s="120">
        <f t="shared" si="17"/>
        <v>32445</v>
      </c>
      <c r="E80" s="120">
        <f t="shared" si="17"/>
        <v>461839</v>
      </c>
      <c r="F80" s="120">
        <f t="shared" si="17"/>
        <v>460677</v>
      </c>
      <c r="G80" s="120">
        <f t="shared" si="17"/>
        <v>60194</v>
      </c>
      <c r="H80" s="120">
        <f t="shared" si="17"/>
        <v>65334</v>
      </c>
      <c r="J80" s="15">
        <v>2028</v>
      </c>
      <c r="K80" s="63">
        <v>29419</v>
      </c>
      <c r="L80" s="63">
        <v>30801</v>
      </c>
      <c r="M80" s="63">
        <v>447967</v>
      </c>
      <c r="N80" s="63">
        <v>436502</v>
      </c>
      <c r="O80" s="63">
        <v>57559</v>
      </c>
      <c r="P80" s="63">
        <v>61356</v>
      </c>
      <c r="R80" s="15">
        <v>2028</v>
      </c>
      <c r="S80" s="63">
        <v>866</v>
      </c>
      <c r="T80" s="63">
        <v>1644</v>
      </c>
      <c r="U80" s="63">
        <v>13872</v>
      </c>
      <c r="V80" s="63">
        <v>24175</v>
      </c>
      <c r="W80" s="63">
        <v>2635</v>
      </c>
      <c r="X80" s="63">
        <v>3978</v>
      </c>
    </row>
    <row r="81" spans="2:24" x14ac:dyDescent="0.25">
      <c r="B81" s="15">
        <v>2029</v>
      </c>
      <c r="C81" s="120">
        <f t="shared" si="18"/>
        <v>31293</v>
      </c>
      <c r="D81" s="120">
        <f t="shared" si="17"/>
        <v>33203</v>
      </c>
      <c r="E81" s="120">
        <f t="shared" si="17"/>
        <v>476821</v>
      </c>
      <c r="F81" s="120">
        <f t="shared" si="17"/>
        <v>471826</v>
      </c>
      <c r="G81" s="120">
        <f t="shared" si="17"/>
        <v>62180</v>
      </c>
      <c r="H81" s="120">
        <f t="shared" si="17"/>
        <v>66855</v>
      </c>
      <c r="J81" s="15">
        <v>2029</v>
      </c>
      <c r="K81" s="63">
        <v>30398</v>
      </c>
      <c r="L81" s="63">
        <v>31538</v>
      </c>
      <c r="M81" s="63">
        <v>462482</v>
      </c>
      <c r="N81" s="63">
        <v>447331</v>
      </c>
      <c r="O81" s="63">
        <v>59447</v>
      </c>
      <c r="P81" s="63">
        <v>62818</v>
      </c>
      <c r="R81" s="15">
        <v>2029</v>
      </c>
      <c r="S81" s="63">
        <v>895</v>
      </c>
      <c r="T81" s="63">
        <v>1665</v>
      </c>
      <c r="U81" s="63">
        <v>14339</v>
      </c>
      <c r="V81" s="63">
        <v>24495</v>
      </c>
      <c r="W81" s="63">
        <v>2733</v>
      </c>
      <c r="X81" s="63">
        <v>4037</v>
      </c>
    </row>
    <row r="82" spans="2:24" x14ac:dyDescent="0.25">
      <c r="B82" s="15">
        <v>2030</v>
      </c>
      <c r="C82" s="120">
        <f t="shared" si="18"/>
        <v>32324</v>
      </c>
      <c r="D82" s="120">
        <f t="shared" si="17"/>
        <v>33978</v>
      </c>
      <c r="E82" s="120">
        <f t="shared" si="17"/>
        <v>492130</v>
      </c>
      <c r="F82" s="120">
        <f t="shared" si="17"/>
        <v>483204</v>
      </c>
      <c r="G82" s="120">
        <f t="shared" si="17"/>
        <v>64208</v>
      </c>
      <c r="H82" s="120">
        <f t="shared" si="17"/>
        <v>68405</v>
      </c>
      <c r="J82" s="15">
        <v>2030</v>
      </c>
      <c r="K82" s="63">
        <v>31398</v>
      </c>
      <c r="L82" s="63">
        <v>32291</v>
      </c>
      <c r="M82" s="63">
        <v>477315</v>
      </c>
      <c r="N82" s="63">
        <v>458384</v>
      </c>
      <c r="O82" s="63">
        <v>61376</v>
      </c>
      <c r="P82" s="63">
        <v>64309</v>
      </c>
      <c r="R82" s="15">
        <v>2030</v>
      </c>
      <c r="S82" s="63">
        <v>926</v>
      </c>
      <c r="T82" s="63">
        <v>1687</v>
      </c>
      <c r="U82" s="63">
        <v>14815</v>
      </c>
      <c r="V82" s="63">
        <v>24820</v>
      </c>
      <c r="W82" s="63">
        <v>2832</v>
      </c>
      <c r="X82" s="63">
        <v>4096</v>
      </c>
    </row>
    <row r="83" spans="2:24" x14ac:dyDescent="0.25">
      <c r="B83" s="15">
        <v>2031</v>
      </c>
      <c r="C83" s="120">
        <f t="shared" si="18"/>
        <v>33377</v>
      </c>
      <c r="D83" s="120">
        <f t="shared" si="17"/>
        <v>34768</v>
      </c>
      <c r="E83" s="120">
        <f t="shared" si="17"/>
        <v>507770</v>
      </c>
      <c r="F83" s="120">
        <f t="shared" si="17"/>
        <v>494813</v>
      </c>
      <c r="G83" s="120">
        <f t="shared" si="17"/>
        <v>66280</v>
      </c>
      <c r="H83" s="120">
        <f t="shared" si="17"/>
        <v>69986</v>
      </c>
      <c r="J83" s="15">
        <v>2031</v>
      </c>
      <c r="K83" s="63">
        <v>32420</v>
      </c>
      <c r="L83" s="63">
        <v>33059</v>
      </c>
      <c r="M83" s="63">
        <v>492472</v>
      </c>
      <c r="N83" s="63">
        <v>469665</v>
      </c>
      <c r="O83" s="63">
        <v>63346</v>
      </c>
      <c r="P83" s="63">
        <v>65830</v>
      </c>
      <c r="R83" s="15">
        <v>2031</v>
      </c>
      <c r="S83" s="63">
        <v>957</v>
      </c>
      <c r="T83" s="63">
        <v>1709</v>
      </c>
      <c r="U83" s="63">
        <v>15298</v>
      </c>
      <c r="V83" s="63">
        <v>25148</v>
      </c>
      <c r="W83" s="63">
        <v>2934</v>
      </c>
      <c r="X83" s="63">
        <v>4156</v>
      </c>
    </row>
    <row r="84" spans="2:24" x14ac:dyDescent="0.25">
      <c r="B84" s="15">
        <v>2032</v>
      </c>
      <c r="C84" s="120">
        <f t="shared" si="18"/>
        <v>34451</v>
      </c>
      <c r="D84" s="120">
        <f t="shared" si="17"/>
        <v>35573</v>
      </c>
      <c r="E84" s="120">
        <f t="shared" si="17"/>
        <v>523750</v>
      </c>
      <c r="F84" s="120">
        <f t="shared" si="17"/>
        <v>506660</v>
      </c>
      <c r="G84" s="120">
        <f t="shared" si="17"/>
        <v>68395</v>
      </c>
      <c r="H84" s="120">
        <f t="shared" si="17"/>
        <v>71598</v>
      </c>
      <c r="J84" s="15">
        <v>2032</v>
      </c>
      <c r="K84" s="63">
        <v>33463</v>
      </c>
      <c r="L84" s="63">
        <v>33842</v>
      </c>
      <c r="M84" s="63">
        <v>507960</v>
      </c>
      <c r="N84" s="63">
        <v>481180</v>
      </c>
      <c r="O84" s="63">
        <v>65358</v>
      </c>
      <c r="P84" s="63">
        <v>67381</v>
      </c>
      <c r="R84" s="15">
        <v>2032</v>
      </c>
      <c r="S84" s="63">
        <v>988</v>
      </c>
      <c r="T84" s="63">
        <v>1731</v>
      </c>
      <c r="U84" s="63">
        <v>15790</v>
      </c>
      <c r="V84" s="63">
        <v>25480</v>
      </c>
      <c r="W84" s="63">
        <v>3037</v>
      </c>
      <c r="X84" s="63">
        <v>4217</v>
      </c>
    </row>
    <row r="85" spans="2:24" x14ac:dyDescent="0.25">
      <c r="B85" s="15">
        <v>2033</v>
      </c>
      <c r="C85" s="120">
        <f t="shared" si="18"/>
        <v>35550</v>
      </c>
      <c r="D85" s="120">
        <f t="shared" si="17"/>
        <v>36393</v>
      </c>
      <c r="E85" s="120">
        <f t="shared" si="17"/>
        <v>540075</v>
      </c>
      <c r="F85" s="120">
        <f t="shared" si="17"/>
        <v>518750</v>
      </c>
      <c r="G85" s="120">
        <f t="shared" si="17"/>
        <v>70555</v>
      </c>
      <c r="H85" s="120">
        <f t="shared" si="17"/>
        <v>73241</v>
      </c>
      <c r="J85" s="15">
        <v>2033</v>
      </c>
      <c r="K85" s="63">
        <v>34530</v>
      </c>
      <c r="L85" s="63">
        <v>34640</v>
      </c>
      <c r="M85" s="63">
        <v>523785</v>
      </c>
      <c r="N85" s="63">
        <v>492933</v>
      </c>
      <c r="O85" s="63">
        <v>67413</v>
      </c>
      <c r="P85" s="63">
        <v>68963</v>
      </c>
      <c r="R85" s="15">
        <v>2033</v>
      </c>
      <c r="S85" s="63">
        <v>1020</v>
      </c>
      <c r="T85" s="63">
        <v>1753</v>
      </c>
      <c r="U85" s="63">
        <v>16290</v>
      </c>
      <c r="V85" s="63">
        <v>25817</v>
      </c>
      <c r="W85" s="63">
        <v>3142</v>
      </c>
      <c r="X85" s="63">
        <v>4278</v>
      </c>
    </row>
    <row r="86" spans="2:24" x14ac:dyDescent="0.25">
      <c r="B86" s="15">
        <v>2034</v>
      </c>
      <c r="C86" s="120">
        <f t="shared" si="18"/>
        <v>36671</v>
      </c>
      <c r="D86" s="120">
        <f t="shared" ref="D86:D95" si="19">L86+T86</f>
        <v>37231</v>
      </c>
      <c r="E86" s="120">
        <f t="shared" ref="E86:E95" si="20">M86+U86</f>
        <v>556754</v>
      </c>
      <c r="F86" s="120">
        <f t="shared" ref="F86:F95" si="21">N86+V86</f>
        <v>531085</v>
      </c>
      <c r="G86" s="120">
        <f t="shared" ref="G86:G95" si="22">O86+W86</f>
        <v>72762</v>
      </c>
      <c r="H86" s="120">
        <f t="shared" ref="H86:H95" si="23">P86+X86</f>
        <v>74917</v>
      </c>
      <c r="J86" s="15">
        <v>2034</v>
      </c>
      <c r="K86" s="63">
        <v>35619</v>
      </c>
      <c r="L86" s="63">
        <v>35455</v>
      </c>
      <c r="M86" s="63">
        <v>539955</v>
      </c>
      <c r="N86" s="63">
        <v>504927</v>
      </c>
      <c r="O86" s="63">
        <v>69513</v>
      </c>
      <c r="P86" s="63">
        <v>70577</v>
      </c>
      <c r="R86" s="15">
        <v>2034</v>
      </c>
      <c r="S86" s="63">
        <v>1052</v>
      </c>
      <c r="T86" s="63">
        <v>1776</v>
      </c>
      <c r="U86" s="63">
        <v>16799</v>
      </c>
      <c r="V86" s="63">
        <v>26158</v>
      </c>
      <c r="W86" s="63">
        <v>3249</v>
      </c>
      <c r="X86" s="63">
        <v>4340</v>
      </c>
    </row>
    <row r="87" spans="2:24" x14ac:dyDescent="0.25">
      <c r="B87" s="15">
        <v>2035</v>
      </c>
      <c r="C87" s="120">
        <f t="shared" si="18"/>
        <v>37817</v>
      </c>
      <c r="D87" s="120">
        <f t="shared" si="19"/>
        <v>38085</v>
      </c>
      <c r="E87" s="120">
        <f t="shared" si="20"/>
        <v>573791</v>
      </c>
      <c r="F87" s="120">
        <f t="shared" si="21"/>
        <v>543672</v>
      </c>
      <c r="G87" s="120">
        <f t="shared" si="22"/>
        <v>75014</v>
      </c>
      <c r="H87" s="120">
        <f t="shared" si="23"/>
        <v>76627</v>
      </c>
      <c r="J87" s="15">
        <v>2035</v>
      </c>
      <c r="K87" s="63">
        <v>36731</v>
      </c>
      <c r="L87" s="63">
        <v>36286</v>
      </c>
      <c r="M87" s="63">
        <v>556475</v>
      </c>
      <c r="N87" s="63">
        <v>517169</v>
      </c>
      <c r="O87" s="63">
        <v>71657</v>
      </c>
      <c r="P87" s="63">
        <v>72223</v>
      </c>
      <c r="R87" s="15">
        <v>2035</v>
      </c>
      <c r="S87" s="63">
        <v>1086</v>
      </c>
      <c r="T87" s="63">
        <v>1799</v>
      </c>
      <c r="U87" s="63">
        <v>17316</v>
      </c>
      <c r="V87" s="63">
        <v>26503</v>
      </c>
      <c r="W87" s="63">
        <v>3357</v>
      </c>
      <c r="X87" s="63">
        <v>4404</v>
      </c>
    </row>
    <row r="88" spans="2:24" x14ac:dyDescent="0.25">
      <c r="B88" s="15">
        <v>2036</v>
      </c>
      <c r="C88" s="120">
        <f t="shared" si="18"/>
        <v>38987</v>
      </c>
      <c r="D88" s="120">
        <f t="shared" si="19"/>
        <v>38956</v>
      </c>
      <c r="E88" s="120">
        <f t="shared" si="20"/>
        <v>591194</v>
      </c>
      <c r="F88" s="120">
        <f t="shared" si="21"/>
        <v>556515</v>
      </c>
      <c r="G88" s="120">
        <f t="shared" si="22"/>
        <v>77314</v>
      </c>
      <c r="H88" s="120">
        <f t="shared" si="23"/>
        <v>78370</v>
      </c>
      <c r="J88" s="15">
        <v>2036</v>
      </c>
      <c r="K88" s="63">
        <v>37868</v>
      </c>
      <c r="L88" s="63">
        <v>37134</v>
      </c>
      <c r="M88" s="63">
        <v>573353</v>
      </c>
      <c r="N88" s="63">
        <v>529663</v>
      </c>
      <c r="O88" s="63">
        <v>73846</v>
      </c>
      <c r="P88" s="63">
        <v>73902</v>
      </c>
      <c r="R88" s="15">
        <v>2036</v>
      </c>
      <c r="S88" s="63">
        <v>1119</v>
      </c>
      <c r="T88" s="63">
        <v>1822</v>
      </c>
      <c r="U88" s="63">
        <v>17841</v>
      </c>
      <c r="V88" s="63">
        <v>26852</v>
      </c>
      <c r="W88" s="63">
        <v>3468</v>
      </c>
      <c r="X88" s="63">
        <v>4468</v>
      </c>
    </row>
    <row r="89" spans="2:24" x14ac:dyDescent="0.25">
      <c r="B89" s="15">
        <v>2037</v>
      </c>
      <c r="C89" s="120">
        <f t="shared" si="18"/>
        <v>40181</v>
      </c>
      <c r="D89" s="120">
        <f t="shared" si="19"/>
        <v>39843</v>
      </c>
      <c r="E89" s="120">
        <f t="shared" si="20"/>
        <v>608972</v>
      </c>
      <c r="F89" s="120">
        <f t="shared" si="21"/>
        <v>569620</v>
      </c>
      <c r="G89" s="120">
        <f t="shared" si="22"/>
        <v>79663</v>
      </c>
      <c r="H89" s="120">
        <f t="shared" si="23"/>
        <v>80146</v>
      </c>
      <c r="J89" s="15">
        <v>2037</v>
      </c>
      <c r="K89" s="63">
        <v>39028</v>
      </c>
      <c r="L89" s="63">
        <v>37998</v>
      </c>
      <c r="M89" s="63">
        <v>590596</v>
      </c>
      <c r="N89" s="63">
        <v>542414</v>
      </c>
      <c r="O89" s="63">
        <v>76082</v>
      </c>
      <c r="P89" s="63">
        <v>75614</v>
      </c>
      <c r="R89" s="15">
        <v>2037</v>
      </c>
      <c r="S89" s="63">
        <v>1153</v>
      </c>
      <c r="T89" s="63">
        <v>1845</v>
      </c>
      <c r="U89" s="63">
        <v>18376</v>
      </c>
      <c r="V89" s="63">
        <v>27206</v>
      </c>
      <c r="W89" s="63">
        <v>3581</v>
      </c>
      <c r="X89" s="63">
        <v>4532</v>
      </c>
    </row>
    <row r="90" spans="2:24" x14ac:dyDescent="0.25">
      <c r="B90" s="15">
        <v>2038</v>
      </c>
      <c r="C90" s="120">
        <f t="shared" si="18"/>
        <v>41402</v>
      </c>
      <c r="D90" s="120">
        <f t="shared" si="19"/>
        <v>40749</v>
      </c>
      <c r="E90" s="120">
        <f t="shared" si="20"/>
        <v>627129</v>
      </c>
      <c r="F90" s="120">
        <f t="shared" si="21"/>
        <v>582991</v>
      </c>
      <c r="G90" s="120">
        <f t="shared" si="22"/>
        <v>82060</v>
      </c>
      <c r="H90" s="120">
        <f t="shared" si="23"/>
        <v>81958</v>
      </c>
      <c r="J90" s="15">
        <v>2038</v>
      </c>
      <c r="K90" s="63">
        <v>40214</v>
      </c>
      <c r="L90" s="63">
        <v>38880</v>
      </c>
      <c r="M90" s="63">
        <v>608210</v>
      </c>
      <c r="N90" s="63">
        <v>555427</v>
      </c>
      <c r="O90" s="63">
        <v>78365</v>
      </c>
      <c r="P90" s="63">
        <v>77360</v>
      </c>
      <c r="R90" s="15">
        <v>2038</v>
      </c>
      <c r="S90" s="63">
        <v>1188</v>
      </c>
      <c r="T90" s="63">
        <v>1869</v>
      </c>
      <c r="U90" s="63">
        <v>18919</v>
      </c>
      <c r="V90" s="63">
        <v>27564</v>
      </c>
      <c r="W90" s="63">
        <v>3695</v>
      </c>
      <c r="X90" s="63">
        <v>4598</v>
      </c>
    </row>
    <row r="91" spans="2:24" x14ac:dyDescent="0.25">
      <c r="B91" s="15">
        <v>2039</v>
      </c>
      <c r="C91" s="120">
        <f t="shared" si="18"/>
        <v>42647</v>
      </c>
      <c r="D91" s="120">
        <f t="shared" si="19"/>
        <v>41672</v>
      </c>
      <c r="E91" s="120">
        <f t="shared" si="20"/>
        <v>645674</v>
      </c>
      <c r="F91" s="120">
        <f t="shared" si="21"/>
        <v>596633</v>
      </c>
      <c r="G91" s="120">
        <f t="shared" si="22"/>
        <v>84509</v>
      </c>
      <c r="H91" s="120">
        <f t="shared" si="23"/>
        <v>83806</v>
      </c>
      <c r="J91" s="15">
        <v>2039</v>
      </c>
      <c r="K91" s="63">
        <v>41424</v>
      </c>
      <c r="L91" s="63">
        <v>39779</v>
      </c>
      <c r="M91" s="63">
        <v>626203</v>
      </c>
      <c r="N91" s="63">
        <v>568706</v>
      </c>
      <c r="O91" s="63">
        <v>80697</v>
      </c>
      <c r="P91" s="63">
        <v>79141</v>
      </c>
      <c r="R91" s="15">
        <v>2039</v>
      </c>
      <c r="S91" s="63">
        <v>1223</v>
      </c>
      <c r="T91" s="63">
        <v>1893</v>
      </c>
      <c r="U91" s="63">
        <v>19471</v>
      </c>
      <c r="V91" s="63">
        <v>27927</v>
      </c>
      <c r="W91" s="63">
        <v>3812</v>
      </c>
      <c r="X91" s="63">
        <v>4665</v>
      </c>
    </row>
    <row r="92" spans="2:24" x14ac:dyDescent="0.25">
      <c r="B92" s="15">
        <v>2040</v>
      </c>
      <c r="C92" s="120">
        <f t="shared" si="18"/>
        <v>43919</v>
      </c>
      <c r="D92" s="120">
        <f t="shared" si="19"/>
        <v>42614</v>
      </c>
      <c r="E92" s="120">
        <f t="shared" si="20"/>
        <v>664616</v>
      </c>
      <c r="F92" s="120">
        <f t="shared" si="21"/>
        <v>610551</v>
      </c>
      <c r="G92" s="120">
        <f t="shared" si="22"/>
        <v>87008</v>
      </c>
      <c r="H92" s="120">
        <f t="shared" si="23"/>
        <v>85690</v>
      </c>
      <c r="J92" s="15">
        <v>2040</v>
      </c>
      <c r="K92" s="63">
        <v>42660</v>
      </c>
      <c r="L92" s="63">
        <v>40696</v>
      </c>
      <c r="M92" s="63">
        <v>644583</v>
      </c>
      <c r="N92" s="63">
        <v>582257</v>
      </c>
      <c r="O92" s="63">
        <v>83078</v>
      </c>
      <c r="P92" s="63">
        <v>80958</v>
      </c>
      <c r="R92" s="15">
        <v>2040</v>
      </c>
      <c r="S92" s="63">
        <v>1259</v>
      </c>
      <c r="T92" s="63">
        <v>1918</v>
      </c>
      <c r="U92" s="63">
        <v>20033</v>
      </c>
      <c r="V92" s="63">
        <v>28294</v>
      </c>
      <c r="W92" s="63">
        <v>3930</v>
      </c>
      <c r="X92" s="63">
        <v>4732</v>
      </c>
    </row>
    <row r="93" spans="2:24" x14ac:dyDescent="0.25">
      <c r="B93" s="15">
        <v>2041</v>
      </c>
      <c r="C93" s="120">
        <f t="shared" si="18"/>
        <v>45217</v>
      </c>
      <c r="D93" s="120">
        <f t="shared" si="19"/>
        <v>43574</v>
      </c>
      <c r="E93" s="120">
        <f t="shared" si="20"/>
        <v>683961</v>
      </c>
      <c r="F93" s="120">
        <f t="shared" si="21"/>
        <v>624752</v>
      </c>
      <c r="G93" s="120">
        <f t="shared" si="22"/>
        <v>89559</v>
      </c>
      <c r="H93" s="120">
        <f t="shared" si="23"/>
        <v>87611</v>
      </c>
      <c r="J93" s="15">
        <v>2041</v>
      </c>
      <c r="K93" s="63">
        <v>43922</v>
      </c>
      <c r="L93" s="63">
        <v>41632</v>
      </c>
      <c r="M93" s="63">
        <v>663357</v>
      </c>
      <c r="N93" s="63">
        <v>596086</v>
      </c>
      <c r="O93" s="63">
        <v>85509</v>
      </c>
      <c r="P93" s="63">
        <v>82810</v>
      </c>
      <c r="R93" s="15">
        <v>2041</v>
      </c>
      <c r="S93" s="63">
        <v>1295</v>
      </c>
      <c r="T93" s="63">
        <v>1942</v>
      </c>
      <c r="U93" s="63">
        <v>20604</v>
      </c>
      <c r="V93" s="63">
        <v>28666</v>
      </c>
      <c r="W93" s="63">
        <v>4050</v>
      </c>
      <c r="X93" s="63">
        <v>4801</v>
      </c>
    </row>
    <row r="94" spans="2:24" x14ac:dyDescent="0.25">
      <c r="B94" s="15">
        <v>2042</v>
      </c>
      <c r="C94" s="120">
        <f t="shared" si="18"/>
        <v>46543</v>
      </c>
      <c r="D94" s="120">
        <f t="shared" si="19"/>
        <v>44552</v>
      </c>
      <c r="E94" s="120">
        <f t="shared" si="20"/>
        <v>703716</v>
      </c>
      <c r="F94" s="120">
        <f t="shared" si="21"/>
        <v>639241</v>
      </c>
      <c r="G94" s="120">
        <f t="shared" si="22"/>
        <v>92164</v>
      </c>
      <c r="H94" s="120">
        <f t="shared" si="23"/>
        <v>89570</v>
      </c>
      <c r="J94" s="15">
        <v>2042</v>
      </c>
      <c r="K94" s="63">
        <v>45211</v>
      </c>
      <c r="L94" s="63">
        <v>42585</v>
      </c>
      <c r="M94" s="63">
        <v>682532</v>
      </c>
      <c r="N94" s="63">
        <v>610198</v>
      </c>
      <c r="O94" s="63">
        <v>87991</v>
      </c>
      <c r="P94" s="63">
        <v>84700</v>
      </c>
      <c r="R94" s="15">
        <v>2042</v>
      </c>
      <c r="S94" s="63">
        <v>1332</v>
      </c>
      <c r="T94" s="63">
        <v>1967</v>
      </c>
      <c r="U94" s="63">
        <v>21184</v>
      </c>
      <c r="V94" s="63">
        <v>29043</v>
      </c>
      <c r="W94" s="63">
        <v>4173</v>
      </c>
      <c r="X94" s="63">
        <v>4870</v>
      </c>
    </row>
    <row r="95" spans="2:24" x14ac:dyDescent="0.25">
      <c r="B95" s="15">
        <v>2043</v>
      </c>
      <c r="C95" s="120">
        <f t="shared" si="18"/>
        <v>47897</v>
      </c>
      <c r="D95" s="120">
        <f t="shared" si="19"/>
        <v>45551</v>
      </c>
      <c r="E95" s="120">
        <f t="shared" si="20"/>
        <v>723891</v>
      </c>
      <c r="F95" s="120">
        <f t="shared" si="21"/>
        <v>654022</v>
      </c>
      <c r="G95" s="120">
        <f t="shared" si="22"/>
        <v>94823</v>
      </c>
      <c r="H95" s="120">
        <f t="shared" si="23"/>
        <v>91566</v>
      </c>
      <c r="J95" s="15">
        <v>2043</v>
      </c>
      <c r="K95" s="63">
        <v>46527</v>
      </c>
      <c r="L95" s="63">
        <v>43558</v>
      </c>
      <c r="M95" s="63">
        <v>702117</v>
      </c>
      <c r="N95" s="63">
        <v>624598</v>
      </c>
      <c r="O95" s="63">
        <v>90525</v>
      </c>
      <c r="P95" s="63">
        <v>86626</v>
      </c>
      <c r="R95" s="15">
        <v>2043</v>
      </c>
      <c r="S95" s="63">
        <v>1370</v>
      </c>
      <c r="T95" s="63">
        <v>1993</v>
      </c>
      <c r="U95" s="63">
        <v>21774</v>
      </c>
      <c r="V95" s="63">
        <v>29424</v>
      </c>
      <c r="W95" s="63">
        <v>4298</v>
      </c>
      <c r="X95" s="63">
        <v>4940</v>
      </c>
    </row>
    <row r="97" spans="3:14" x14ac:dyDescent="0.25">
      <c r="C97" s="148"/>
      <c r="D97" s="148"/>
      <c r="E97" s="148"/>
      <c r="F97" s="148"/>
      <c r="G97" s="148"/>
      <c r="H97" s="148"/>
      <c r="I97" s="148"/>
      <c r="J97" s="148"/>
      <c r="K97" s="148"/>
      <c r="L97" s="148"/>
      <c r="M97" s="148"/>
      <c r="N97" s="148"/>
    </row>
    <row r="98" spans="3:14" x14ac:dyDescent="0.25">
      <c r="C98" s="148"/>
      <c r="D98" s="148"/>
      <c r="E98" s="148"/>
      <c r="F98" s="148"/>
      <c r="G98" s="148"/>
      <c r="H98" s="148"/>
      <c r="I98" s="148"/>
      <c r="J98" s="148"/>
      <c r="K98" s="148"/>
      <c r="L98" s="148"/>
      <c r="M98" s="148"/>
      <c r="N98" s="148"/>
    </row>
    <row r="99" spans="3:14" x14ac:dyDescent="0.25">
      <c r="C99" s="148"/>
      <c r="D99" s="148"/>
      <c r="E99" s="148"/>
      <c r="F99" s="148"/>
      <c r="G99" s="148"/>
      <c r="H99" s="148"/>
      <c r="I99" s="148"/>
      <c r="J99" s="148"/>
      <c r="K99" s="148"/>
      <c r="L99" s="148"/>
      <c r="M99" s="148"/>
      <c r="N99" s="148"/>
    </row>
    <row r="100" spans="3:14" x14ac:dyDescent="0.25">
      <c r="C100" s="148"/>
      <c r="D100" s="148"/>
      <c r="E100" s="148"/>
      <c r="F100" s="148"/>
      <c r="G100" s="148"/>
      <c r="H100" s="148"/>
      <c r="I100" s="148"/>
      <c r="J100" s="148"/>
      <c r="K100" s="148"/>
      <c r="L100" s="148"/>
      <c r="M100" s="148"/>
      <c r="N100" s="148"/>
    </row>
    <row r="101" spans="3:14" x14ac:dyDescent="0.25">
      <c r="C101" s="148"/>
      <c r="D101" s="148"/>
      <c r="E101" s="148"/>
      <c r="F101" s="148"/>
      <c r="G101" s="148"/>
      <c r="H101" s="148"/>
      <c r="I101" s="148"/>
      <c r="J101" s="148"/>
      <c r="K101" s="148"/>
      <c r="L101" s="148"/>
      <c r="M101" s="148"/>
      <c r="N101" s="148"/>
    </row>
    <row r="102" spans="3:14" x14ac:dyDescent="0.25">
      <c r="C102" s="148"/>
      <c r="D102" s="148"/>
      <c r="E102" s="148"/>
      <c r="F102" s="148"/>
      <c r="G102" s="148"/>
      <c r="H102" s="148"/>
      <c r="I102" s="148"/>
      <c r="J102" s="148"/>
      <c r="K102" s="148"/>
      <c r="L102" s="148"/>
      <c r="M102" s="148"/>
      <c r="N102" s="148"/>
    </row>
    <row r="103" spans="3:14" x14ac:dyDescent="0.25">
      <c r="C103" s="148"/>
      <c r="D103" s="148"/>
      <c r="E103" s="148"/>
      <c r="F103" s="148"/>
      <c r="G103" s="148"/>
      <c r="H103" s="148"/>
      <c r="I103" s="148"/>
      <c r="J103" s="148"/>
      <c r="K103" s="148"/>
      <c r="L103" s="148"/>
      <c r="M103" s="148"/>
      <c r="N103" s="148"/>
    </row>
    <row r="104" spans="3:14" x14ac:dyDescent="0.25">
      <c r="C104" s="148"/>
      <c r="D104" s="148"/>
      <c r="E104" s="148"/>
      <c r="F104" s="148"/>
      <c r="G104" s="148"/>
      <c r="H104" s="148"/>
      <c r="I104" s="148"/>
      <c r="J104" s="148"/>
      <c r="K104" s="148"/>
      <c r="L104" s="148"/>
      <c r="M104" s="148"/>
      <c r="N104" s="148"/>
    </row>
    <row r="105" spans="3:14" x14ac:dyDescent="0.25">
      <c r="C105" s="148"/>
      <c r="D105" s="148"/>
      <c r="E105" s="148"/>
      <c r="F105" s="148"/>
      <c r="G105" s="148"/>
      <c r="H105" s="148"/>
      <c r="I105" s="148"/>
      <c r="J105" s="148"/>
      <c r="K105" s="148"/>
      <c r="L105" s="148"/>
      <c r="M105" s="148"/>
      <c r="N105" s="148"/>
    </row>
    <row r="106" spans="3:14" x14ac:dyDescent="0.25">
      <c r="C106" s="148"/>
      <c r="D106" s="148"/>
      <c r="E106" s="148"/>
      <c r="F106" s="148"/>
      <c r="G106" s="148"/>
      <c r="H106" s="148"/>
      <c r="I106" s="148"/>
      <c r="J106" s="148"/>
      <c r="K106" s="148"/>
      <c r="L106" s="148"/>
      <c r="M106" s="148"/>
      <c r="N106" s="148"/>
    </row>
    <row r="107" spans="3:14" x14ac:dyDescent="0.25">
      <c r="C107" s="148"/>
      <c r="D107" s="148"/>
      <c r="E107" s="148"/>
      <c r="F107" s="148"/>
      <c r="G107" s="148"/>
      <c r="H107" s="148"/>
      <c r="I107" s="148"/>
      <c r="J107" s="148"/>
      <c r="K107" s="148"/>
      <c r="L107" s="148"/>
      <c r="M107" s="148"/>
      <c r="N107" s="148"/>
    </row>
    <row r="108" spans="3:14" x14ac:dyDescent="0.25">
      <c r="C108" s="148"/>
      <c r="D108" s="148"/>
      <c r="E108" s="148"/>
      <c r="F108" s="148"/>
      <c r="G108" s="148"/>
      <c r="H108" s="148"/>
      <c r="I108" s="148"/>
      <c r="J108" s="148"/>
      <c r="K108" s="148"/>
      <c r="L108" s="148"/>
      <c r="M108" s="148"/>
      <c r="N108" s="148"/>
    </row>
    <row r="109" spans="3:14" x14ac:dyDescent="0.25">
      <c r="C109" s="148"/>
      <c r="D109" s="148"/>
      <c r="E109" s="148"/>
      <c r="F109" s="148"/>
      <c r="G109" s="148"/>
      <c r="H109" s="148"/>
      <c r="I109" s="148"/>
      <c r="J109" s="148"/>
      <c r="K109" s="148"/>
      <c r="L109" s="148"/>
      <c r="M109" s="148"/>
      <c r="N109" s="148"/>
    </row>
    <row r="110" spans="3:14" x14ac:dyDescent="0.25">
      <c r="C110" s="148"/>
      <c r="D110" s="148"/>
      <c r="E110" s="148"/>
      <c r="F110" s="148"/>
      <c r="G110" s="148"/>
      <c r="H110" s="148"/>
      <c r="I110" s="148"/>
      <c r="J110" s="148"/>
      <c r="K110" s="148"/>
      <c r="L110" s="148"/>
      <c r="M110" s="148"/>
      <c r="N110" s="148"/>
    </row>
    <row r="111" spans="3:14" x14ac:dyDescent="0.25">
      <c r="C111" s="148"/>
      <c r="D111" s="148"/>
      <c r="E111" s="148"/>
      <c r="F111" s="148"/>
      <c r="G111" s="148"/>
      <c r="H111" s="148"/>
      <c r="I111" s="148"/>
      <c r="J111" s="148"/>
      <c r="K111" s="148"/>
      <c r="L111" s="148"/>
      <c r="M111" s="148"/>
      <c r="N111" s="148"/>
    </row>
  </sheetData>
  <mergeCells count="33">
    <mergeCell ref="C8:E8"/>
    <mergeCell ref="C13:E13"/>
    <mergeCell ref="C19:E19"/>
    <mergeCell ref="C24:E24"/>
    <mergeCell ref="C28:E28"/>
    <mergeCell ref="C32:E32"/>
    <mergeCell ref="AJ37:AL37"/>
    <mergeCell ref="AM37:AP37"/>
    <mergeCell ref="AF36:AP36"/>
    <mergeCell ref="T36:AD36"/>
    <mergeCell ref="AA37:AD37"/>
    <mergeCell ref="AG37:AI37"/>
    <mergeCell ref="B36:R36"/>
    <mergeCell ref="C37:E37"/>
    <mergeCell ref="F37:H37"/>
    <mergeCell ref="C68:D68"/>
    <mergeCell ref="E68:F68"/>
    <mergeCell ref="G68:H68"/>
    <mergeCell ref="B67:H67"/>
    <mergeCell ref="J67:P67"/>
    <mergeCell ref="K68:L68"/>
    <mergeCell ref="M68:N68"/>
    <mergeCell ref="O68:P68"/>
    <mergeCell ref="K65:L65"/>
    <mergeCell ref="R67:X67"/>
    <mergeCell ref="S68:T68"/>
    <mergeCell ref="U68:V68"/>
    <mergeCell ref="X37:Z37"/>
    <mergeCell ref="M37:O37"/>
    <mergeCell ref="P37:R37"/>
    <mergeCell ref="W68:X68"/>
    <mergeCell ref="I37:L37"/>
    <mergeCell ref="U37:W37"/>
  </mergeCells>
  <dataValidations count="1">
    <dataValidation allowBlank="1" showInputMessage="1" sqref="C15:C18 C20:C22 D22"/>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2"/>
  <sheetViews>
    <sheetView workbookViewId="0">
      <selection activeCell="B6" sqref="B6"/>
    </sheetView>
  </sheetViews>
  <sheetFormatPr defaultRowHeight="15" x14ac:dyDescent="0.25"/>
  <cols>
    <col min="1" max="1" width="15" bestFit="1" customWidth="1"/>
    <col min="2" max="14" width="12.7109375" customWidth="1"/>
    <col min="17" max="17" width="11.140625" bestFit="1" customWidth="1"/>
    <col min="18" max="18" width="11.7109375" bestFit="1" customWidth="1"/>
    <col min="19" max="20" width="12.7109375" bestFit="1" customWidth="1"/>
  </cols>
  <sheetData>
    <row r="2" spans="1:19" s="147" customFormat="1" ht="14.45" x14ac:dyDescent="0.3">
      <c r="B2" s="143" t="s">
        <v>392</v>
      </c>
    </row>
    <row r="3" spans="1:19" s="147" customFormat="1" ht="14.45" x14ac:dyDescent="0.3"/>
    <row r="4" spans="1:19" ht="43.15" x14ac:dyDescent="0.3">
      <c r="B4" s="205" t="s">
        <v>317</v>
      </c>
      <c r="C4" s="205"/>
      <c r="O4" s="124" t="s">
        <v>250</v>
      </c>
      <c r="P4" s="124" t="s">
        <v>252</v>
      </c>
      <c r="Q4" s="124" t="s">
        <v>254</v>
      </c>
      <c r="R4" s="124" t="s">
        <v>253</v>
      </c>
      <c r="S4" s="124" t="s">
        <v>255</v>
      </c>
    </row>
    <row r="5" spans="1:19" ht="14.45" x14ac:dyDescent="0.3">
      <c r="B5" s="76">
        <v>0.84</v>
      </c>
      <c r="C5" s="189" t="s">
        <v>395</v>
      </c>
      <c r="O5" s="15">
        <v>0</v>
      </c>
      <c r="P5" s="64">
        <v>0</v>
      </c>
      <c r="Q5" s="157">
        <f t="shared" ref="Q5:Q10" si="0">$Q$11*P5</f>
        <v>0</v>
      </c>
      <c r="R5" s="64">
        <v>0.21537999999999999</v>
      </c>
      <c r="S5" s="159">
        <f>R5*Q5</f>
        <v>0</v>
      </c>
    </row>
    <row r="6" spans="1:19" ht="14.45" x14ac:dyDescent="0.3">
      <c r="O6" s="15">
        <v>1</v>
      </c>
      <c r="P6" s="64">
        <v>3.0000000000000001E-3</v>
      </c>
      <c r="Q6" s="157">
        <f t="shared" si="0"/>
        <v>28800</v>
      </c>
      <c r="R6" s="64">
        <v>0.62727999999999995</v>
      </c>
      <c r="S6" s="159">
        <f t="shared" ref="S6:S10" si="1">R6*Q6</f>
        <v>18065.663999999997</v>
      </c>
    </row>
    <row r="7" spans="1:19" ht="14.45" x14ac:dyDescent="0.3">
      <c r="B7" s="205" t="s">
        <v>168</v>
      </c>
      <c r="C7" s="205"/>
      <c r="D7" s="205"/>
      <c r="H7" s="203" t="s">
        <v>194</v>
      </c>
      <c r="I7" s="203"/>
      <c r="J7" s="203"/>
      <c r="O7" s="15">
        <v>2</v>
      </c>
      <c r="P7" s="64">
        <v>4.7E-2</v>
      </c>
      <c r="Q7" s="157">
        <f t="shared" si="0"/>
        <v>451200</v>
      </c>
      <c r="R7" s="64">
        <v>0.104</v>
      </c>
      <c r="S7" s="159">
        <f t="shared" si="1"/>
        <v>46924.799999999996</v>
      </c>
    </row>
    <row r="8" spans="1:19" ht="14.45" x14ac:dyDescent="0.3">
      <c r="A8" t="s">
        <v>112</v>
      </c>
      <c r="B8" s="124" t="s">
        <v>165</v>
      </c>
      <c r="C8" s="124" t="s">
        <v>166</v>
      </c>
      <c r="D8" s="124" t="s">
        <v>40</v>
      </c>
      <c r="H8" s="124" t="s">
        <v>165</v>
      </c>
      <c r="I8" s="124" t="s">
        <v>247</v>
      </c>
      <c r="J8" s="124" t="s">
        <v>40</v>
      </c>
      <c r="O8" s="15">
        <v>3</v>
      </c>
      <c r="P8" s="64">
        <v>0.105</v>
      </c>
      <c r="Q8" s="157">
        <f t="shared" si="0"/>
        <v>1008000</v>
      </c>
      <c r="R8" s="64">
        <v>3.8580000000000003E-2</v>
      </c>
      <c r="S8" s="159">
        <f t="shared" si="1"/>
        <v>38888.640000000007</v>
      </c>
    </row>
    <row r="9" spans="1:19" ht="14.45" x14ac:dyDescent="0.3">
      <c r="A9" t="s">
        <v>169</v>
      </c>
      <c r="B9" s="64">
        <v>0</v>
      </c>
      <c r="C9" s="86">
        <v>68.333333333333329</v>
      </c>
      <c r="D9" s="86">
        <v>131</v>
      </c>
      <c r="E9" t="s">
        <v>167</v>
      </c>
      <c r="H9" s="157">
        <v>9600000</v>
      </c>
      <c r="I9" s="159">
        <f>S11</f>
        <v>174029.568</v>
      </c>
      <c r="J9" s="157">
        <v>4198</v>
      </c>
      <c r="K9" s="148" t="s">
        <v>246</v>
      </c>
      <c r="O9" s="15">
        <v>4</v>
      </c>
      <c r="P9" s="64">
        <v>0.26600000000000001</v>
      </c>
      <c r="Q9" s="157">
        <f t="shared" si="0"/>
        <v>2553600</v>
      </c>
      <c r="R9" s="64">
        <v>4.4200000000000003E-3</v>
      </c>
      <c r="S9" s="159">
        <f t="shared" si="1"/>
        <v>11286.912</v>
      </c>
    </row>
    <row r="10" spans="1:19" ht="14.45" x14ac:dyDescent="0.3">
      <c r="A10" t="s">
        <v>47</v>
      </c>
      <c r="B10" s="73">
        <f>B9*Crash_reduction_factor</f>
        <v>0</v>
      </c>
      <c r="C10" s="85">
        <f>Accident_injuries-(Accident_injuries*Crash_reduction_factor)</f>
        <v>10.933333333333337</v>
      </c>
      <c r="D10" s="85">
        <f>PDO_crashes-(PDO_crashes*Crash_reduction_factor)</f>
        <v>20.960000000000008</v>
      </c>
      <c r="E10" s="98" t="s">
        <v>170</v>
      </c>
      <c r="H10" t="s">
        <v>248</v>
      </c>
      <c r="O10" s="15">
        <v>5</v>
      </c>
      <c r="P10" s="64">
        <v>0.59299999999999997</v>
      </c>
      <c r="Q10" s="157">
        <f t="shared" si="0"/>
        <v>5692800</v>
      </c>
      <c r="R10" s="64">
        <v>1.034E-2</v>
      </c>
      <c r="S10" s="159">
        <f t="shared" si="1"/>
        <v>58863.552000000003</v>
      </c>
    </row>
    <row r="11" spans="1:19" ht="14.45" x14ac:dyDescent="0.3">
      <c r="O11" s="15">
        <v>6</v>
      </c>
      <c r="P11" s="15" t="s">
        <v>251</v>
      </c>
      <c r="Q11" s="157">
        <v>9600000</v>
      </c>
      <c r="R11" s="167" t="s">
        <v>293</v>
      </c>
      <c r="S11" s="159">
        <f>SUM(S5:S10)</f>
        <v>174029.568</v>
      </c>
    </row>
    <row r="13" spans="1:19" ht="14.45" x14ac:dyDescent="0.3">
      <c r="A13" s="201" t="s">
        <v>174</v>
      </c>
      <c r="B13" s="201"/>
      <c r="C13" s="201"/>
      <c r="D13" s="201"/>
      <c r="E13" s="145"/>
      <c r="F13" s="145"/>
      <c r="G13" s="145"/>
      <c r="I13" s="201" t="s">
        <v>175</v>
      </c>
      <c r="J13" s="201"/>
      <c r="K13" s="201"/>
      <c r="L13" s="201"/>
      <c r="M13" s="46"/>
      <c r="O13" s="201" t="s">
        <v>173</v>
      </c>
      <c r="P13" s="201"/>
      <c r="Q13" s="201"/>
      <c r="R13" s="201"/>
      <c r="S13" s="46"/>
    </row>
    <row r="14" spans="1:19" s="58" customFormat="1" ht="43.15" x14ac:dyDescent="0.3">
      <c r="A14" s="59" t="s">
        <v>82</v>
      </c>
      <c r="B14" s="59" t="s">
        <v>165</v>
      </c>
      <c r="C14" s="99" t="s">
        <v>171</v>
      </c>
      <c r="D14" s="99" t="s">
        <v>172</v>
      </c>
      <c r="E14" s="123" t="s">
        <v>244</v>
      </c>
      <c r="F14" s="99" t="s">
        <v>220</v>
      </c>
      <c r="G14" s="99" t="s">
        <v>221</v>
      </c>
      <c r="I14" s="59" t="s">
        <v>82</v>
      </c>
      <c r="J14" s="59" t="s">
        <v>165</v>
      </c>
      <c r="K14" s="99" t="s">
        <v>171</v>
      </c>
      <c r="L14" s="99" t="s">
        <v>172</v>
      </c>
      <c r="M14" s="123" t="s">
        <v>244</v>
      </c>
      <c r="O14" s="59" t="s">
        <v>82</v>
      </c>
      <c r="P14" s="59" t="s">
        <v>165</v>
      </c>
      <c r="Q14" s="99" t="s">
        <v>171</v>
      </c>
      <c r="R14" s="99" t="s">
        <v>172</v>
      </c>
      <c r="S14" s="123" t="s">
        <v>244</v>
      </c>
    </row>
    <row r="15" spans="1:19" ht="14.45" x14ac:dyDescent="0.3">
      <c r="A15" s="15">
        <v>2018</v>
      </c>
      <c r="B15" s="65">
        <f>SUM(J15,P15)</f>
        <v>0</v>
      </c>
      <c r="C15" s="65">
        <f t="shared" ref="C15:E30" si="2">SUM(K15,Q15)</f>
        <v>0</v>
      </c>
      <c r="D15" s="65">
        <f t="shared" si="2"/>
        <v>0</v>
      </c>
      <c r="E15" s="127">
        <f t="shared" si="2"/>
        <v>0</v>
      </c>
      <c r="F15" s="121">
        <f>E15/1.03^(A15-2015)</f>
        <v>0</v>
      </c>
      <c r="G15" s="121">
        <f>E15/1.07^(A15-2015)</f>
        <v>0</v>
      </c>
      <c r="I15" s="15">
        <v>2018</v>
      </c>
      <c r="J15" s="63">
        <v>0</v>
      </c>
      <c r="K15" s="63">
        <v>0</v>
      </c>
      <c r="L15" s="63">
        <v>0</v>
      </c>
      <c r="M15" s="159">
        <f t="shared" ref="M15:M40" si="3">K15*$I$9+L15*$J$9</f>
        <v>0</v>
      </c>
      <c r="O15" s="15">
        <v>2018</v>
      </c>
      <c r="P15" s="63">
        <v>0</v>
      </c>
      <c r="Q15" s="63">
        <v>0</v>
      </c>
      <c r="R15" s="63">
        <v>0</v>
      </c>
      <c r="S15" s="159">
        <f t="shared" ref="S15:S40" si="4">Q15*$I$9+R15*$J$9</f>
        <v>0</v>
      </c>
    </row>
    <row r="16" spans="1:19" ht="14.45" x14ac:dyDescent="0.3">
      <c r="A16" s="15">
        <v>2019</v>
      </c>
      <c r="B16" s="65">
        <f t="shared" ref="B16:B40" si="5">SUM(J16,P16)</f>
        <v>0</v>
      </c>
      <c r="C16" s="65">
        <f t="shared" si="2"/>
        <v>0</v>
      </c>
      <c r="D16" s="65">
        <f t="shared" si="2"/>
        <v>0</v>
      </c>
      <c r="E16" s="127">
        <f t="shared" si="2"/>
        <v>0</v>
      </c>
      <c r="F16" s="121">
        <f t="shared" ref="F16:F40" si="6">E16/1.03^(A16-2015)</f>
        <v>0</v>
      </c>
      <c r="G16" s="121">
        <f t="shared" ref="G16:G40" si="7">E16/1.07^(A16-2015)</f>
        <v>0</v>
      </c>
      <c r="I16" s="15">
        <v>2019</v>
      </c>
      <c r="J16" s="63">
        <v>0</v>
      </c>
      <c r="K16" s="63">
        <v>0</v>
      </c>
      <c r="L16" s="63">
        <v>0</v>
      </c>
      <c r="M16" s="159">
        <f t="shared" si="3"/>
        <v>0</v>
      </c>
      <c r="O16" s="15">
        <v>2019</v>
      </c>
      <c r="P16" s="63">
        <v>0</v>
      </c>
      <c r="Q16" s="63">
        <v>0</v>
      </c>
      <c r="R16" s="63">
        <v>0</v>
      </c>
      <c r="S16" s="159">
        <f t="shared" si="4"/>
        <v>0</v>
      </c>
    </row>
    <row r="17" spans="1:19" ht="14.45" x14ac:dyDescent="0.3">
      <c r="A17" s="15">
        <v>2020</v>
      </c>
      <c r="B17" s="65">
        <f t="shared" si="5"/>
        <v>0</v>
      </c>
      <c r="C17" s="65">
        <f t="shared" si="2"/>
        <v>0</v>
      </c>
      <c r="D17" s="65">
        <f t="shared" si="2"/>
        <v>0</v>
      </c>
      <c r="E17" s="127">
        <f t="shared" si="2"/>
        <v>0</v>
      </c>
      <c r="F17" s="121">
        <f t="shared" si="6"/>
        <v>0</v>
      </c>
      <c r="G17" s="121">
        <f t="shared" si="7"/>
        <v>0</v>
      </c>
      <c r="I17" s="15">
        <v>2020</v>
      </c>
      <c r="J17" s="63">
        <v>0</v>
      </c>
      <c r="K17" s="63">
        <v>0</v>
      </c>
      <c r="L17" s="63">
        <v>0</v>
      </c>
      <c r="M17" s="159">
        <f t="shared" si="3"/>
        <v>0</v>
      </c>
      <c r="O17" s="15">
        <v>2020</v>
      </c>
      <c r="P17" s="63">
        <v>0</v>
      </c>
      <c r="Q17" s="63">
        <v>0</v>
      </c>
      <c r="R17" s="63">
        <v>0</v>
      </c>
      <c r="S17" s="159">
        <f t="shared" si="4"/>
        <v>0</v>
      </c>
    </row>
    <row r="18" spans="1:19" ht="14.45" x14ac:dyDescent="0.3">
      <c r="A18" s="15">
        <v>2021</v>
      </c>
      <c r="B18" s="65">
        <f t="shared" si="5"/>
        <v>0</v>
      </c>
      <c r="C18" s="65">
        <f t="shared" si="2"/>
        <v>0</v>
      </c>
      <c r="D18" s="65">
        <f t="shared" si="2"/>
        <v>0</v>
      </c>
      <c r="E18" s="127">
        <f t="shared" si="2"/>
        <v>0</v>
      </c>
      <c r="F18" s="121">
        <f t="shared" si="6"/>
        <v>0</v>
      </c>
      <c r="G18" s="121">
        <f t="shared" si="7"/>
        <v>0</v>
      </c>
      <c r="I18" s="15">
        <v>2021</v>
      </c>
      <c r="J18" s="63">
        <v>0</v>
      </c>
      <c r="K18" s="63">
        <v>0</v>
      </c>
      <c r="L18" s="63">
        <v>0</v>
      </c>
      <c r="M18" s="159">
        <f t="shared" si="3"/>
        <v>0</v>
      </c>
      <c r="O18" s="15">
        <v>2021</v>
      </c>
      <c r="P18" s="63">
        <v>0</v>
      </c>
      <c r="Q18" s="63">
        <v>0</v>
      </c>
      <c r="R18" s="63">
        <v>0</v>
      </c>
      <c r="S18" s="159">
        <f t="shared" si="4"/>
        <v>0</v>
      </c>
    </row>
    <row r="19" spans="1:19" ht="14.45" x14ac:dyDescent="0.3">
      <c r="A19" s="15">
        <v>2022</v>
      </c>
      <c r="B19" s="65">
        <f t="shared" si="5"/>
        <v>0</v>
      </c>
      <c r="C19" s="65">
        <f t="shared" si="2"/>
        <v>0</v>
      </c>
      <c r="D19" s="65">
        <f t="shared" si="2"/>
        <v>0</v>
      </c>
      <c r="E19" s="127">
        <f t="shared" si="2"/>
        <v>0</v>
      </c>
      <c r="F19" s="121">
        <f t="shared" si="6"/>
        <v>0</v>
      </c>
      <c r="G19" s="121">
        <f t="shared" si="7"/>
        <v>0</v>
      </c>
      <c r="I19" s="15">
        <v>2022</v>
      </c>
      <c r="J19" s="63">
        <v>0</v>
      </c>
      <c r="K19" s="63">
        <v>0</v>
      </c>
      <c r="L19" s="63">
        <v>0</v>
      </c>
      <c r="M19" s="159">
        <f t="shared" si="3"/>
        <v>0</v>
      </c>
      <c r="O19" s="15">
        <v>2022</v>
      </c>
      <c r="P19" s="63">
        <v>0</v>
      </c>
      <c r="Q19" s="63">
        <v>0</v>
      </c>
      <c r="R19" s="63">
        <v>0</v>
      </c>
      <c r="S19" s="159">
        <f t="shared" si="4"/>
        <v>0</v>
      </c>
    </row>
    <row r="20" spans="1:19" ht="14.45" x14ac:dyDescent="0.3">
      <c r="A20" s="15">
        <v>2023</v>
      </c>
      <c r="B20" s="65">
        <f t="shared" si="5"/>
        <v>0</v>
      </c>
      <c r="C20" s="65">
        <f t="shared" si="2"/>
        <v>0</v>
      </c>
      <c r="D20" s="65">
        <f t="shared" si="2"/>
        <v>0</v>
      </c>
      <c r="E20" s="127">
        <f t="shared" si="2"/>
        <v>0</v>
      </c>
      <c r="F20" s="121">
        <f t="shared" si="6"/>
        <v>0</v>
      </c>
      <c r="G20" s="121">
        <f t="shared" si="7"/>
        <v>0</v>
      </c>
      <c r="I20" s="15">
        <v>2023</v>
      </c>
      <c r="J20" s="63">
        <v>0</v>
      </c>
      <c r="K20" s="63">
        <v>0</v>
      </c>
      <c r="L20" s="63">
        <v>0</v>
      </c>
      <c r="M20" s="159">
        <f t="shared" si="3"/>
        <v>0</v>
      </c>
      <c r="O20" s="15">
        <v>2023</v>
      </c>
      <c r="P20" s="63">
        <v>0</v>
      </c>
      <c r="Q20" s="63">
        <v>0</v>
      </c>
      <c r="R20" s="63">
        <v>0</v>
      </c>
      <c r="S20" s="159">
        <f t="shared" si="4"/>
        <v>0</v>
      </c>
    </row>
    <row r="21" spans="1:19" ht="14.45" x14ac:dyDescent="0.3">
      <c r="A21" s="15">
        <v>2024</v>
      </c>
      <c r="B21" s="65">
        <f t="shared" si="5"/>
        <v>0</v>
      </c>
      <c r="C21" s="65">
        <f t="shared" si="2"/>
        <v>34.29</v>
      </c>
      <c r="D21" s="65">
        <f t="shared" si="2"/>
        <v>65.73</v>
      </c>
      <c r="E21" s="166">
        <f>SUM(M21,S21)</f>
        <v>6243408.4267200008</v>
      </c>
      <c r="F21" s="121">
        <f t="shared" si="6"/>
        <v>4785052.6850934075</v>
      </c>
      <c r="G21" s="121">
        <f t="shared" si="7"/>
        <v>3396000.5120272175</v>
      </c>
      <c r="I21" s="15">
        <v>2024</v>
      </c>
      <c r="J21" s="63">
        <v>0</v>
      </c>
      <c r="K21" s="63">
        <v>27.77</v>
      </c>
      <c r="L21" s="63">
        <v>53.24</v>
      </c>
      <c r="M21" s="159">
        <f>K21*$I$9+L21*$J$9</f>
        <v>5056302.6233600006</v>
      </c>
      <c r="N21" s="158"/>
      <c r="O21" s="15">
        <v>2024</v>
      </c>
      <c r="P21" s="63">
        <v>0</v>
      </c>
      <c r="Q21" s="63">
        <v>6.52</v>
      </c>
      <c r="R21" s="63">
        <v>12.49</v>
      </c>
      <c r="S21" s="159">
        <f>Q21*$I$9+R21*$J$9</f>
        <v>1187105.80336</v>
      </c>
    </row>
    <row r="22" spans="1:19" ht="14.45" x14ac:dyDescent="0.3">
      <c r="A22" s="15">
        <v>2025</v>
      </c>
      <c r="B22" s="65">
        <f t="shared" si="5"/>
        <v>0</v>
      </c>
      <c r="C22" s="65">
        <f t="shared" si="2"/>
        <v>34.590000000000003</v>
      </c>
      <c r="D22" s="65">
        <f t="shared" si="2"/>
        <v>66.319999999999993</v>
      </c>
      <c r="E22" s="127">
        <f t="shared" si="2"/>
        <v>6298094.1171199996</v>
      </c>
      <c r="F22" s="121">
        <f t="shared" si="6"/>
        <v>4686373.5079958541</v>
      </c>
      <c r="G22" s="121">
        <f t="shared" si="7"/>
        <v>3201631.6862357822</v>
      </c>
      <c r="I22" s="15">
        <v>2025</v>
      </c>
      <c r="J22" s="63">
        <v>0</v>
      </c>
      <c r="K22" s="63">
        <v>28.02</v>
      </c>
      <c r="L22" s="63">
        <v>53.72</v>
      </c>
      <c r="M22" s="159">
        <f t="shared" si="3"/>
        <v>5101825.0553599996</v>
      </c>
      <c r="O22" s="15">
        <v>2025</v>
      </c>
      <c r="P22" s="63">
        <v>0</v>
      </c>
      <c r="Q22" s="63">
        <v>6.57</v>
      </c>
      <c r="R22" s="63">
        <v>12.6</v>
      </c>
      <c r="S22" s="159">
        <f t="shared" si="4"/>
        <v>1196269.0617600002</v>
      </c>
    </row>
    <row r="23" spans="1:19" ht="14.45" x14ac:dyDescent="0.3">
      <c r="A23" s="15">
        <v>2026</v>
      </c>
      <c r="B23" s="65">
        <f t="shared" si="5"/>
        <v>0</v>
      </c>
      <c r="C23" s="65">
        <f t="shared" si="2"/>
        <v>34.9</v>
      </c>
      <c r="D23" s="65">
        <f t="shared" si="2"/>
        <v>66.92</v>
      </c>
      <c r="E23" s="127">
        <f t="shared" si="2"/>
        <v>6354562.0832000002</v>
      </c>
      <c r="F23" s="121">
        <f t="shared" si="6"/>
        <v>4590670.8523714347</v>
      </c>
      <c r="G23" s="121">
        <f t="shared" si="7"/>
        <v>3019006.6699260161</v>
      </c>
      <c r="I23" s="15">
        <v>2026</v>
      </c>
      <c r="J23" s="63">
        <v>0</v>
      </c>
      <c r="K23" s="63">
        <v>28.27</v>
      </c>
      <c r="L23" s="63">
        <v>54.2</v>
      </c>
      <c r="M23" s="159">
        <f t="shared" si="3"/>
        <v>5147347.4873599997</v>
      </c>
      <c r="O23" s="15">
        <v>2026</v>
      </c>
      <c r="P23" s="63">
        <v>0</v>
      </c>
      <c r="Q23" s="63">
        <v>6.63</v>
      </c>
      <c r="R23" s="63">
        <v>12.72</v>
      </c>
      <c r="S23" s="159">
        <f t="shared" si="4"/>
        <v>1207214.5958400001</v>
      </c>
    </row>
    <row r="24" spans="1:19" ht="14.45" x14ac:dyDescent="0.3">
      <c r="A24" s="15">
        <v>2027</v>
      </c>
      <c r="B24" s="65">
        <f t="shared" si="5"/>
        <v>0</v>
      </c>
      <c r="C24" s="65">
        <f t="shared" si="2"/>
        <v>35.22</v>
      </c>
      <c r="D24" s="65">
        <f t="shared" si="2"/>
        <v>67.52</v>
      </c>
      <c r="E24" s="127">
        <f t="shared" si="2"/>
        <v>6412770.3449600004</v>
      </c>
      <c r="F24" s="121">
        <f t="shared" si="6"/>
        <v>4497788.0962530961</v>
      </c>
      <c r="G24" s="121">
        <f t="shared" si="7"/>
        <v>2847346.7250265758</v>
      </c>
      <c r="I24" s="15">
        <v>2027</v>
      </c>
      <c r="J24" s="63">
        <v>0</v>
      </c>
      <c r="K24" s="63">
        <v>28.53</v>
      </c>
      <c r="L24" s="63">
        <v>54.69</v>
      </c>
      <c r="M24" s="159">
        <f t="shared" si="3"/>
        <v>5194652.1950400006</v>
      </c>
      <c r="O24" s="15">
        <v>2027</v>
      </c>
      <c r="P24" s="63">
        <v>0</v>
      </c>
      <c r="Q24" s="63">
        <v>6.69</v>
      </c>
      <c r="R24" s="63">
        <v>12.83</v>
      </c>
      <c r="S24" s="159">
        <f t="shared" si="4"/>
        <v>1218118.1499200002</v>
      </c>
    </row>
    <row r="25" spans="1:19" ht="14.45" x14ac:dyDescent="0.3">
      <c r="A25" s="15">
        <v>2028</v>
      </c>
      <c r="B25" s="65">
        <f t="shared" si="5"/>
        <v>0</v>
      </c>
      <c r="C25" s="65">
        <f t="shared" si="2"/>
        <v>35.54</v>
      </c>
      <c r="D25" s="65">
        <f t="shared" si="2"/>
        <v>68.13</v>
      </c>
      <c r="E25" s="127">
        <f t="shared" si="2"/>
        <v>6471020.58672</v>
      </c>
      <c r="F25" s="121">
        <f t="shared" si="6"/>
        <v>4406450.139650424</v>
      </c>
      <c r="G25" s="121">
        <f t="shared" si="7"/>
        <v>2685243.4850436253</v>
      </c>
      <c r="I25" s="15">
        <v>2028</v>
      </c>
      <c r="J25" s="63">
        <v>0</v>
      </c>
      <c r="K25" s="63">
        <v>28.79</v>
      </c>
      <c r="L25" s="63">
        <v>55.18</v>
      </c>
      <c r="M25" s="159">
        <f t="shared" si="3"/>
        <v>5241956.9027199997</v>
      </c>
      <c r="O25" s="15">
        <v>2028</v>
      </c>
      <c r="P25" s="63">
        <v>0</v>
      </c>
      <c r="Q25" s="63">
        <v>6.75</v>
      </c>
      <c r="R25" s="63">
        <v>12.95</v>
      </c>
      <c r="S25" s="159">
        <f t="shared" si="4"/>
        <v>1229063.6840000001</v>
      </c>
    </row>
    <row r="26" spans="1:19" ht="14.45" x14ac:dyDescent="0.3">
      <c r="A26" s="15">
        <v>2029</v>
      </c>
      <c r="B26" s="65">
        <f t="shared" si="5"/>
        <v>0</v>
      </c>
      <c r="C26" s="65">
        <f t="shared" si="2"/>
        <v>35.86</v>
      </c>
      <c r="D26" s="65">
        <f t="shared" si="2"/>
        <v>68.739999999999995</v>
      </c>
      <c r="E26" s="127">
        <f t="shared" si="2"/>
        <v>6529270.8284799997</v>
      </c>
      <c r="F26" s="121">
        <f t="shared" si="6"/>
        <v>4316617.2037202157</v>
      </c>
      <c r="G26" s="121">
        <f t="shared" si="7"/>
        <v>2532163.7985560168</v>
      </c>
      <c r="I26" s="15">
        <v>2029</v>
      </c>
      <c r="J26" s="63">
        <v>0</v>
      </c>
      <c r="K26" s="63">
        <v>29.05</v>
      </c>
      <c r="L26" s="63">
        <v>55.68</v>
      </c>
      <c r="M26" s="159">
        <f t="shared" si="3"/>
        <v>5289303.5904000001</v>
      </c>
      <c r="O26" s="15">
        <v>2029</v>
      </c>
      <c r="P26" s="63">
        <v>0</v>
      </c>
      <c r="Q26" s="63">
        <v>6.81</v>
      </c>
      <c r="R26" s="63">
        <v>13.06</v>
      </c>
      <c r="S26" s="159">
        <f t="shared" si="4"/>
        <v>1239967.23808</v>
      </c>
    </row>
    <row r="27" spans="1:19" ht="14.45" x14ac:dyDescent="0.3">
      <c r="A27" s="15">
        <v>2030</v>
      </c>
      <c r="B27" s="65">
        <f t="shared" si="5"/>
        <v>0</v>
      </c>
      <c r="C27" s="65">
        <f t="shared" si="2"/>
        <v>36.19</v>
      </c>
      <c r="D27" s="65">
        <f t="shared" si="2"/>
        <v>69.36</v>
      </c>
      <c r="E27" s="127">
        <f t="shared" si="2"/>
        <v>6589303.3459199993</v>
      </c>
      <c r="F27" s="121">
        <f t="shared" si="6"/>
        <v>4229423.0775999185</v>
      </c>
      <c r="G27" s="121">
        <f t="shared" si="7"/>
        <v>2388266.7699447866</v>
      </c>
      <c r="I27" s="15">
        <v>2030</v>
      </c>
      <c r="J27" s="63">
        <v>0</v>
      </c>
      <c r="K27" s="63">
        <v>29.31</v>
      </c>
      <c r="L27" s="63">
        <v>56.18</v>
      </c>
      <c r="M27" s="159">
        <f t="shared" si="3"/>
        <v>5336650.2780799996</v>
      </c>
      <c r="O27" s="15">
        <v>2030</v>
      </c>
      <c r="P27" s="63">
        <v>0</v>
      </c>
      <c r="Q27" s="63">
        <v>6.88</v>
      </c>
      <c r="R27" s="63">
        <v>13.18</v>
      </c>
      <c r="S27" s="159">
        <f t="shared" si="4"/>
        <v>1252653.0678399999</v>
      </c>
    </row>
    <row r="28" spans="1:19" ht="14.45" x14ac:dyDescent="0.3">
      <c r="A28" s="15">
        <v>2031</v>
      </c>
      <c r="B28" s="65">
        <f t="shared" si="5"/>
        <v>0</v>
      </c>
      <c r="C28" s="65">
        <f t="shared" si="2"/>
        <v>36.51</v>
      </c>
      <c r="D28" s="65">
        <f t="shared" si="2"/>
        <v>69.989999999999995</v>
      </c>
      <c r="E28" s="127">
        <f t="shared" si="2"/>
        <v>6647637.5476800008</v>
      </c>
      <c r="F28" s="121">
        <f t="shared" si="6"/>
        <v>4142587.9436324532</v>
      </c>
      <c r="G28" s="121">
        <f t="shared" si="7"/>
        <v>2251784.8310109475</v>
      </c>
      <c r="I28" s="15">
        <v>2031</v>
      </c>
      <c r="J28" s="63">
        <v>0</v>
      </c>
      <c r="K28" s="63">
        <v>29.57</v>
      </c>
      <c r="L28" s="63">
        <v>56.69</v>
      </c>
      <c r="M28" s="159">
        <f t="shared" si="3"/>
        <v>5384038.9457600005</v>
      </c>
      <c r="O28" s="15">
        <v>2031</v>
      </c>
      <c r="P28" s="63">
        <v>0</v>
      </c>
      <c r="Q28" s="63">
        <v>6.94</v>
      </c>
      <c r="R28" s="63">
        <v>13.3</v>
      </c>
      <c r="S28" s="159">
        <f t="shared" si="4"/>
        <v>1263598.60192</v>
      </c>
    </row>
    <row r="29" spans="1:19" ht="14.45" x14ac:dyDescent="0.3">
      <c r="A29" s="15">
        <v>2032</v>
      </c>
      <c r="B29" s="65">
        <f t="shared" si="5"/>
        <v>0</v>
      </c>
      <c r="C29" s="65">
        <f t="shared" si="2"/>
        <v>36.840000000000003</v>
      </c>
      <c r="D29" s="65">
        <f t="shared" si="2"/>
        <v>70.62</v>
      </c>
      <c r="E29" s="127">
        <f t="shared" si="2"/>
        <v>6707712.0451199999</v>
      </c>
      <c r="F29" s="121">
        <f t="shared" si="6"/>
        <v>4058276.1012886642</v>
      </c>
      <c r="G29" s="121">
        <f t="shared" si="7"/>
        <v>2123489.852092634</v>
      </c>
      <c r="I29" s="15">
        <v>2032</v>
      </c>
      <c r="J29" s="63">
        <v>0</v>
      </c>
      <c r="K29" s="63">
        <v>29.84</v>
      </c>
      <c r="L29" s="63">
        <v>57.2</v>
      </c>
      <c r="M29" s="159">
        <f t="shared" si="3"/>
        <v>5433167.90912</v>
      </c>
      <c r="O29" s="15">
        <v>2032</v>
      </c>
      <c r="P29" s="63">
        <v>0</v>
      </c>
      <c r="Q29" s="63">
        <v>7</v>
      </c>
      <c r="R29" s="63">
        <v>13.42</v>
      </c>
      <c r="S29" s="159">
        <f t="shared" si="4"/>
        <v>1274544.1359999999</v>
      </c>
    </row>
    <row r="30" spans="1:19" ht="14.45" x14ac:dyDescent="0.3">
      <c r="A30" s="15">
        <v>2033</v>
      </c>
      <c r="B30" s="65">
        <f t="shared" si="5"/>
        <v>0</v>
      </c>
      <c r="C30" s="65">
        <f t="shared" si="2"/>
        <v>37.160000000000004</v>
      </c>
      <c r="D30" s="65">
        <f t="shared" si="2"/>
        <v>71.25</v>
      </c>
      <c r="E30" s="127">
        <f t="shared" si="2"/>
        <v>6766046.2468799995</v>
      </c>
      <c r="F30" s="121">
        <f t="shared" si="6"/>
        <v>3974339.0802996997</v>
      </c>
      <c r="G30" s="121">
        <f t="shared" si="7"/>
        <v>2001828.9406149683</v>
      </c>
      <c r="I30" s="15">
        <v>2033</v>
      </c>
      <c r="J30" s="63">
        <v>0</v>
      </c>
      <c r="K30" s="63">
        <v>30.1</v>
      </c>
      <c r="L30" s="63">
        <v>57.71</v>
      </c>
      <c r="M30" s="159">
        <f t="shared" si="3"/>
        <v>5480556.5767999999</v>
      </c>
      <c r="O30" s="15">
        <v>2033</v>
      </c>
      <c r="P30" s="63">
        <v>0</v>
      </c>
      <c r="Q30" s="63">
        <v>7.06</v>
      </c>
      <c r="R30" s="63">
        <v>13.54</v>
      </c>
      <c r="S30" s="159">
        <f t="shared" si="4"/>
        <v>1285489.6700799998</v>
      </c>
    </row>
    <row r="31" spans="1:19" ht="14.45" x14ac:dyDescent="0.3">
      <c r="A31" s="15">
        <v>2034</v>
      </c>
      <c r="B31" s="65">
        <f t="shared" si="5"/>
        <v>0</v>
      </c>
      <c r="C31" s="65">
        <f t="shared" ref="C31:C40" si="8">SUM(K31,Q31)</f>
        <v>37.51</v>
      </c>
      <c r="D31" s="65">
        <f t="shared" ref="D31:D40" si="9">SUM(L31,R31)</f>
        <v>71.89</v>
      </c>
      <c r="E31" s="127">
        <f t="shared" ref="E31:E40" si="10">SUM(M31,S31)</f>
        <v>6829643.31568</v>
      </c>
      <c r="F31" s="121">
        <f t="shared" si="6"/>
        <v>3894850.151041769</v>
      </c>
      <c r="G31" s="121">
        <f t="shared" si="7"/>
        <v>1888453.2882772994</v>
      </c>
      <c r="I31" s="15">
        <v>2034</v>
      </c>
      <c r="J31" s="63">
        <v>0</v>
      </c>
      <c r="K31" s="63">
        <v>30.38</v>
      </c>
      <c r="L31" s="63">
        <v>58.23</v>
      </c>
      <c r="M31" s="159">
        <f t="shared" si="3"/>
        <v>5531467.8158400003</v>
      </c>
      <c r="O31" s="15">
        <v>2034</v>
      </c>
      <c r="P31" s="63">
        <v>0</v>
      </c>
      <c r="Q31" s="63">
        <v>7.13</v>
      </c>
      <c r="R31" s="63">
        <v>13.66</v>
      </c>
      <c r="S31" s="159">
        <f t="shared" si="4"/>
        <v>1298175.4998399999</v>
      </c>
    </row>
    <row r="32" spans="1:19" ht="14.45" x14ac:dyDescent="0.3">
      <c r="A32" s="15">
        <v>2035</v>
      </c>
      <c r="B32" s="65">
        <f t="shared" si="5"/>
        <v>0</v>
      </c>
      <c r="C32" s="65">
        <f t="shared" si="8"/>
        <v>37.839999999999996</v>
      </c>
      <c r="D32" s="65">
        <f t="shared" si="9"/>
        <v>72.55</v>
      </c>
      <c r="E32" s="127">
        <f t="shared" si="10"/>
        <v>6889843.7531199995</v>
      </c>
      <c r="F32" s="121">
        <f t="shared" si="6"/>
        <v>3814739.4362347242</v>
      </c>
      <c r="G32" s="121">
        <f t="shared" si="7"/>
        <v>1780466.5522246328</v>
      </c>
      <c r="I32" s="15">
        <v>2035</v>
      </c>
      <c r="J32" s="63">
        <v>0</v>
      </c>
      <c r="K32" s="63">
        <v>30.65</v>
      </c>
      <c r="L32" s="63">
        <v>58.76</v>
      </c>
      <c r="M32" s="159">
        <f t="shared" si="3"/>
        <v>5580680.7391999997</v>
      </c>
      <c r="O32" s="15">
        <v>2035</v>
      </c>
      <c r="P32" s="63">
        <v>0</v>
      </c>
      <c r="Q32" s="63">
        <v>7.19</v>
      </c>
      <c r="R32" s="63">
        <v>13.79</v>
      </c>
      <c r="S32" s="159">
        <f t="shared" si="4"/>
        <v>1309163.0139200001</v>
      </c>
    </row>
    <row r="33" spans="1:19" ht="14.45" x14ac:dyDescent="0.3">
      <c r="A33" s="15">
        <v>2036</v>
      </c>
      <c r="B33" s="65">
        <f t="shared" si="5"/>
        <v>0</v>
      </c>
      <c r="C33" s="65">
        <f t="shared" si="8"/>
        <v>38.19</v>
      </c>
      <c r="D33" s="65">
        <f t="shared" si="9"/>
        <v>73.2</v>
      </c>
      <c r="E33" s="127">
        <f t="shared" si="10"/>
        <v>6953482.8019199995</v>
      </c>
      <c r="F33" s="121">
        <f t="shared" si="6"/>
        <v>3737839.6452182191</v>
      </c>
      <c r="G33" s="121">
        <f t="shared" si="7"/>
        <v>1679357.0950986466</v>
      </c>
      <c r="I33" s="15">
        <v>2036</v>
      </c>
      <c r="J33" s="63">
        <v>0</v>
      </c>
      <c r="K33" s="63">
        <v>30.93</v>
      </c>
      <c r="L33" s="63">
        <v>59.29</v>
      </c>
      <c r="M33" s="159">
        <f t="shared" si="3"/>
        <v>5631633.9582399996</v>
      </c>
      <c r="O33" s="15">
        <v>2036</v>
      </c>
      <c r="P33" s="63">
        <v>0</v>
      </c>
      <c r="Q33" s="63">
        <v>7.26</v>
      </c>
      <c r="R33" s="63">
        <v>13.91</v>
      </c>
      <c r="S33" s="159">
        <f t="shared" si="4"/>
        <v>1321848.8436799999</v>
      </c>
    </row>
    <row r="34" spans="1:19" ht="14.45" x14ac:dyDescent="0.3">
      <c r="A34" s="15">
        <v>2037</v>
      </c>
      <c r="B34" s="65">
        <f t="shared" si="5"/>
        <v>0</v>
      </c>
      <c r="C34" s="65">
        <f t="shared" si="8"/>
        <v>38.519999999999996</v>
      </c>
      <c r="D34" s="65">
        <f t="shared" si="9"/>
        <v>73.849999999999994</v>
      </c>
      <c r="E34" s="127">
        <f t="shared" si="10"/>
        <v>7013641.2593600005</v>
      </c>
      <c r="F34" s="121">
        <f t="shared" si="6"/>
        <v>3660366.7771406774</v>
      </c>
      <c r="G34" s="121">
        <f t="shared" si="7"/>
        <v>1583071.1680828172</v>
      </c>
      <c r="I34" s="15">
        <v>2037</v>
      </c>
      <c r="J34" s="63">
        <v>0</v>
      </c>
      <c r="K34" s="63">
        <v>31.2</v>
      </c>
      <c r="L34" s="63">
        <v>59.82</v>
      </c>
      <c r="M34" s="159">
        <f t="shared" si="3"/>
        <v>5680846.8816</v>
      </c>
      <c r="O34" s="15">
        <v>2037</v>
      </c>
      <c r="P34" s="63">
        <v>0</v>
      </c>
      <c r="Q34" s="63">
        <v>7.32</v>
      </c>
      <c r="R34" s="63">
        <v>14.03</v>
      </c>
      <c r="S34" s="159">
        <f t="shared" si="4"/>
        <v>1332794.3777600001</v>
      </c>
    </row>
    <row r="35" spans="1:19" ht="14.45" x14ac:dyDescent="0.3">
      <c r="A35" s="15">
        <v>2038</v>
      </c>
      <c r="B35" s="65">
        <f t="shared" si="5"/>
        <v>0</v>
      </c>
      <c r="C35" s="65">
        <f t="shared" si="8"/>
        <v>38.869999999999997</v>
      </c>
      <c r="D35" s="65">
        <f t="shared" si="9"/>
        <v>74.52</v>
      </c>
      <c r="E35" s="127">
        <f t="shared" si="10"/>
        <v>7077364.2681600004</v>
      </c>
      <c r="F35" s="121">
        <f t="shared" si="6"/>
        <v>3586042.0753078368</v>
      </c>
      <c r="G35" s="121">
        <f t="shared" si="7"/>
        <v>1492947.9346671202</v>
      </c>
      <c r="I35" s="15">
        <v>2038</v>
      </c>
      <c r="J35" s="63">
        <v>0</v>
      </c>
      <c r="K35" s="63">
        <v>31.48</v>
      </c>
      <c r="L35" s="63">
        <v>60.36</v>
      </c>
      <c r="M35" s="159">
        <f t="shared" si="3"/>
        <v>5731842.0806400003</v>
      </c>
      <c r="O35" s="15">
        <v>2038</v>
      </c>
      <c r="P35" s="63">
        <v>0</v>
      </c>
      <c r="Q35" s="63">
        <v>7.39</v>
      </c>
      <c r="R35" s="63">
        <v>14.16</v>
      </c>
      <c r="S35" s="159">
        <f t="shared" si="4"/>
        <v>1345522.1875199999</v>
      </c>
    </row>
    <row r="36" spans="1:19" ht="14.45" x14ac:dyDescent="0.3">
      <c r="A36" s="15">
        <v>2039</v>
      </c>
      <c r="B36" s="65">
        <f t="shared" si="5"/>
        <v>0</v>
      </c>
      <c r="C36" s="65">
        <f t="shared" si="8"/>
        <v>39.22</v>
      </c>
      <c r="D36" s="65">
        <f t="shared" si="9"/>
        <v>75.19</v>
      </c>
      <c r="E36" s="127">
        <f t="shared" si="10"/>
        <v>7141087.2769600004</v>
      </c>
      <c r="F36" s="121">
        <f t="shared" si="6"/>
        <v>3512941.7456814661</v>
      </c>
      <c r="G36" s="121">
        <f t="shared" si="7"/>
        <v>1407841.2194120183</v>
      </c>
      <c r="I36" s="15">
        <v>2039</v>
      </c>
      <c r="J36" s="63">
        <v>0</v>
      </c>
      <c r="K36" s="63">
        <v>31.77</v>
      </c>
      <c r="L36" s="63">
        <v>60.9</v>
      </c>
      <c r="M36" s="159">
        <f t="shared" si="3"/>
        <v>5784577.5753600001</v>
      </c>
      <c r="O36" s="15">
        <v>2039</v>
      </c>
      <c r="P36" s="63">
        <v>0</v>
      </c>
      <c r="Q36" s="63">
        <v>7.45</v>
      </c>
      <c r="R36" s="63">
        <v>14.29</v>
      </c>
      <c r="S36" s="159">
        <f t="shared" si="4"/>
        <v>1356509.7016</v>
      </c>
    </row>
    <row r="37" spans="1:19" ht="14.45" x14ac:dyDescent="0.3">
      <c r="A37" s="15">
        <v>2040</v>
      </c>
      <c r="B37" s="65">
        <f t="shared" si="5"/>
        <v>0</v>
      </c>
      <c r="C37" s="65">
        <f t="shared" si="8"/>
        <v>39.569999999999993</v>
      </c>
      <c r="D37" s="65">
        <f t="shared" si="9"/>
        <v>75.87</v>
      </c>
      <c r="E37" s="127">
        <f t="shared" si="10"/>
        <v>7204852.2657599989</v>
      </c>
      <c r="F37" s="121">
        <f t="shared" si="6"/>
        <v>3441077.5678344625</v>
      </c>
      <c r="G37" s="121">
        <f t="shared" si="7"/>
        <v>1327488.104135524</v>
      </c>
      <c r="I37" s="15">
        <v>2040</v>
      </c>
      <c r="J37" s="63">
        <v>0</v>
      </c>
      <c r="K37" s="63">
        <v>32.049999999999997</v>
      </c>
      <c r="L37" s="63">
        <v>61.45</v>
      </c>
      <c r="M37" s="159">
        <f t="shared" si="3"/>
        <v>5835614.754399999</v>
      </c>
      <c r="O37" s="15">
        <v>2040</v>
      </c>
      <c r="P37" s="63">
        <v>0</v>
      </c>
      <c r="Q37" s="63">
        <v>7.52</v>
      </c>
      <c r="R37" s="63">
        <v>14.42</v>
      </c>
      <c r="S37" s="159">
        <f t="shared" si="4"/>
        <v>1369237.5113599999</v>
      </c>
    </row>
    <row r="38" spans="1:19" ht="14.45" x14ac:dyDescent="0.3">
      <c r="A38" s="15">
        <v>2041</v>
      </c>
      <c r="B38" s="65">
        <f t="shared" si="5"/>
        <v>0</v>
      </c>
      <c r="C38" s="65">
        <f t="shared" si="8"/>
        <v>39.930000000000007</v>
      </c>
      <c r="D38" s="65">
        <f t="shared" si="9"/>
        <v>76.55</v>
      </c>
      <c r="E38" s="127">
        <f t="shared" si="10"/>
        <v>7270357.5502400007</v>
      </c>
      <c r="F38" s="121">
        <f t="shared" si="6"/>
        <v>3371226.46263901</v>
      </c>
      <c r="G38" s="121">
        <f t="shared" si="7"/>
        <v>1251922.8027330139</v>
      </c>
      <c r="I38" s="15">
        <v>2041</v>
      </c>
      <c r="J38" s="63">
        <v>0</v>
      </c>
      <c r="K38" s="63">
        <v>32.340000000000003</v>
      </c>
      <c r="L38" s="63">
        <v>62</v>
      </c>
      <c r="M38" s="159">
        <f t="shared" si="3"/>
        <v>5888392.2291200003</v>
      </c>
      <c r="O38" s="15">
        <v>2041</v>
      </c>
      <c r="P38" s="63">
        <v>0</v>
      </c>
      <c r="Q38" s="63">
        <v>7.59</v>
      </c>
      <c r="R38" s="63">
        <v>14.55</v>
      </c>
      <c r="S38" s="159">
        <f t="shared" si="4"/>
        <v>1381965.32112</v>
      </c>
    </row>
    <row r="39" spans="1:19" ht="14.45" x14ac:dyDescent="0.3">
      <c r="A39" s="15">
        <v>2042</v>
      </c>
      <c r="B39" s="65">
        <f t="shared" si="5"/>
        <v>0</v>
      </c>
      <c r="C39" s="65">
        <f t="shared" si="8"/>
        <v>40.290000000000006</v>
      </c>
      <c r="D39" s="65">
        <f t="shared" si="9"/>
        <v>77.240000000000009</v>
      </c>
      <c r="E39" s="127">
        <f t="shared" si="10"/>
        <v>7335904.8147200001</v>
      </c>
      <c r="F39" s="121">
        <f t="shared" si="6"/>
        <v>3302544.0617246637</v>
      </c>
      <c r="G39" s="121">
        <f t="shared" si="7"/>
        <v>1180569.8563137366</v>
      </c>
      <c r="I39" s="15">
        <v>2042</v>
      </c>
      <c r="J39" s="63">
        <v>0</v>
      </c>
      <c r="K39" s="63">
        <v>32.630000000000003</v>
      </c>
      <c r="L39" s="63">
        <v>62.56</v>
      </c>
      <c r="M39" s="159">
        <f t="shared" si="3"/>
        <v>5941211.6838400001</v>
      </c>
      <c r="O39" s="15">
        <v>2042</v>
      </c>
      <c r="P39" s="63">
        <v>0</v>
      </c>
      <c r="Q39" s="63">
        <v>7.66</v>
      </c>
      <c r="R39" s="63">
        <v>14.68</v>
      </c>
      <c r="S39" s="159">
        <f t="shared" si="4"/>
        <v>1394693.1308799998</v>
      </c>
    </row>
    <row r="40" spans="1:19" ht="14.45" x14ac:dyDescent="0.3">
      <c r="A40" s="15">
        <v>2043</v>
      </c>
      <c r="B40" s="65">
        <f t="shared" si="5"/>
        <v>0</v>
      </c>
      <c r="C40" s="65">
        <f t="shared" si="8"/>
        <v>40.659999999999997</v>
      </c>
      <c r="D40" s="65">
        <f t="shared" si="9"/>
        <v>77.929999999999993</v>
      </c>
      <c r="E40" s="127">
        <f t="shared" si="10"/>
        <v>7403192.3748799991</v>
      </c>
      <c r="F40" s="121">
        <f t="shared" si="6"/>
        <v>3235763.2863086024</v>
      </c>
      <c r="G40" s="121">
        <f t="shared" si="7"/>
        <v>1113456.5122290037</v>
      </c>
      <c r="I40" s="15">
        <v>2043</v>
      </c>
      <c r="J40" s="63">
        <v>0</v>
      </c>
      <c r="K40" s="63">
        <v>32.93</v>
      </c>
      <c r="L40" s="63">
        <v>63.12</v>
      </c>
      <c r="M40" s="159">
        <f t="shared" si="3"/>
        <v>5995771.4342399994</v>
      </c>
      <c r="O40" s="15">
        <v>2043</v>
      </c>
      <c r="P40" s="63">
        <v>0</v>
      </c>
      <c r="Q40" s="63">
        <v>7.73</v>
      </c>
      <c r="R40" s="63">
        <v>14.81</v>
      </c>
      <c r="S40" s="159">
        <f t="shared" si="4"/>
        <v>1407420.9406400002</v>
      </c>
    </row>
    <row r="41" spans="1:19" x14ac:dyDescent="0.25">
      <c r="C41" s="204" t="s">
        <v>226</v>
      </c>
      <c r="D41" s="204"/>
      <c r="E41" s="121">
        <f>SUM(E15:E40)</f>
        <v>136139195.2536</v>
      </c>
      <c r="F41" s="121">
        <f>SUM(F15:F40)</f>
        <v>79244969.897036582</v>
      </c>
      <c r="G41" s="121">
        <f>SUM(G15:G40)</f>
        <v>41152337.803652383</v>
      </c>
      <c r="I41" s="207" t="s">
        <v>393</v>
      </c>
      <c r="J41" s="207"/>
      <c r="K41" s="207"/>
      <c r="L41" s="207"/>
      <c r="M41" s="207"/>
    </row>
    <row r="42" spans="1:19" x14ac:dyDescent="0.25">
      <c r="I42" s="207"/>
      <c r="J42" s="207"/>
      <c r="K42" s="207"/>
      <c r="L42" s="207"/>
      <c r="M42" s="207"/>
    </row>
  </sheetData>
  <mergeCells count="8">
    <mergeCell ref="O13:R13"/>
    <mergeCell ref="C41:D41"/>
    <mergeCell ref="H7:J7"/>
    <mergeCell ref="I41:M42"/>
    <mergeCell ref="B4:C4"/>
    <mergeCell ref="B7:D7"/>
    <mergeCell ref="A13:D13"/>
    <mergeCell ref="I13:L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9"/>
  <sheetViews>
    <sheetView topLeftCell="H21" zoomScale="80" zoomScaleNormal="80" workbookViewId="0">
      <selection activeCell="O53" sqref="O53:P53"/>
    </sheetView>
  </sheetViews>
  <sheetFormatPr defaultRowHeight="15" x14ac:dyDescent="0.25"/>
  <cols>
    <col min="2" max="3" width="9.85546875" bestFit="1" customWidth="1"/>
    <col min="4" max="4" width="11.85546875" bestFit="1" customWidth="1"/>
    <col min="5" max="5" width="12" bestFit="1" customWidth="1"/>
    <col min="6" max="8" width="10.28515625" bestFit="1" customWidth="1"/>
    <col min="9" max="9" width="13.7109375" bestFit="1" customWidth="1"/>
    <col min="14" max="15" width="10.42578125" customWidth="1"/>
    <col min="16" max="16" width="13.7109375" bestFit="1" customWidth="1"/>
    <col min="17" max="17" width="12.7109375" bestFit="1" customWidth="1"/>
    <col min="18" max="18" width="10.7109375" bestFit="1" customWidth="1"/>
    <col min="19" max="19" width="12.7109375" bestFit="1" customWidth="1"/>
    <col min="20" max="20" width="10.85546875" customWidth="1"/>
    <col min="21" max="21" width="10.140625" bestFit="1" customWidth="1"/>
  </cols>
  <sheetData>
    <row r="2" spans="2:21" s="147" customFormat="1" ht="14.45" x14ac:dyDescent="0.3">
      <c r="B2" s="143" t="s">
        <v>341</v>
      </c>
    </row>
    <row r="3" spans="2:21" s="147" customFormat="1" ht="14.45" x14ac:dyDescent="0.3"/>
    <row r="4" spans="2:21" ht="14.45" x14ac:dyDescent="0.3">
      <c r="B4" s="205" t="s">
        <v>256</v>
      </c>
      <c r="C4" s="205"/>
      <c r="D4" s="205"/>
      <c r="E4" s="205"/>
      <c r="F4" s="205"/>
      <c r="G4" s="205"/>
      <c r="H4" s="205"/>
      <c r="I4" s="205"/>
      <c r="P4" s="152"/>
      <c r="Q4" s="152"/>
      <c r="R4" s="152"/>
      <c r="S4" s="152"/>
      <c r="T4" s="147"/>
      <c r="U4" s="147"/>
    </row>
    <row r="5" spans="2:21" ht="14.45" x14ac:dyDescent="0.3">
      <c r="B5" s="206" t="s">
        <v>196</v>
      </c>
      <c r="C5" s="206"/>
      <c r="D5" s="206"/>
      <c r="E5" s="206"/>
      <c r="F5" s="206" t="s">
        <v>15</v>
      </c>
      <c r="G5" s="206"/>
      <c r="H5" s="206"/>
      <c r="I5" s="206"/>
      <c r="P5" s="152"/>
      <c r="Q5" s="152"/>
      <c r="R5" s="152"/>
      <c r="S5" s="152"/>
      <c r="T5" s="147"/>
      <c r="U5" s="147"/>
    </row>
    <row r="6" spans="2:21" ht="14.45" x14ac:dyDescent="0.3">
      <c r="B6" s="169" t="s">
        <v>197</v>
      </c>
      <c r="C6" s="169" t="s">
        <v>198</v>
      </c>
      <c r="D6" s="169" t="s">
        <v>199</v>
      </c>
      <c r="E6" s="169" t="s">
        <v>29</v>
      </c>
      <c r="F6" s="169" t="s">
        <v>197</v>
      </c>
      <c r="G6" s="169" t="s">
        <v>198</v>
      </c>
      <c r="H6" s="169" t="s">
        <v>199</v>
      </c>
      <c r="I6" s="169" t="s">
        <v>29</v>
      </c>
      <c r="P6" s="152"/>
      <c r="Q6" s="152"/>
      <c r="R6" s="152"/>
      <c r="S6" s="152"/>
      <c r="T6" s="147"/>
      <c r="U6" s="147"/>
    </row>
    <row r="7" spans="2:21" ht="14.45" x14ac:dyDescent="0.3">
      <c r="B7" s="63">
        <v>3.4199999999999999E-6</v>
      </c>
      <c r="C7" s="63">
        <v>2.2900000000000001E-6</v>
      </c>
      <c r="D7" s="63">
        <v>0</v>
      </c>
      <c r="E7" s="63">
        <v>1E-8</v>
      </c>
      <c r="F7" s="63">
        <v>2.0700000000000001E-6</v>
      </c>
      <c r="G7" s="63">
        <v>3.9879999999999998E-5</v>
      </c>
      <c r="H7" s="63">
        <v>2.9999999999999997E-8</v>
      </c>
      <c r="I7" s="63">
        <v>9.7000000000000003E-7</v>
      </c>
      <c r="P7" s="152"/>
      <c r="Q7" s="152"/>
      <c r="R7" s="152"/>
      <c r="S7" s="152"/>
      <c r="T7" s="147"/>
      <c r="U7" s="147"/>
    </row>
    <row r="8" spans="2:21" ht="15" customHeight="1" x14ac:dyDescent="0.25">
      <c r="B8" s="208" t="s">
        <v>257</v>
      </c>
      <c r="C8" s="208"/>
      <c r="D8" s="208"/>
      <c r="E8" s="208"/>
      <c r="F8" s="208"/>
      <c r="G8" s="208"/>
      <c r="H8" s="208"/>
      <c r="I8" s="208"/>
      <c r="P8" s="152"/>
      <c r="Q8" s="152"/>
      <c r="R8" s="152"/>
      <c r="S8" s="152"/>
      <c r="T8" s="147"/>
      <c r="U8" s="147"/>
    </row>
    <row r="9" spans="2:21" x14ac:dyDescent="0.25">
      <c r="B9" s="208"/>
      <c r="C9" s="208"/>
      <c r="D9" s="208"/>
      <c r="E9" s="208"/>
      <c r="F9" s="208"/>
      <c r="G9" s="208"/>
      <c r="H9" s="208"/>
      <c r="I9" s="208"/>
      <c r="P9" s="152"/>
      <c r="Q9" s="152"/>
      <c r="R9" s="152"/>
      <c r="S9" s="152"/>
      <c r="T9" s="147"/>
      <c r="U9" s="147"/>
    </row>
    <row r="10" spans="2:21" x14ac:dyDescent="0.25">
      <c r="B10" s="208"/>
      <c r="C10" s="208"/>
      <c r="D10" s="208"/>
      <c r="E10" s="208"/>
      <c r="F10" s="208"/>
      <c r="G10" s="208"/>
      <c r="H10" s="208"/>
      <c r="I10" s="208"/>
      <c r="P10" s="152"/>
      <c r="Q10" s="152"/>
      <c r="R10" s="152"/>
      <c r="S10" s="152"/>
      <c r="T10" s="147"/>
      <c r="U10" s="147"/>
    </row>
    <row r="11" spans="2:21" ht="14.45" x14ac:dyDescent="0.3">
      <c r="B11" s="170"/>
      <c r="C11" s="170"/>
      <c r="D11" s="170"/>
      <c r="E11" s="170"/>
      <c r="F11" s="170"/>
      <c r="G11" s="170"/>
      <c r="H11" s="170"/>
      <c r="I11" s="170"/>
      <c r="P11" s="152"/>
      <c r="Q11" s="152"/>
      <c r="R11" s="152"/>
      <c r="S11" s="152"/>
      <c r="T11" s="147"/>
      <c r="U11" s="147"/>
    </row>
    <row r="12" spans="2:21" ht="15" customHeight="1" x14ac:dyDescent="0.3">
      <c r="B12" s="203" t="s">
        <v>245</v>
      </c>
      <c r="C12" s="203"/>
      <c r="D12" s="203"/>
      <c r="E12" s="203"/>
    </row>
    <row r="13" spans="2:21" ht="14.45" x14ac:dyDescent="0.3">
      <c r="B13" s="182" t="s">
        <v>196</v>
      </c>
      <c r="C13" s="160">
        <v>1.8634259259259256</v>
      </c>
      <c r="E13" s="147"/>
    </row>
    <row r="14" spans="2:21" ht="14.45" x14ac:dyDescent="0.3">
      <c r="B14" s="15" t="s">
        <v>15</v>
      </c>
      <c r="C14" s="161">
        <v>9.84375</v>
      </c>
      <c r="D14" t="s">
        <v>263</v>
      </c>
    </row>
    <row r="15" spans="2:21" s="147" customFormat="1" ht="14.45" x14ac:dyDescent="0.3">
      <c r="C15" s="162"/>
    </row>
    <row r="16" spans="2:21" ht="14.45" x14ac:dyDescent="0.3">
      <c r="B16" s="203" t="s">
        <v>200</v>
      </c>
      <c r="C16" s="203"/>
      <c r="D16" s="203"/>
      <c r="E16" s="203"/>
    </row>
    <row r="17" spans="1:20" ht="14.45" x14ac:dyDescent="0.3">
      <c r="B17" s="169" t="s">
        <v>262</v>
      </c>
      <c r="C17" s="169" t="s">
        <v>260</v>
      </c>
      <c r="D17" s="169" t="s">
        <v>261</v>
      </c>
    </row>
    <row r="18" spans="1:20" ht="14.45" x14ac:dyDescent="0.3">
      <c r="B18" s="15" t="s">
        <v>202</v>
      </c>
      <c r="C18" s="64">
        <v>19.64</v>
      </c>
      <c r="D18" s="65">
        <f>C18/2000</f>
        <v>9.8200000000000006E-3</v>
      </c>
    </row>
    <row r="19" spans="1:20" ht="14.45" x14ac:dyDescent="0.3">
      <c r="B19" s="15" t="s">
        <v>201</v>
      </c>
      <c r="C19" s="64">
        <v>22.38</v>
      </c>
      <c r="D19" s="65">
        <f>C19/2000</f>
        <v>1.119E-2</v>
      </c>
      <c r="E19" t="s">
        <v>259</v>
      </c>
    </row>
    <row r="20" spans="1:20" s="147" customFormat="1" ht="14.45" x14ac:dyDescent="0.3">
      <c r="C20" s="148"/>
      <c r="D20" s="148"/>
    </row>
    <row r="21" spans="1:20" ht="15" customHeight="1" x14ac:dyDescent="0.3">
      <c r="B21" s="203" t="s">
        <v>345</v>
      </c>
      <c r="C21" s="203"/>
      <c r="D21" s="203"/>
      <c r="E21" s="203"/>
    </row>
    <row r="22" spans="1:20" s="147" customFormat="1" ht="14.45" x14ac:dyDescent="0.3">
      <c r="A22"/>
      <c r="B22" s="169" t="s">
        <v>286</v>
      </c>
      <c r="C22" s="169" t="s">
        <v>203</v>
      </c>
      <c r="D22" s="169" t="s">
        <v>204</v>
      </c>
      <c r="E22" s="169" t="s">
        <v>29</v>
      </c>
    </row>
    <row r="23" spans="1:20" ht="14.45" x14ac:dyDescent="0.3">
      <c r="B23" s="153">
        <v>1844</v>
      </c>
      <c r="C23" s="153">
        <v>7266</v>
      </c>
      <c r="D23" s="153">
        <v>42947</v>
      </c>
      <c r="E23" s="153">
        <v>332405</v>
      </c>
      <c r="F23" t="s">
        <v>258</v>
      </c>
    </row>
    <row r="25" spans="1:20" ht="43.9" customHeight="1" x14ac:dyDescent="0.25">
      <c r="A25" s="117"/>
      <c r="B25" s="205" t="s">
        <v>195</v>
      </c>
      <c r="C25" s="205"/>
      <c r="D25" s="205" t="s">
        <v>264</v>
      </c>
      <c r="E25" s="205"/>
      <c r="F25" s="205"/>
      <c r="G25" s="205"/>
      <c r="H25" s="205"/>
      <c r="I25" s="205" t="s">
        <v>288</v>
      </c>
      <c r="J25" s="205"/>
      <c r="K25" s="205"/>
      <c r="L25" s="205"/>
      <c r="M25" s="205"/>
      <c r="N25" s="203" t="s">
        <v>290</v>
      </c>
      <c r="O25" s="205" t="s">
        <v>289</v>
      </c>
      <c r="P25" s="205"/>
      <c r="Q25" s="205" t="s">
        <v>291</v>
      </c>
      <c r="R25" s="205"/>
      <c r="S25" s="205" t="s">
        <v>292</v>
      </c>
      <c r="T25" s="205"/>
    </row>
    <row r="26" spans="1:20" x14ac:dyDescent="0.25">
      <c r="A26" s="117" t="s">
        <v>82</v>
      </c>
      <c r="B26" s="117" t="s">
        <v>196</v>
      </c>
      <c r="C26" s="117" t="s">
        <v>15</v>
      </c>
      <c r="D26" s="117" t="s">
        <v>197</v>
      </c>
      <c r="E26" s="117" t="s">
        <v>203</v>
      </c>
      <c r="F26" s="117" t="s">
        <v>204</v>
      </c>
      <c r="G26" s="117" t="s">
        <v>29</v>
      </c>
      <c r="H26" s="117" t="s">
        <v>205</v>
      </c>
      <c r="I26" s="117" t="s">
        <v>197</v>
      </c>
      <c r="J26" s="117" t="s">
        <v>203</v>
      </c>
      <c r="K26" s="117" t="s">
        <v>204</v>
      </c>
      <c r="L26" s="117" t="s">
        <v>29</v>
      </c>
      <c r="M26" s="117" t="s">
        <v>205</v>
      </c>
      <c r="N26" s="205"/>
      <c r="O26" s="117" t="s">
        <v>206</v>
      </c>
      <c r="P26" s="117" t="s">
        <v>205</v>
      </c>
      <c r="Q26" s="117" t="s">
        <v>206</v>
      </c>
      <c r="R26" s="117" t="s">
        <v>205</v>
      </c>
      <c r="S26" s="117" t="s">
        <v>206</v>
      </c>
      <c r="T26" s="117" t="s">
        <v>287</v>
      </c>
    </row>
    <row r="27" spans="1:20" ht="14.45" x14ac:dyDescent="0.3">
      <c r="A27" s="15">
        <v>2018</v>
      </c>
      <c r="B27" s="119">
        <f>SUM(Ben_1!C70,Ben_1!E70)</f>
        <v>-69278</v>
      </c>
      <c r="C27" s="119">
        <f>Ben_1!G70</f>
        <v>-12680</v>
      </c>
      <c r="D27" s="165">
        <f t="shared" ref="D27:D52" si="0">$B27*B$7+$C27*F$7</f>
        <v>-0.26317836</v>
      </c>
      <c r="E27" s="165">
        <f t="shared" ref="E27:E52" si="1">$B27*C$7+$C27*G$7</f>
        <v>-0.66432501999999993</v>
      </c>
      <c r="F27" s="165">
        <f t="shared" ref="F27:F52" si="2">$B27*D$7+$C27*H$7</f>
        <v>-3.8039999999999998E-4</v>
      </c>
      <c r="G27" s="165">
        <f t="shared" ref="G27:G52" si="3">$B27*E$7+$C27*I$7</f>
        <v>-1.2992380000000001E-2</v>
      </c>
      <c r="H27" s="73">
        <f t="shared" ref="H27:H52" si="4">$B27*$C$13*$D$18+$C27*$C$14*$D$19</f>
        <v>-2664.4290296296294</v>
      </c>
      <c r="I27" s="120">
        <f t="shared" ref="I27:I52" si="5">D27*B$23</f>
        <v>-485.30089584000001</v>
      </c>
      <c r="J27" s="120">
        <f t="shared" ref="J27:J52" si="6">E27*C$23</f>
        <v>-4826.9855953199994</v>
      </c>
      <c r="K27" s="120">
        <f t="shared" ref="K27:K52" si="7">F27*D$23</f>
        <v>-16.337038799999998</v>
      </c>
      <c r="L27" s="120">
        <f t="shared" ref="L27:L52" si="8">G27*E$23</f>
        <v>-4318.7320739000006</v>
      </c>
      <c r="M27" s="120">
        <f>H27*N27</f>
        <v>-119899.30633333333</v>
      </c>
      <c r="N27" s="120">
        <v>45</v>
      </c>
      <c r="O27" s="120">
        <f>SUM(I27:L27)</f>
        <v>-9647.35560386</v>
      </c>
      <c r="P27" s="120">
        <f>M27</f>
        <v>-119899.30633333333</v>
      </c>
      <c r="Q27" s="120">
        <f>O27/1.03^($A27-'BC Summary'!$D$6)</f>
        <v>-8828.6970156864427</v>
      </c>
      <c r="R27" s="120">
        <f>P27/1.03^($A27-'BC Summary'!$D$6)</f>
        <v>-109724.85015317946</v>
      </c>
      <c r="S27" s="120">
        <f>O27/1.07^($A27-'BC Summary'!$D$6)</f>
        <v>-7875.115897041981</v>
      </c>
      <c r="T27" s="120">
        <f>P27/1.03^($A27-'BC Summary'!$D$6)</f>
        <v>-109724.85015317946</v>
      </c>
    </row>
    <row r="28" spans="1:20" ht="14.45" x14ac:dyDescent="0.3">
      <c r="A28" s="15">
        <v>2019</v>
      </c>
      <c r="B28" s="119">
        <f>SUM(Ben_1!C71,Ben_1!E71)</f>
        <v>-70170</v>
      </c>
      <c r="C28" s="119">
        <f>Ben_1!G71</f>
        <v>-12824</v>
      </c>
      <c r="D28" s="165">
        <f t="shared" si="0"/>
        <v>-0.26652707999999997</v>
      </c>
      <c r="E28" s="165">
        <f t="shared" si="1"/>
        <v>-0.67211041999999999</v>
      </c>
      <c r="F28" s="165">
        <f t="shared" si="2"/>
        <v>-3.8471999999999996E-4</v>
      </c>
      <c r="G28" s="165">
        <f t="shared" si="3"/>
        <v>-1.314098E-2</v>
      </c>
      <c r="H28" s="73">
        <f t="shared" si="4"/>
        <v>-2696.6134222222222</v>
      </c>
      <c r="I28" s="120">
        <f t="shared" si="5"/>
        <v>-491.47593551999995</v>
      </c>
      <c r="J28" s="120">
        <f t="shared" si="6"/>
        <v>-4883.5543117199995</v>
      </c>
      <c r="K28" s="120">
        <f t="shared" si="7"/>
        <v>-16.522569839999999</v>
      </c>
      <c r="L28" s="120">
        <f t="shared" si="8"/>
        <v>-4368.1274568999997</v>
      </c>
      <c r="M28" s="120">
        <f t="shared" ref="M28:M52" si="9">H28*N28</f>
        <v>-124044.21742222222</v>
      </c>
      <c r="N28" s="120">
        <v>46</v>
      </c>
      <c r="O28" s="120">
        <f t="shared" ref="O28:O52" si="10">SUM(I28:L28)</f>
        <v>-9759.6802739800005</v>
      </c>
      <c r="P28" s="120">
        <f t="shared" ref="P28:P52" si="11">M28</f>
        <v>-124044.21742222222</v>
      </c>
      <c r="Q28" s="120">
        <f>O28/1.03^($A28-'BC Summary'!$D$6)</f>
        <v>-8671.3495152294727</v>
      </c>
      <c r="R28" s="120">
        <f>P28/1.03^($A28-'BC Summary'!$D$6)</f>
        <v>-110211.68054848209</v>
      </c>
      <c r="S28" s="120">
        <f>O28/1.07^($A28-'BC Summary'!$D$6)</f>
        <v>-7445.6133521340216</v>
      </c>
      <c r="T28" s="120">
        <f>P28/1.03^($A28-'BC Summary'!$D$6)</f>
        <v>-110211.68054848209</v>
      </c>
    </row>
    <row r="29" spans="1:20" ht="14.45" x14ac:dyDescent="0.3">
      <c r="A29" s="15">
        <v>2020</v>
      </c>
      <c r="B29" s="119">
        <f>SUM(Ben_1!C72,Ben_1!E72)</f>
        <v>-71073</v>
      </c>
      <c r="C29" s="119">
        <f>Ben_1!G72</f>
        <v>-12969</v>
      </c>
      <c r="D29" s="165">
        <f t="shared" si="0"/>
        <v>-0.26991548999999998</v>
      </c>
      <c r="E29" s="165">
        <f t="shared" si="1"/>
        <v>-0.67996088999999993</v>
      </c>
      <c r="F29" s="165">
        <f t="shared" si="2"/>
        <v>-3.8906999999999999E-4</v>
      </c>
      <c r="G29" s="165">
        <f t="shared" si="3"/>
        <v>-1.3290659999999999E-2</v>
      </c>
      <c r="H29" s="73">
        <f t="shared" si="4"/>
        <v>-2729.1092536458336</v>
      </c>
      <c r="I29" s="120">
        <f t="shared" si="5"/>
        <v>-497.72416355999997</v>
      </c>
      <c r="J29" s="120">
        <f t="shared" si="6"/>
        <v>-4940.5958267399992</v>
      </c>
      <c r="K29" s="120">
        <f t="shared" si="7"/>
        <v>-16.709389290000001</v>
      </c>
      <c r="L29" s="120">
        <f t="shared" si="8"/>
        <v>-4417.8818372999995</v>
      </c>
      <c r="M29" s="120">
        <f t="shared" si="9"/>
        <v>-128268.13492135418</v>
      </c>
      <c r="N29" s="120">
        <v>47</v>
      </c>
      <c r="O29" s="120">
        <f t="shared" si="10"/>
        <v>-9872.9112168899992</v>
      </c>
      <c r="P29" s="120">
        <f t="shared" si="11"/>
        <v>-128268.13492135418</v>
      </c>
      <c r="Q29" s="120">
        <f>O29/1.03^($A29-'BC Summary'!$D$6)</f>
        <v>-8516.4599431342613</v>
      </c>
      <c r="R29" s="120">
        <f>P29/1.03^($A29-'BC Summary'!$D$6)</f>
        <v>-110645.21993973327</v>
      </c>
      <c r="S29" s="120">
        <f>O29/1.07^($A29-'BC Summary'!$D$6)</f>
        <v>-7039.2492489118558</v>
      </c>
      <c r="T29" s="120">
        <f>P29/1.03^($A29-'BC Summary'!$D$6)</f>
        <v>-110645.21993973327</v>
      </c>
    </row>
    <row r="30" spans="1:20" ht="14.45" x14ac:dyDescent="0.3">
      <c r="A30" s="15">
        <v>2021</v>
      </c>
      <c r="B30" s="119">
        <f>SUM(Ben_1!C73,Ben_1!E73)</f>
        <v>-71988</v>
      </c>
      <c r="C30" s="119">
        <f>Ben_1!G73</f>
        <v>-13117</v>
      </c>
      <c r="D30" s="165">
        <f t="shared" si="0"/>
        <v>-0.27335114999999999</v>
      </c>
      <c r="E30" s="165">
        <f t="shared" si="1"/>
        <v>-0.68795848000000004</v>
      </c>
      <c r="F30" s="165">
        <f t="shared" si="2"/>
        <v>-3.9350999999999996E-4</v>
      </c>
      <c r="G30" s="165">
        <f t="shared" si="3"/>
        <v>-1.344337E-2</v>
      </c>
      <c r="H30" s="73">
        <f t="shared" si="4"/>
        <v>-2762.1551258680556</v>
      </c>
      <c r="I30" s="120">
        <f t="shared" si="5"/>
        <v>-504.05952059999998</v>
      </c>
      <c r="J30" s="120">
        <f t="shared" si="6"/>
        <v>-4998.7063156800004</v>
      </c>
      <c r="K30" s="120">
        <f t="shared" si="7"/>
        <v>-16.900073969999998</v>
      </c>
      <c r="L30" s="120">
        <f t="shared" si="8"/>
        <v>-4468.6434048499996</v>
      </c>
      <c r="M30" s="120">
        <f t="shared" si="9"/>
        <v>-129821.29091579861</v>
      </c>
      <c r="N30" s="120">
        <v>47</v>
      </c>
      <c r="O30" s="120">
        <f t="shared" si="10"/>
        <v>-9988.3093150999994</v>
      </c>
      <c r="P30" s="120">
        <f t="shared" si="11"/>
        <v>-129821.29091579861</v>
      </c>
      <c r="Q30" s="120">
        <f>O30/1.03^($A30-'BC Summary'!$D$6)</f>
        <v>-8365.0518022829438</v>
      </c>
      <c r="R30" s="120">
        <f>P30/1.03^($A30-'BC Summary'!$D$6)</f>
        <v>-108723.28732433006</v>
      </c>
      <c r="S30" s="120">
        <f>O30/1.07^($A30-'BC Summary'!$D$6)</f>
        <v>-6655.6322411909205</v>
      </c>
      <c r="T30" s="120">
        <f>P30/1.03^($A30-'BC Summary'!$D$6)</f>
        <v>-108723.28732433006</v>
      </c>
    </row>
    <row r="31" spans="1:20" ht="14.45" x14ac:dyDescent="0.3">
      <c r="A31" s="15">
        <v>2022</v>
      </c>
      <c r="B31" s="119">
        <f>SUM(Ben_1!C74,Ben_1!E74)</f>
        <v>-72915</v>
      </c>
      <c r="C31" s="119">
        <f>Ben_1!G74</f>
        <v>-13266</v>
      </c>
      <c r="D31" s="165">
        <f t="shared" si="0"/>
        <v>-0.27682992000000001</v>
      </c>
      <c r="E31" s="165">
        <f t="shared" si="1"/>
        <v>-0.69602342999999989</v>
      </c>
      <c r="F31" s="165">
        <f t="shared" si="2"/>
        <v>-3.9797999999999998E-4</v>
      </c>
      <c r="G31" s="165">
        <f t="shared" si="3"/>
        <v>-1.359717E-2</v>
      </c>
      <c r="H31" s="73">
        <f t="shared" si="4"/>
        <v>-2795.530735763889</v>
      </c>
      <c r="I31" s="120">
        <f t="shared" si="5"/>
        <v>-510.47437248</v>
      </c>
      <c r="J31" s="120">
        <f t="shared" si="6"/>
        <v>-5057.3062423799993</v>
      </c>
      <c r="K31" s="120">
        <f t="shared" si="7"/>
        <v>-17.092047059999999</v>
      </c>
      <c r="L31" s="120">
        <f t="shared" si="8"/>
        <v>-4519.76729385</v>
      </c>
      <c r="M31" s="120">
        <f t="shared" si="9"/>
        <v>-134185.47531666668</v>
      </c>
      <c r="N31" s="120">
        <v>48</v>
      </c>
      <c r="O31" s="120">
        <f t="shared" si="10"/>
        <v>-10104.639955769999</v>
      </c>
      <c r="P31" s="120">
        <f t="shared" si="11"/>
        <v>-134185.47531666668</v>
      </c>
      <c r="Q31" s="120">
        <f>O31/1.03^($A31-'BC Summary'!$D$6)</f>
        <v>-8215.9969732174668</v>
      </c>
      <c r="R31" s="120">
        <f>P31/1.03^($A31-'BC Summary'!$D$6)</f>
        <v>-109105.0709255548</v>
      </c>
      <c r="S31" s="120">
        <f>O31/1.07^($A31-'BC Summary'!$D$6)</f>
        <v>-6292.6619242924926</v>
      </c>
      <c r="T31" s="120">
        <f>P31/1.03^($A31-'BC Summary'!$D$6)</f>
        <v>-109105.0709255548</v>
      </c>
    </row>
    <row r="32" spans="1:20" ht="14.45" x14ac:dyDescent="0.3">
      <c r="A32" s="15">
        <v>2023</v>
      </c>
      <c r="B32" s="119">
        <f>SUM(Ben_1!C75,Ben_1!E75)</f>
        <v>-73855</v>
      </c>
      <c r="C32" s="119">
        <f>Ben_1!G75</f>
        <v>-13416</v>
      </c>
      <c r="D32" s="165">
        <f t="shared" si="0"/>
        <v>-0.28035521999999996</v>
      </c>
      <c r="E32" s="165">
        <f t="shared" si="1"/>
        <v>-0.70415802999999999</v>
      </c>
      <c r="F32" s="165">
        <f t="shared" si="2"/>
        <v>-4.0247999999999998E-4</v>
      </c>
      <c r="G32" s="165">
        <f t="shared" si="3"/>
        <v>-1.375207E-2</v>
      </c>
      <c r="H32" s="73">
        <f t="shared" si="4"/>
        <v>-2829.2543821759259</v>
      </c>
      <c r="I32" s="120">
        <f t="shared" si="5"/>
        <v>-516.97502567999993</v>
      </c>
      <c r="J32" s="120">
        <f t="shared" si="6"/>
        <v>-5116.4122459800001</v>
      </c>
      <c r="K32" s="120">
        <f t="shared" si="7"/>
        <v>-17.285308560000001</v>
      </c>
      <c r="L32" s="120">
        <f t="shared" si="8"/>
        <v>-4571.2568283499995</v>
      </c>
      <c r="M32" s="120">
        <f t="shared" si="9"/>
        <v>-141462.7191087963</v>
      </c>
      <c r="N32" s="120">
        <v>50</v>
      </c>
      <c r="O32" s="120">
        <f t="shared" si="10"/>
        <v>-10221.929408569998</v>
      </c>
      <c r="P32" s="120">
        <f t="shared" si="11"/>
        <v>-141462.7191087963</v>
      </c>
      <c r="Q32" s="120">
        <f>O32/1.03^($A32-'BC Summary'!$D$6)</f>
        <v>-8069.285467630345</v>
      </c>
      <c r="R32" s="120">
        <f>P32/1.03^($A32-'BC Summary'!$D$6)</f>
        <v>-111671.97677564225</v>
      </c>
      <c r="S32" s="120">
        <f>O32/1.07^($A32-'BC Summary'!$D$6)</f>
        <v>-5949.2559820088582</v>
      </c>
      <c r="T32" s="120">
        <f>P32/1.03^($A32-'BC Summary'!$D$6)</f>
        <v>-111671.97677564225</v>
      </c>
    </row>
    <row r="33" spans="1:20" ht="14.45" x14ac:dyDescent="0.3">
      <c r="A33" s="15">
        <v>2024</v>
      </c>
      <c r="B33" s="119">
        <f>SUM(Ben_1!C76,Ben_1!E76)</f>
        <v>431508</v>
      </c>
      <c r="C33" s="119">
        <f>Ben_1!G76</f>
        <v>52659</v>
      </c>
      <c r="D33" s="165">
        <f t="shared" si="0"/>
        <v>1.58476149</v>
      </c>
      <c r="E33" s="165">
        <f t="shared" si="1"/>
        <v>3.08819424</v>
      </c>
      <c r="F33" s="165">
        <f t="shared" si="2"/>
        <v>1.5797699999999999E-3</v>
      </c>
      <c r="G33" s="165">
        <f t="shared" si="3"/>
        <v>5.5394310000000002E-2</v>
      </c>
      <c r="H33" s="73">
        <f t="shared" si="4"/>
        <v>13696.568099131942</v>
      </c>
      <c r="I33" s="120">
        <f t="shared" si="5"/>
        <v>2922.3001875599998</v>
      </c>
      <c r="J33" s="120">
        <f t="shared" si="6"/>
        <v>22438.819347839999</v>
      </c>
      <c r="K33" s="120">
        <f t="shared" si="7"/>
        <v>67.84638219</v>
      </c>
      <c r="L33" s="120">
        <f t="shared" si="8"/>
        <v>18413.345615549999</v>
      </c>
      <c r="M33" s="120">
        <f t="shared" si="9"/>
        <v>698524.97305572906</v>
      </c>
      <c r="N33" s="120">
        <v>51</v>
      </c>
      <c r="O33" s="120">
        <f t="shared" si="10"/>
        <v>43842.311533139997</v>
      </c>
      <c r="P33" s="120">
        <f t="shared" si="11"/>
        <v>698524.97305572906</v>
      </c>
      <c r="Q33" s="120">
        <f>O33/1.03^($A33-'BC Summary'!$D$6)</f>
        <v>33601.481143620469</v>
      </c>
      <c r="R33" s="120">
        <f>P33/1.03^($A33-'BC Summary'!$D$6)</f>
        <v>535361.22730979195</v>
      </c>
      <c r="S33" s="120">
        <f>O33/1.07^($A33-'BC Summary'!$D$6)</f>
        <v>23847.312595760995</v>
      </c>
      <c r="T33" s="120">
        <f>P33/1.03^($A33-'BC Summary'!$D$6)</f>
        <v>535361.22730979195</v>
      </c>
    </row>
    <row r="34" spans="1:20" ht="14.45" x14ac:dyDescent="0.3">
      <c r="A34" s="15">
        <v>2025</v>
      </c>
      <c r="B34" s="119">
        <f>SUM(Ben_1!C77,Ben_1!E77)</f>
        <v>446173</v>
      </c>
      <c r="C34" s="119">
        <f>Ben_1!G77</f>
        <v>54483</v>
      </c>
      <c r="D34" s="165">
        <f t="shared" si="0"/>
        <v>1.6386914699999999</v>
      </c>
      <c r="E34" s="165">
        <f t="shared" si="1"/>
        <v>3.19451821</v>
      </c>
      <c r="F34" s="165">
        <f t="shared" si="2"/>
        <v>1.6344899999999999E-3</v>
      </c>
      <c r="G34" s="165">
        <f t="shared" si="3"/>
        <v>5.7310239999999998E-2</v>
      </c>
      <c r="H34" s="73">
        <f t="shared" si="4"/>
        <v>14165.837075752313</v>
      </c>
      <c r="I34" s="120">
        <f t="shared" si="5"/>
        <v>3021.74707068</v>
      </c>
      <c r="J34" s="120">
        <f t="shared" si="6"/>
        <v>23211.369313859999</v>
      </c>
      <c r="K34" s="120">
        <f t="shared" si="7"/>
        <v>70.19644203</v>
      </c>
      <c r="L34" s="120">
        <f t="shared" si="8"/>
        <v>19050.210327199999</v>
      </c>
      <c r="M34" s="120">
        <f t="shared" si="9"/>
        <v>736623.52793912031</v>
      </c>
      <c r="N34" s="120">
        <v>52</v>
      </c>
      <c r="O34" s="120">
        <f t="shared" si="10"/>
        <v>45353.523153770002</v>
      </c>
      <c r="P34" s="120">
        <f t="shared" si="11"/>
        <v>736623.52793912031</v>
      </c>
      <c r="Q34" s="120">
        <f>O34/1.03^($A34-'BC Summary'!$D$6)</f>
        <v>33747.280597847988</v>
      </c>
      <c r="R34" s="120">
        <f>P34/1.03^($A34-'BC Summary'!$D$6)</f>
        <v>548117.08470925724</v>
      </c>
      <c r="S34" s="120">
        <f>O34/1.07^($A34-'BC Summary'!$D$6)</f>
        <v>23055.431391034515</v>
      </c>
      <c r="T34" s="120">
        <f>P34/1.03^($A34-'BC Summary'!$D$6)</f>
        <v>548117.08470925724</v>
      </c>
    </row>
    <row r="35" spans="1:20" ht="14.45" x14ac:dyDescent="0.3">
      <c r="A35" s="15">
        <v>2026</v>
      </c>
      <c r="B35" s="119">
        <f>SUM(Ben_1!C78,Ben_1!E78)</f>
        <v>461159</v>
      </c>
      <c r="C35" s="119">
        <f>Ben_1!G78</f>
        <v>56346</v>
      </c>
      <c r="D35" s="165">
        <f t="shared" si="0"/>
        <v>1.6938</v>
      </c>
      <c r="E35" s="165">
        <f t="shared" si="1"/>
        <v>3.3031325899999997</v>
      </c>
      <c r="F35" s="165">
        <f t="shared" si="2"/>
        <v>1.6903799999999998E-3</v>
      </c>
      <c r="G35" s="165">
        <f t="shared" si="3"/>
        <v>5.9267210000000001E-2</v>
      </c>
      <c r="H35" s="73">
        <f t="shared" si="4"/>
        <v>14645.275891782407</v>
      </c>
      <c r="I35" s="120">
        <f t="shared" si="5"/>
        <v>3123.3672000000001</v>
      </c>
      <c r="J35" s="120">
        <f t="shared" si="6"/>
        <v>24000.561398939997</v>
      </c>
      <c r="K35" s="120">
        <f t="shared" si="7"/>
        <v>72.596749859999989</v>
      </c>
      <c r="L35" s="120">
        <f t="shared" si="8"/>
        <v>19700.716940049999</v>
      </c>
      <c r="M35" s="120">
        <f t="shared" si="9"/>
        <v>776199.62226446753</v>
      </c>
      <c r="N35" s="120">
        <v>53</v>
      </c>
      <c r="O35" s="120">
        <f t="shared" si="10"/>
        <v>46897.24228885</v>
      </c>
      <c r="P35" s="120">
        <f t="shared" si="11"/>
        <v>776199.62226446753</v>
      </c>
      <c r="Q35" s="120">
        <f>O35/1.03^($A35-'BC Summary'!$D$6)</f>
        <v>33879.565643272479</v>
      </c>
      <c r="R35" s="120">
        <f>P35/1.03^($A35-'BC Summary'!$D$6)</f>
        <v>560743.12201177375</v>
      </c>
      <c r="S35" s="120">
        <f>O35/1.07^($A35-'BC Summary'!$D$6)</f>
        <v>22280.541981875933</v>
      </c>
      <c r="T35" s="120">
        <f>P35/1.03^($A35-'BC Summary'!$D$6)</f>
        <v>560743.12201177375</v>
      </c>
    </row>
    <row r="36" spans="1:20" ht="14.45" x14ac:dyDescent="0.3">
      <c r="A36" s="15">
        <v>2027</v>
      </c>
      <c r="B36" s="119">
        <f>SUM(Ben_1!C79,Ben_1!E79)</f>
        <v>476474</v>
      </c>
      <c r="C36" s="119">
        <f>Ben_1!G79</f>
        <v>58250</v>
      </c>
      <c r="D36" s="165">
        <f t="shared" si="0"/>
        <v>1.7501185799999999</v>
      </c>
      <c r="E36" s="165">
        <f t="shared" si="1"/>
        <v>3.4141354599999998</v>
      </c>
      <c r="F36" s="165">
        <f t="shared" si="2"/>
        <v>1.7474999999999999E-3</v>
      </c>
      <c r="G36" s="165">
        <f t="shared" si="3"/>
        <v>6.1267240000000001E-2</v>
      </c>
      <c r="H36" s="73">
        <f t="shared" si="4"/>
        <v>15135.251241087963</v>
      </c>
      <c r="I36" s="120">
        <f t="shared" si="5"/>
        <v>3227.2186615199998</v>
      </c>
      <c r="J36" s="120">
        <f t="shared" si="6"/>
        <v>24807.108252359998</v>
      </c>
      <c r="K36" s="120">
        <f t="shared" si="7"/>
        <v>75.049882499999995</v>
      </c>
      <c r="L36" s="120">
        <f t="shared" si="8"/>
        <v>20365.536912200001</v>
      </c>
      <c r="M36" s="120">
        <f t="shared" si="9"/>
        <v>817303.56701875001</v>
      </c>
      <c r="N36" s="120">
        <v>54</v>
      </c>
      <c r="O36" s="120">
        <f t="shared" si="10"/>
        <v>48474.913708580003</v>
      </c>
      <c r="P36" s="120">
        <f t="shared" si="11"/>
        <v>817303.56701875001</v>
      </c>
      <c r="Q36" s="120">
        <f>O36/1.03^($A36-'BC Summary'!$D$6)</f>
        <v>33999.329169288554</v>
      </c>
      <c r="R36" s="120">
        <f>P36/1.03^($A36-'BC Summary'!$D$6)</f>
        <v>573240.27791690058</v>
      </c>
      <c r="S36" s="120">
        <f>O36/1.07^($A36-'BC Summary'!$D$6)</f>
        <v>21523.441409772186</v>
      </c>
      <c r="T36" s="120">
        <f>P36/1.03^($A36-'BC Summary'!$D$6)</f>
        <v>573240.27791690058</v>
      </c>
    </row>
    <row r="37" spans="1:20" ht="14.45" x14ac:dyDescent="0.3">
      <c r="A37" s="15">
        <v>2028</v>
      </c>
      <c r="B37" s="119">
        <f>SUM(Ben_1!C80,Ben_1!E80)</f>
        <v>492124</v>
      </c>
      <c r="C37" s="119">
        <f>Ben_1!G80</f>
        <v>60194</v>
      </c>
      <c r="D37" s="165">
        <f t="shared" si="0"/>
        <v>1.8076656599999998</v>
      </c>
      <c r="E37" s="165">
        <f t="shared" si="1"/>
        <v>3.5275006800000002</v>
      </c>
      <c r="F37" s="165">
        <f t="shared" si="2"/>
        <v>1.8058199999999999E-3</v>
      </c>
      <c r="G37" s="165">
        <f t="shared" si="3"/>
        <v>6.3309420000000005E-2</v>
      </c>
      <c r="H37" s="73">
        <f t="shared" si="4"/>
        <v>15635.762765162035</v>
      </c>
      <c r="I37" s="120">
        <f t="shared" si="5"/>
        <v>3333.3354770399997</v>
      </c>
      <c r="J37" s="120">
        <f t="shared" si="6"/>
        <v>25630.819940880003</v>
      </c>
      <c r="K37" s="120">
        <f t="shared" si="7"/>
        <v>77.554551539999991</v>
      </c>
      <c r="L37" s="120">
        <f t="shared" si="8"/>
        <v>21044.3677551</v>
      </c>
      <c r="M37" s="120">
        <f t="shared" si="9"/>
        <v>859966.95208391198</v>
      </c>
      <c r="N37" s="120">
        <v>55</v>
      </c>
      <c r="O37" s="120">
        <f t="shared" si="10"/>
        <v>50086.077724560004</v>
      </c>
      <c r="P37" s="120">
        <f t="shared" si="11"/>
        <v>859966.95208391198</v>
      </c>
      <c r="Q37" s="120">
        <f>O37/1.03^($A37-'BC Summary'!$D$6)</f>
        <v>34106.181741541594</v>
      </c>
      <c r="R37" s="120">
        <f>P37/1.03^($A37-'BC Summary'!$D$6)</f>
        <v>585595.6483713889</v>
      </c>
      <c r="S37" s="120">
        <f>O37/1.07^($A37-'BC Summary'!$D$6)</f>
        <v>20783.941589874423</v>
      </c>
      <c r="T37" s="120">
        <f>P37/1.03^($A37-'BC Summary'!$D$6)</f>
        <v>585595.6483713889</v>
      </c>
    </row>
    <row r="38" spans="1:20" ht="14.45" x14ac:dyDescent="0.3">
      <c r="A38" s="15">
        <v>2029</v>
      </c>
      <c r="B38" s="119">
        <f>SUM(Ben_1!C81,Ben_1!E81)</f>
        <v>508114</v>
      </c>
      <c r="C38" s="119">
        <f>Ben_1!G81</f>
        <v>62180</v>
      </c>
      <c r="D38" s="165">
        <f t="shared" si="0"/>
        <v>1.86646248</v>
      </c>
      <c r="E38" s="165">
        <f t="shared" si="1"/>
        <v>3.6433194599999998</v>
      </c>
      <c r="F38" s="165">
        <f t="shared" si="2"/>
        <v>1.8653999999999999E-3</v>
      </c>
      <c r="G38" s="165">
        <f t="shared" si="3"/>
        <v>6.5395740000000008E-2</v>
      </c>
      <c r="H38" s="73">
        <f t="shared" si="4"/>
        <v>16147.122261342591</v>
      </c>
      <c r="I38" s="120">
        <f t="shared" si="5"/>
        <v>3441.7568131200001</v>
      </c>
      <c r="J38" s="120">
        <f t="shared" si="6"/>
        <v>26472.359196359997</v>
      </c>
      <c r="K38" s="120">
        <f t="shared" si="7"/>
        <v>80.113333799999992</v>
      </c>
      <c r="L38" s="120">
        <f t="shared" si="8"/>
        <v>21737.870954700003</v>
      </c>
      <c r="M38" s="120">
        <f t="shared" si="9"/>
        <v>888091.72437384247</v>
      </c>
      <c r="N38" s="120">
        <v>55</v>
      </c>
      <c r="O38" s="120">
        <f t="shared" si="10"/>
        <v>51732.100297979996</v>
      </c>
      <c r="P38" s="120">
        <f t="shared" si="11"/>
        <v>888091.72437384247</v>
      </c>
      <c r="Q38" s="120">
        <f>O38/1.03^($A38-'BC Summary'!$D$6)</f>
        <v>34201.012639389271</v>
      </c>
      <c r="R38" s="120">
        <f>P38/1.03^($A38-'BC Summary'!$D$6)</f>
        <v>587133.25218370871</v>
      </c>
      <c r="S38" s="120">
        <f>O38/1.07^($A38-'BC Summary'!$D$6)</f>
        <v>20062.600409594132</v>
      </c>
      <c r="T38" s="120">
        <f>P38/1.03^($A38-'BC Summary'!$D$6)</f>
        <v>587133.25218370871</v>
      </c>
    </row>
    <row r="39" spans="1:20" ht="14.45" x14ac:dyDescent="0.3">
      <c r="A39" s="15">
        <v>2030</v>
      </c>
      <c r="B39" s="119">
        <f>SUM(Ben_1!C82,Ben_1!E82)</f>
        <v>524454</v>
      </c>
      <c r="C39" s="119">
        <f>Ben_1!G82</f>
        <v>64208</v>
      </c>
      <c r="D39" s="165">
        <f t="shared" si="0"/>
        <v>1.92654324</v>
      </c>
      <c r="E39" s="165">
        <f t="shared" si="1"/>
        <v>3.7616147</v>
      </c>
      <c r="F39" s="165">
        <f t="shared" si="2"/>
        <v>1.9262399999999999E-3</v>
      </c>
      <c r="G39" s="165">
        <f t="shared" si="3"/>
        <v>6.7526299999999997E-2</v>
      </c>
      <c r="H39" s="73">
        <f t="shared" si="4"/>
        <v>16669.512718055557</v>
      </c>
      <c r="I39" s="120">
        <f t="shared" si="5"/>
        <v>3552.5457345599998</v>
      </c>
      <c r="J39" s="120">
        <f t="shared" si="6"/>
        <v>27331.892410199998</v>
      </c>
      <c r="K39" s="120">
        <f t="shared" si="7"/>
        <v>82.726229279999998</v>
      </c>
      <c r="L39" s="120">
        <f t="shared" si="8"/>
        <v>22446.079751499998</v>
      </c>
      <c r="M39" s="120">
        <f t="shared" si="9"/>
        <v>933492.71221111121</v>
      </c>
      <c r="N39" s="120">
        <v>56</v>
      </c>
      <c r="O39" s="120">
        <f t="shared" si="10"/>
        <v>53413.244125539997</v>
      </c>
      <c r="P39" s="120">
        <f t="shared" si="11"/>
        <v>933492.71221111121</v>
      </c>
      <c r="Q39" s="120">
        <f>O39/1.03^($A39-'BC Summary'!$D$6)</f>
        <v>34283.928891195392</v>
      </c>
      <c r="R39" s="120">
        <f>P39/1.03^($A39-'BC Summary'!$D$6)</f>
        <v>599173.45014046761</v>
      </c>
      <c r="S39" s="120">
        <f>O39/1.07^($A39-'BC Summary'!$D$6)</f>
        <v>19359.417729487621</v>
      </c>
      <c r="T39" s="120">
        <f>P39/1.03^($A39-'BC Summary'!$D$6)</f>
        <v>599173.45014046761</v>
      </c>
    </row>
    <row r="40" spans="1:20" ht="14.45" x14ac:dyDescent="0.3">
      <c r="A40" s="15">
        <v>2031</v>
      </c>
      <c r="B40" s="119">
        <f>SUM(Ben_1!C83,Ben_1!E83)</f>
        <v>541147</v>
      </c>
      <c r="C40" s="119">
        <f>Ben_1!G83</f>
        <v>66280</v>
      </c>
      <c r="D40" s="165">
        <f t="shared" si="0"/>
        <v>1.9879223399999999</v>
      </c>
      <c r="E40" s="165">
        <f t="shared" si="1"/>
        <v>3.8824730299999999</v>
      </c>
      <c r="F40" s="165">
        <f t="shared" si="2"/>
        <v>1.9884E-3</v>
      </c>
      <c r="G40" s="165">
        <f t="shared" si="3"/>
        <v>6.9703070000000006E-2</v>
      </c>
      <c r="H40" s="73">
        <f t="shared" si="4"/>
        <v>17203.209334953703</v>
      </c>
      <c r="I40" s="120">
        <f t="shared" si="5"/>
        <v>3665.72879496</v>
      </c>
      <c r="J40" s="120">
        <f t="shared" si="6"/>
        <v>28210.049035979999</v>
      </c>
      <c r="K40" s="120">
        <f t="shared" si="7"/>
        <v>85.395814799999997</v>
      </c>
      <c r="L40" s="120">
        <f t="shared" si="8"/>
        <v>23169.648983350002</v>
      </c>
      <c r="M40" s="120">
        <f t="shared" si="9"/>
        <v>997786.14142731472</v>
      </c>
      <c r="N40" s="120">
        <v>58</v>
      </c>
      <c r="O40" s="120">
        <f t="shared" si="10"/>
        <v>55130.822629089998</v>
      </c>
      <c r="P40" s="120">
        <f t="shared" si="11"/>
        <v>997786.14142731472</v>
      </c>
      <c r="Q40" s="120">
        <f>O40/1.03^($A40-'BC Summary'!$D$6)</f>
        <v>34355.705994457036</v>
      </c>
      <c r="R40" s="120">
        <f>P40/1.03^($A40-'BC Summary'!$D$6)</f>
        <v>621787.33574950788</v>
      </c>
      <c r="S40" s="120">
        <f>O40/1.07^($A40-'BC Summary'!$D$6)</f>
        <v>18674.717029460378</v>
      </c>
      <c r="T40" s="120">
        <f>P40/1.03^($A40-'BC Summary'!$D$6)</f>
        <v>621787.33574950788</v>
      </c>
    </row>
    <row r="41" spans="1:20" ht="14.45" x14ac:dyDescent="0.3">
      <c r="A41" s="15">
        <v>2032</v>
      </c>
      <c r="B41" s="119">
        <f>SUM(Ben_1!C84,Ben_1!E84)</f>
        <v>558201</v>
      </c>
      <c r="C41" s="119">
        <f>Ben_1!G84</f>
        <v>68395</v>
      </c>
      <c r="D41" s="165">
        <f t="shared" si="0"/>
        <v>2.0506250699999997</v>
      </c>
      <c r="E41" s="165">
        <f t="shared" si="1"/>
        <v>4.00587289</v>
      </c>
      <c r="F41" s="165">
        <f t="shared" si="2"/>
        <v>2.05185E-3</v>
      </c>
      <c r="G41" s="165">
        <f t="shared" si="3"/>
        <v>7.1925160000000002E-2</v>
      </c>
      <c r="H41" s="73">
        <f t="shared" si="4"/>
        <v>17748.248351215276</v>
      </c>
      <c r="I41" s="120">
        <f t="shared" si="5"/>
        <v>3781.3526290799996</v>
      </c>
      <c r="J41" s="120">
        <f t="shared" si="6"/>
        <v>29106.67241874</v>
      </c>
      <c r="K41" s="120">
        <f t="shared" si="7"/>
        <v>88.120801950000001</v>
      </c>
      <c r="L41" s="120">
        <f t="shared" si="8"/>
        <v>23908.282809799999</v>
      </c>
      <c r="M41" s="120">
        <f t="shared" si="9"/>
        <v>1047146.6527217013</v>
      </c>
      <c r="N41" s="120">
        <v>59</v>
      </c>
      <c r="O41" s="120">
        <f t="shared" si="10"/>
        <v>56884.428659569996</v>
      </c>
      <c r="P41" s="120">
        <f t="shared" si="11"/>
        <v>1047146.6527217013</v>
      </c>
      <c r="Q41" s="120">
        <f>O41/1.03^($A41-'BC Summary'!$D$6)</f>
        <v>34416.014851523483</v>
      </c>
      <c r="R41" s="120">
        <f>P41/1.03^($A41-'BC Summary'!$D$6)</f>
        <v>633540.94610793272</v>
      </c>
      <c r="S41" s="120">
        <f>O41/1.07^($A41-'BC Summary'!$D$6)</f>
        <v>18008.153329802532</v>
      </c>
      <c r="T41" s="120">
        <f>P41/1.03^($A41-'BC Summary'!$D$6)</f>
        <v>633540.94610793272</v>
      </c>
    </row>
    <row r="42" spans="1:20" ht="14.45" x14ac:dyDescent="0.3">
      <c r="A42" s="15">
        <v>2033</v>
      </c>
      <c r="B42" s="119">
        <f>SUM(Ben_1!C85,Ben_1!E85)</f>
        <v>575625</v>
      </c>
      <c r="C42" s="119">
        <f>Ben_1!G85</f>
        <v>70555</v>
      </c>
      <c r="D42" s="165">
        <f t="shared" si="0"/>
        <v>2.1146863499999999</v>
      </c>
      <c r="E42" s="165">
        <f t="shared" si="1"/>
        <v>4.1319146499999997</v>
      </c>
      <c r="F42" s="165">
        <f t="shared" si="2"/>
        <v>2.1166499999999999E-3</v>
      </c>
      <c r="G42" s="165">
        <f t="shared" si="3"/>
        <v>7.4194600000000013E-2</v>
      </c>
      <c r="H42" s="73">
        <f t="shared" si="4"/>
        <v>18305.014759548612</v>
      </c>
      <c r="I42" s="120">
        <f t="shared" si="5"/>
        <v>3899.4816293999997</v>
      </c>
      <c r="J42" s="120">
        <f t="shared" si="6"/>
        <v>30022.491846899997</v>
      </c>
      <c r="K42" s="120">
        <f t="shared" si="7"/>
        <v>90.903767549999998</v>
      </c>
      <c r="L42" s="120">
        <f t="shared" si="8"/>
        <v>24662.656013000003</v>
      </c>
      <c r="M42" s="120">
        <f t="shared" si="9"/>
        <v>1098300.8855729168</v>
      </c>
      <c r="N42" s="120">
        <v>60</v>
      </c>
      <c r="O42" s="120">
        <f t="shared" si="10"/>
        <v>58675.533256850002</v>
      </c>
      <c r="P42" s="120">
        <f t="shared" si="11"/>
        <v>1098300.8855729168</v>
      </c>
      <c r="Q42" s="120">
        <f>O42/1.03^($A42-'BC Summary'!$D$6)</f>
        <v>34465.691834083555</v>
      </c>
      <c r="R42" s="120">
        <f>P42/1.03^($A42-'BC Summary'!$D$6)</f>
        <v>645136.01772571937</v>
      </c>
      <c r="S42" s="120">
        <f>O42/1.07^($A42-'BC Summary'!$D$6)</f>
        <v>17359.973061629826</v>
      </c>
      <c r="T42" s="120">
        <f>P42/1.03^($A42-'BC Summary'!$D$6)</f>
        <v>645136.01772571937</v>
      </c>
    </row>
    <row r="43" spans="1:20" ht="14.45" x14ac:dyDescent="0.3">
      <c r="A43" s="15">
        <v>2034</v>
      </c>
      <c r="B43" s="119">
        <f>SUM(Ben_1!C86,Ben_1!E86)</f>
        <v>593425</v>
      </c>
      <c r="C43" s="119">
        <f>Ben_1!G86</f>
        <v>72762</v>
      </c>
      <c r="D43" s="165">
        <f t="shared" si="0"/>
        <v>2.1801308399999999</v>
      </c>
      <c r="E43" s="165">
        <f t="shared" si="1"/>
        <v>4.26069181</v>
      </c>
      <c r="F43" s="165">
        <f t="shared" si="2"/>
        <v>2.18286E-3</v>
      </c>
      <c r="G43" s="165">
        <f t="shared" si="3"/>
        <v>7.6513390000000001E-2</v>
      </c>
      <c r="H43" s="73">
        <f t="shared" si="4"/>
        <v>18873.83865613426</v>
      </c>
      <c r="I43" s="120">
        <f t="shared" si="5"/>
        <v>4020.1612689599997</v>
      </c>
      <c r="J43" s="120">
        <f t="shared" si="6"/>
        <v>30958.18669146</v>
      </c>
      <c r="K43" s="120">
        <f t="shared" si="7"/>
        <v>93.747288420000004</v>
      </c>
      <c r="L43" s="120">
        <f t="shared" si="8"/>
        <v>25433.433402949999</v>
      </c>
      <c r="M43" s="120">
        <f t="shared" si="9"/>
        <v>1151304.1580241898</v>
      </c>
      <c r="N43" s="120">
        <v>61</v>
      </c>
      <c r="O43" s="120">
        <f t="shared" si="10"/>
        <v>60505.528651789995</v>
      </c>
      <c r="P43" s="120">
        <f t="shared" si="11"/>
        <v>1151304.1580241898</v>
      </c>
      <c r="Q43" s="120">
        <f>O43/1.03^($A43-'BC Summary'!$D$6)</f>
        <v>34505.457534984409</v>
      </c>
      <c r="R43" s="120">
        <f>P43/1.03^($A43-'BC Summary'!$D$6)</f>
        <v>656572.67393166386</v>
      </c>
      <c r="S43" s="120">
        <f>O43/1.07^($A43-'BC Summary'!$D$6)</f>
        <v>16730.282865446039</v>
      </c>
      <c r="T43" s="120">
        <f>P43/1.03^($A43-'BC Summary'!$D$6)</f>
        <v>656572.67393166386</v>
      </c>
    </row>
    <row r="44" spans="1:20" ht="14.45" x14ac:dyDescent="0.3">
      <c r="A44" s="15">
        <v>2035</v>
      </c>
      <c r="B44" s="119">
        <f>SUM(Ben_1!C87,Ben_1!E87)</f>
        <v>611608</v>
      </c>
      <c r="C44" s="119">
        <f>Ben_1!G87</f>
        <v>75014</v>
      </c>
      <c r="D44" s="165">
        <f t="shared" si="0"/>
        <v>2.2469783399999996</v>
      </c>
      <c r="E44" s="165">
        <f t="shared" si="1"/>
        <v>4.39214064</v>
      </c>
      <c r="F44" s="165">
        <f t="shared" si="2"/>
        <v>2.2504199999999999E-3</v>
      </c>
      <c r="G44" s="165">
        <f t="shared" si="3"/>
        <v>7.8879660000000004E-2</v>
      </c>
      <c r="H44" s="73">
        <f t="shared" si="4"/>
        <v>19454.627829745368</v>
      </c>
      <c r="I44" s="120">
        <f t="shared" si="5"/>
        <v>4143.4280589599994</v>
      </c>
      <c r="J44" s="120">
        <f t="shared" si="6"/>
        <v>31913.293890240002</v>
      </c>
      <c r="K44" s="120">
        <f t="shared" si="7"/>
        <v>96.648787740000003</v>
      </c>
      <c r="L44" s="120">
        <f t="shared" si="8"/>
        <v>26219.993382300003</v>
      </c>
      <c r="M44" s="120">
        <f t="shared" si="9"/>
        <v>1206186.9254442127</v>
      </c>
      <c r="N44" s="120">
        <v>62</v>
      </c>
      <c r="O44" s="120">
        <f t="shared" si="10"/>
        <v>62373.364119240003</v>
      </c>
      <c r="P44" s="120">
        <f t="shared" si="11"/>
        <v>1206186.9254442127</v>
      </c>
      <c r="Q44" s="120">
        <f>O44/1.03^($A44-'BC Summary'!$D$6)</f>
        <v>34534.619419859097</v>
      </c>
      <c r="R44" s="120">
        <f>P44/1.03^($A44-'BC Summary'!$D$6)</f>
        <v>667836.45563502109</v>
      </c>
      <c r="S44" s="120">
        <f>O44/1.07^($A44-'BC Summary'!$D$6)</f>
        <v>16118.462557840339</v>
      </c>
      <c r="T44" s="120">
        <f>P44/1.03^($A44-'BC Summary'!$D$6)</f>
        <v>667836.45563502109</v>
      </c>
    </row>
    <row r="45" spans="1:20" ht="14.45" x14ac:dyDescent="0.3">
      <c r="A45" s="15">
        <v>2036</v>
      </c>
      <c r="B45" s="119">
        <f>SUM(Ben_1!C88,Ben_1!E88)</f>
        <v>630181</v>
      </c>
      <c r="C45" s="119">
        <f>Ben_1!G88</f>
        <v>77314</v>
      </c>
      <c r="D45" s="165">
        <f t="shared" si="0"/>
        <v>2.3152590000000002</v>
      </c>
      <c r="E45" s="165">
        <f t="shared" si="1"/>
        <v>4.5263968099999996</v>
      </c>
      <c r="F45" s="165">
        <f t="shared" si="2"/>
        <v>2.31942E-3</v>
      </c>
      <c r="G45" s="165">
        <f t="shared" si="3"/>
        <v>8.129639000000001E-2</v>
      </c>
      <c r="H45" s="73">
        <f t="shared" si="4"/>
        <v>20047.840826967593</v>
      </c>
      <c r="I45" s="120">
        <f t="shared" si="5"/>
        <v>4269.3375960000003</v>
      </c>
      <c r="J45" s="120">
        <f t="shared" si="6"/>
        <v>32888.799221459994</v>
      </c>
      <c r="K45" s="120">
        <f t="shared" si="7"/>
        <v>99.612130739999998</v>
      </c>
      <c r="L45" s="120">
        <f t="shared" si="8"/>
        <v>27023.326517950005</v>
      </c>
      <c r="M45" s="120">
        <f t="shared" si="9"/>
        <v>1263013.9720989584</v>
      </c>
      <c r="N45" s="120">
        <v>63</v>
      </c>
      <c r="O45" s="120">
        <f t="shared" si="10"/>
        <v>64281.075466149996</v>
      </c>
      <c r="P45" s="120">
        <f t="shared" si="11"/>
        <v>1263013.9720989584</v>
      </c>
      <c r="Q45" s="120">
        <f>O45/1.03^($A45-'BC Summary'!$D$6)</f>
        <v>34554.245571484775</v>
      </c>
      <c r="R45" s="120">
        <f>P45/1.03^($A45-'BC Summary'!$D$6)</f>
        <v>678932.24616482481</v>
      </c>
      <c r="S45" s="120">
        <f>O45/1.07^($A45-'BC Summary'!$D$6)</f>
        <v>15524.720954921047</v>
      </c>
      <c r="T45" s="120">
        <f>P45/1.03^($A45-'BC Summary'!$D$6)</f>
        <v>678932.24616482481</v>
      </c>
    </row>
    <row r="46" spans="1:20" ht="14.45" x14ac:dyDescent="0.3">
      <c r="A46" s="15">
        <v>2037</v>
      </c>
      <c r="B46" s="119">
        <f>SUM(Ben_1!C89,Ben_1!E89)</f>
        <v>649153</v>
      </c>
      <c r="C46" s="119">
        <f>Ben_1!G89</f>
        <v>79663</v>
      </c>
      <c r="D46" s="165">
        <f t="shared" si="0"/>
        <v>2.38500567</v>
      </c>
      <c r="E46" s="165">
        <f t="shared" si="1"/>
        <v>4.6635208099999996</v>
      </c>
      <c r="F46" s="165">
        <f t="shared" si="2"/>
        <v>2.38989E-3</v>
      </c>
      <c r="G46" s="165">
        <f t="shared" si="3"/>
        <v>8.3764640000000001E-2</v>
      </c>
      <c r="H46" s="73">
        <f t="shared" si="4"/>
        <v>20653.752488946757</v>
      </c>
      <c r="I46" s="120">
        <f t="shared" si="5"/>
        <v>4397.9504554799996</v>
      </c>
      <c r="J46" s="120">
        <f t="shared" si="6"/>
        <v>33885.142205459997</v>
      </c>
      <c r="K46" s="120">
        <f t="shared" si="7"/>
        <v>102.63860583</v>
      </c>
      <c r="L46" s="120">
        <f t="shared" si="8"/>
        <v>27843.785159200001</v>
      </c>
      <c r="M46" s="120">
        <f t="shared" si="9"/>
        <v>1321840.1592925924</v>
      </c>
      <c r="N46" s="120">
        <v>64</v>
      </c>
      <c r="O46" s="120">
        <f t="shared" si="10"/>
        <v>66229.516425969996</v>
      </c>
      <c r="P46" s="120">
        <f t="shared" si="11"/>
        <v>1321840.1592925924</v>
      </c>
      <c r="Q46" s="120">
        <f>O46/1.03^($A46-'BC Summary'!$D$6)</f>
        <v>34564.687959793759</v>
      </c>
      <c r="R46" s="120">
        <f>P46/1.03^($A46-'BC Summary'!$D$6)</f>
        <v>689858.46650024632</v>
      </c>
      <c r="S46" s="120">
        <f>O46/1.07^($A46-'BC Summary'!$D$6)</f>
        <v>14948.873780805226</v>
      </c>
      <c r="T46" s="120">
        <f>P46/1.03^($A46-'BC Summary'!$D$6)</f>
        <v>689858.46650024632</v>
      </c>
    </row>
    <row r="47" spans="1:20" ht="14.45" x14ac:dyDescent="0.3">
      <c r="A47" s="15">
        <v>2038</v>
      </c>
      <c r="B47" s="119">
        <f>SUM(Ben_1!C90,Ben_1!E90)</f>
        <v>668531</v>
      </c>
      <c r="C47" s="119">
        <f>Ben_1!G90</f>
        <v>82060</v>
      </c>
      <c r="D47" s="165">
        <f t="shared" si="0"/>
        <v>2.4562402200000002</v>
      </c>
      <c r="E47" s="165">
        <f t="shared" si="1"/>
        <v>4.8034887899999994</v>
      </c>
      <c r="F47" s="165">
        <f t="shared" si="2"/>
        <v>2.4617999999999997E-3</v>
      </c>
      <c r="G47" s="165">
        <f t="shared" si="3"/>
        <v>8.6283510000000008E-2</v>
      </c>
      <c r="H47" s="73">
        <f t="shared" si="4"/>
        <v>21272.380756018516</v>
      </c>
      <c r="I47" s="120">
        <f t="shared" si="5"/>
        <v>4529.3069656800008</v>
      </c>
      <c r="J47" s="120">
        <f t="shared" si="6"/>
        <v>34902.149548139998</v>
      </c>
      <c r="K47" s="120">
        <f t="shared" si="7"/>
        <v>105.72692459999999</v>
      </c>
      <c r="L47" s="120">
        <f t="shared" si="8"/>
        <v>28681.070141550004</v>
      </c>
      <c r="M47" s="120">
        <f t="shared" si="9"/>
        <v>1382704.7491412035</v>
      </c>
      <c r="N47" s="120">
        <v>65</v>
      </c>
      <c r="O47" s="120">
        <f t="shared" si="10"/>
        <v>68218.253579969998</v>
      </c>
      <c r="P47" s="120">
        <f t="shared" si="11"/>
        <v>1382704.7491412035</v>
      </c>
      <c r="Q47" s="120">
        <f>O47/1.03^($A47-'BC Summary'!$D$6)</f>
        <v>34565.626181255277</v>
      </c>
      <c r="R47" s="120">
        <f>P47/1.03^($A47-'BC Summary'!$D$6)</f>
        <v>700605.08690439875</v>
      </c>
      <c r="S47" s="120">
        <f>O47/1.07^($A47-'BC Summary'!$D$6)</f>
        <v>14390.42797994803</v>
      </c>
      <c r="T47" s="120">
        <f>P47/1.03^($A47-'BC Summary'!$D$6)</f>
        <v>700605.08690439875</v>
      </c>
    </row>
    <row r="48" spans="1:20" ht="14.45" x14ac:dyDescent="0.3">
      <c r="A48" s="15">
        <v>2039</v>
      </c>
      <c r="B48" s="119">
        <f>SUM(Ben_1!C91,Ben_1!E91)</f>
        <v>688321</v>
      </c>
      <c r="C48" s="119">
        <f>Ben_1!G91</f>
        <v>84509</v>
      </c>
      <c r="D48" s="165">
        <f t="shared" si="0"/>
        <v>2.5289914499999999</v>
      </c>
      <c r="E48" s="165">
        <f t="shared" si="1"/>
        <v>4.9464740099999993</v>
      </c>
      <c r="F48" s="165">
        <f t="shared" si="2"/>
        <v>2.5352699999999996E-3</v>
      </c>
      <c r="G48" s="165">
        <f t="shared" si="3"/>
        <v>8.8856940000000009E-2</v>
      </c>
      <c r="H48" s="73">
        <f t="shared" si="4"/>
        <v>21904.276027488428</v>
      </c>
      <c r="I48" s="120">
        <f t="shared" si="5"/>
        <v>4663.4602337999995</v>
      </c>
      <c r="J48" s="120">
        <f t="shared" si="6"/>
        <v>35941.080156659998</v>
      </c>
      <c r="K48" s="120">
        <f t="shared" si="7"/>
        <v>108.88224068999999</v>
      </c>
      <c r="L48" s="120">
        <f t="shared" si="8"/>
        <v>29536.491140700004</v>
      </c>
      <c r="M48" s="120">
        <f t="shared" si="9"/>
        <v>1467586.4938417247</v>
      </c>
      <c r="N48" s="120">
        <v>67</v>
      </c>
      <c r="O48" s="120">
        <f t="shared" si="10"/>
        <v>70249.913771849999</v>
      </c>
      <c r="P48" s="120">
        <f t="shared" si="11"/>
        <v>1467586.4938417247</v>
      </c>
      <c r="Q48" s="120">
        <f>O48/1.03^($A48-'BC Summary'!$D$6)</f>
        <v>34558.302559314528</v>
      </c>
      <c r="R48" s="120">
        <f>P48/1.03^($A48-'BC Summary'!$D$6)</f>
        <v>721955.30731696007</v>
      </c>
      <c r="S48" s="120">
        <f>O48/1.07^($A48-'BC Summary'!$D$6)</f>
        <v>13849.533051814627</v>
      </c>
      <c r="T48" s="120">
        <f>P48/1.03^($A48-'BC Summary'!$D$6)</f>
        <v>721955.30731696007</v>
      </c>
    </row>
    <row r="49" spans="1:20" ht="14.45" x14ac:dyDescent="0.3">
      <c r="A49" s="15">
        <v>2040</v>
      </c>
      <c r="B49" s="119">
        <f>SUM(Ben_1!C92,Ben_1!E92)</f>
        <v>708535</v>
      </c>
      <c r="C49" s="119">
        <f>Ben_1!G92</f>
        <v>87008</v>
      </c>
      <c r="D49" s="165">
        <f t="shared" si="0"/>
        <v>2.60329626</v>
      </c>
      <c r="E49" s="165">
        <f t="shared" si="1"/>
        <v>5.09242419</v>
      </c>
      <c r="F49" s="165">
        <f t="shared" si="2"/>
        <v>2.6102399999999998E-3</v>
      </c>
      <c r="G49" s="165">
        <f t="shared" si="3"/>
        <v>9.1483110000000006E-2</v>
      </c>
      <c r="H49" s="73">
        <f t="shared" si="4"/>
        <v>22549.437586342588</v>
      </c>
      <c r="I49" s="120">
        <f t="shared" si="5"/>
        <v>4800.4783034399998</v>
      </c>
      <c r="J49" s="120">
        <f t="shared" si="6"/>
        <v>37001.554164540001</v>
      </c>
      <c r="K49" s="120">
        <f t="shared" si="7"/>
        <v>112.10197727999999</v>
      </c>
      <c r="L49" s="120">
        <f t="shared" si="8"/>
        <v>30409.443179550002</v>
      </c>
      <c r="M49" s="120">
        <f t="shared" si="9"/>
        <v>1533361.7558712959</v>
      </c>
      <c r="N49" s="120">
        <v>68</v>
      </c>
      <c r="O49" s="120">
        <f t="shared" si="10"/>
        <v>72323.577624810001</v>
      </c>
      <c r="P49" s="120">
        <f t="shared" si="11"/>
        <v>1533361.7558712959</v>
      </c>
      <c r="Q49" s="120">
        <f>O49/1.03^($A49-'BC Summary'!$D$6)</f>
        <v>34542.143462537213</v>
      </c>
      <c r="R49" s="120">
        <f>P49/1.03^($A49-'BC Summary'!$D$6)</f>
        <v>732342.11429696833</v>
      </c>
      <c r="S49" s="120">
        <f>O49/1.07^($A49-'BC Summary'!$D$6)</f>
        <v>13325.559692837092</v>
      </c>
      <c r="T49" s="120">
        <f>P49/1.03^($A49-'BC Summary'!$D$6)</f>
        <v>732342.11429696833</v>
      </c>
    </row>
    <row r="50" spans="1:20" ht="14.45" x14ac:dyDescent="0.3">
      <c r="A50" s="15">
        <v>2041</v>
      </c>
      <c r="B50" s="119">
        <f>SUM(Ben_1!C93,Ben_1!E93)</f>
        <v>729178</v>
      </c>
      <c r="C50" s="119">
        <f>Ben_1!G93</f>
        <v>89559</v>
      </c>
      <c r="D50" s="165">
        <f t="shared" si="0"/>
        <v>2.6791758899999998</v>
      </c>
      <c r="E50" s="165">
        <f t="shared" si="1"/>
        <v>5.2414305399999996</v>
      </c>
      <c r="F50" s="165">
        <f t="shared" si="2"/>
        <v>2.6867699999999998E-3</v>
      </c>
      <c r="G50" s="165">
        <f t="shared" si="3"/>
        <v>9.4164010000000006E-2</v>
      </c>
      <c r="H50" s="73">
        <f t="shared" si="4"/>
        <v>23208.17722991898</v>
      </c>
      <c r="I50" s="120">
        <f t="shared" si="5"/>
        <v>4940.4003411599997</v>
      </c>
      <c r="J50" s="120">
        <f t="shared" si="6"/>
        <v>38084.234303639998</v>
      </c>
      <c r="K50" s="120">
        <f t="shared" si="7"/>
        <v>115.38871119</v>
      </c>
      <c r="L50" s="120">
        <f t="shared" si="8"/>
        <v>31300.587744050001</v>
      </c>
      <c r="M50" s="120">
        <f t="shared" si="9"/>
        <v>1601364.2288644095</v>
      </c>
      <c r="N50" s="120">
        <v>69</v>
      </c>
      <c r="O50" s="120">
        <f t="shared" si="10"/>
        <v>74440.611100039998</v>
      </c>
      <c r="P50" s="120">
        <f t="shared" si="11"/>
        <v>1601364.2288644095</v>
      </c>
      <c r="Q50" s="120">
        <f>O50/1.03^($A50-'BC Summary'!$D$6)</f>
        <v>34517.71887438876</v>
      </c>
      <c r="R50" s="120">
        <f>P50/1.03^($A50-'BC Summary'!$D$6)</f>
        <v>742544.14963305322</v>
      </c>
      <c r="S50" s="120">
        <f>O50/1.07^($A50-'BC Summary'!$D$6)</f>
        <v>12818.337728444176</v>
      </c>
      <c r="T50" s="120">
        <f>P50/1.03^($A50-'BC Summary'!$D$6)</f>
        <v>742544.14963305322</v>
      </c>
    </row>
    <row r="51" spans="1:20" ht="14.45" x14ac:dyDescent="0.3">
      <c r="A51" s="15">
        <v>2042</v>
      </c>
      <c r="B51" s="119">
        <f>SUM(Ben_1!C94,Ben_1!E94)</f>
        <v>750259</v>
      </c>
      <c r="C51" s="119">
        <f>Ben_1!G94</f>
        <v>92164</v>
      </c>
      <c r="D51" s="165">
        <f t="shared" si="0"/>
        <v>2.7566652600000001</v>
      </c>
      <c r="E51" s="165">
        <f t="shared" si="1"/>
        <v>5.3935934300000001</v>
      </c>
      <c r="F51" s="165">
        <f t="shared" si="2"/>
        <v>2.7649199999999997E-3</v>
      </c>
      <c r="G51" s="165">
        <f t="shared" si="3"/>
        <v>9.6901670000000009E-2</v>
      </c>
      <c r="H51" s="73">
        <f t="shared" si="4"/>
        <v>23880.879950925926</v>
      </c>
      <c r="I51" s="120">
        <f t="shared" si="5"/>
        <v>5083.2907394399999</v>
      </c>
      <c r="J51" s="120">
        <f t="shared" si="6"/>
        <v>39189.849862380004</v>
      </c>
      <c r="K51" s="120">
        <f t="shared" si="7"/>
        <v>118.74501923999999</v>
      </c>
      <c r="L51" s="120">
        <f t="shared" si="8"/>
        <v>32210.599616350002</v>
      </c>
      <c r="M51" s="120">
        <f t="shared" si="9"/>
        <v>1647780.716613889</v>
      </c>
      <c r="N51" s="120">
        <v>69</v>
      </c>
      <c r="O51" s="120">
        <f t="shared" si="10"/>
        <v>76602.485237410001</v>
      </c>
      <c r="P51" s="120">
        <f t="shared" si="11"/>
        <v>1647780.716613889</v>
      </c>
      <c r="Q51" s="120">
        <f>O51/1.03^($A51-'BC Summary'!$D$6)</f>
        <v>34485.600498323198</v>
      </c>
      <c r="R51" s="120">
        <f>P51/1.03^($A51-'BC Summary'!$D$6)</f>
        <v>741812.84492106887</v>
      </c>
      <c r="S51" s="120">
        <f>O51/1.07^($A51-'BC Summary'!$D$6)</f>
        <v>12327.666085380635</v>
      </c>
      <c r="T51" s="120">
        <f>P51/1.03^($A51-'BC Summary'!$D$6)</f>
        <v>741812.84492106887</v>
      </c>
    </row>
    <row r="52" spans="1:20" ht="14.45" x14ac:dyDescent="0.3">
      <c r="A52" s="15">
        <v>2043</v>
      </c>
      <c r="B52" s="119">
        <f>SUM(Ben_1!C95,Ben_1!E95)</f>
        <v>771788</v>
      </c>
      <c r="C52" s="119">
        <f>Ben_1!G95</f>
        <v>94823</v>
      </c>
      <c r="D52" s="165">
        <f t="shared" si="0"/>
        <v>2.8357985700000001</v>
      </c>
      <c r="E52" s="165">
        <f t="shared" si="1"/>
        <v>5.54893576</v>
      </c>
      <c r="F52" s="165">
        <f t="shared" si="2"/>
        <v>2.8446899999999995E-3</v>
      </c>
      <c r="G52" s="165">
        <f t="shared" si="3"/>
        <v>9.9696190000000004E-2</v>
      </c>
      <c r="H52" s="73">
        <f t="shared" si="4"/>
        <v>24567.728737789352</v>
      </c>
      <c r="I52" s="120">
        <f t="shared" si="5"/>
        <v>5229.2125630800001</v>
      </c>
      <c r="J52" s="120">
        <f t="shared" si="6"/>
        <v>40318.56723216</v>
      </c>
      <c r="K52" s="120">
        <f t="shared" si="7"/>
        <v>122.17090142999999</v>
      </c>
      <c r="L52" s="120">
        <f t="shared" si="8"/>
        <v>33139.51203695</v>
      </c>
      <c r="M52" s="120">
        <f t="shared" si="9"/>
        <v>1719741.0116452547</v>
      </c>
      <c r="N52" s="120">
        <v>70</v>
      </c>
      <c r="O52" s="120">
        <f t="shared" si="10"/>
        <v>78809.462733619992</v>
      </c>
      <c r="P52" s="120">
        <f t="shared" si="11"/>
        <v>1719741.0116452547</v>
      </c>
      <c r="Q52" s="120">
        <f>O52/1.03^($A52-'BC Summary'!$D$6)</f>
        <v>34445.784090716283</v>
      </c>
      <c r="R52" s="120">
        <f>P52/1.03^($A52-'BC Summary'!$D$6)</f>
        <v>751658.81766393094</v>
      </c>
      <c r="S52" s="120">
        <f>O52/1.07^($A52-'BC Summary'!$D$6)</f>
        <v>11853.117555578927</v>
      </c>
      <c r="T52" s="120">
        <f>P52/1.03^($A52-'BC Summary'!$D$6)</f>
        <v>751658.81766393094</v>
      </c>
    </row>
    <row r="53" spans="1:20" ht="14.45" x14ac:dyDescent="0.3">
      <c r="N53" s="15" t="s">
        <v>30</v>
      </c>
      <c r="O53" s="121">
        <f t="shared" ref="O53:T53" si="12">SUM(O27:O52)</f>
        <v>1144929.1603146102</v>
      </c>
      <c r="P53" s="121">
        <f t="shared" si="12"/>
        <v>22370639.785488423</v>
      </c>
      <c r="Q53" s="121">
        <f t="shared" si="12"/>
        <v>635663.53794169612</v>
      </c>
      <c r="R53" s="121">
        <f t="shared" si="12"/>
        <v>12313864.439527664</v>
      </c>
      <c r="S53" s="121">
        <f t="shared" si="12"/>
        <v>305584.98413572856</v>
      </c>
      <c r="T53" s="121">
        <f t="shared" si="12"/>
        <v>12313864.439527664</v>
      </c>
    </row>
    <row r="55" spans="1:20" ht="14.45" x14ac:dyDescent="0.3">
      <c r="A55" s="148"/>
      <c r="B55" s="148"/>
      <c r="C55" s="148"/>
      <c r="D55" s="148"/>
    </row>
    <row r="56" spans="1:20" ht="14.45" x14ac:dyDescent="0.3">
      <c r="A56" s="148"/>
      <c r="B56" s="108"/>
      <c r="C56" s="148"/>
      <c r="D56" s="148"/>
    </row>
    <row r="57" spans="1:20" ht="14.45" x14ac:dyDescent="0.3">
      <c r="A57" s="148"/>
      <c r="B57" s="108"/>
      <c r="C57" s="148"/>
      <c r="D57" s="148"/>
    </row>
    <row r="58" spans="1:20" ht="14.45" x14ac:dyDescent="0.3">
      <c r="A58" s="148"/>
      <c r="B58" s="108"/>
      <c r="C58" s="154"/>
      <c r="D58" s="148"/>
    </row>
    <row r="59" spans="1:20" ht="14.45" x14ac:dyDescent="0.3">
      <c r="A59" s="148"/>
      <c r="B59" s="148"/>
      <c r="C59" s="148"/>
      <c r="D59" s="148"/>
    </row>
  </sheetData>
  <mergeCells count="14">
    <mergeCell ref="S25:T25"/>
    <mergeCell ref="N25:N26"/>
    <mergeCell ref="D25:H25"/>
    <mergeCell ref="I25:M25"/>
    <mergeCell ref="B4:I4"/>
    <mergeCell ref="F5:I5"/>
    <mergeCell ref="B5:E5"/>
    <mergeCell ref="B8:I10"/>
    <mergeCell ref="B25:C25"/>
    <mergeCell ref="B12:E12"/>
    <mergeCell ref="B16:E16"/>
    <mergeCell ref="B21:E21"/>
    <mergeCell ref="Q25:R25"/>
    <mergeCell ref="O25:P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58"/>
  <sheetViews>
    <sheetView topLeftCell="A4" zoomScale="80" zoomScaleNormal="80" workbookViewId="0">
      <selection activeCell="B25" sqref="B25"/>
    </sheetView>
  </sheetViews>
  <sheetFormatPr defaultRowHeight="15" x14ac:dyDescent="0.25"/>
  <cols>
    <col min="1" max="42" width="12.7109375" customWidth="1"/>
  </cols>
  <sheetData>
    <row r="2" spans="1:41" s="147" customFormat="1" ht="14.45" x14ac:dyDescent="0.3">
      <c r="B2" s="143" t="s">
        <v>324</v>
      </c>
    </row>
    <row r="3" spans="1:41" s="147" customFormat="1" ht="14.45" x14ac:dyDescent="0.3"/>
    <row r="4" spans="1:41" ht="14.45" x14ac:dyDescent="0.3">
      <c r="B4" s="54"/>
      <c r="C4" s="209" t="s">
        <v>27</v>
      </c>
      <c r="D4" s="209"/>
      <c r="E4" s="209"/>
      <c r="F4" s="209"/>
      <c r="G4" s="201" t="s">
        <v>96</v>
      </c>
      <c r="H4" s="201"/>
      <c r="I4" s="25"/>
    </row>
    <row r="5" spans="1:41" ht="14.45" x14ac:dyDescent="0.3">
      <c r="B5" s="55" t="s">
        <v>0</v>
      </c>
      <c r="C5" s="53" t="s">
        <v>1</v>
      </c>
      <c r="D5" s="53" t="s">
        <v>1</v>
      </c>
      <c r="E5" s="53" t="s">
        <v>9</v>
      </c>
      <c r="F5" s="53" t="s">
        <v>10</v>
      </c>
      <c r="G5" s="53" t="s">
        <v>11</v>
      </c>
      <c r="H5" s="53" t="s">
        <v>74</v>
      </c>
      <c r="I5" s="45"/>
      <c r="J5" s="25"/>
      <c r="K5" s="25"/>
      <c r="L5" s="209" t="s">
        <v>154</v>
      </c>
      <c r="M5" s="209"/>
      <c r="N5" s="209"/>
      <c r="O5" s="209"/>
      <c r="P5" s="209"/>
    </row>
    <row r="6" spans="1:41" ht="15" customHeight="1" x14ac:dyDescent="0.3">
      <c r="B6" s="55" t="s">
        <v>95</v>
      </c>
      <c r="C6" s="88">
        <v>1.4233899999999999</v>
      </c>
      <c r="D6" s="88">
        <v>0.42663000000000001</v>
      </c>
      <c r="E6" s="88">
        <v>0.47586000000000001</v>
      </c>
      <c r="F6" s="88">
        <v>0.35560000000000003</v>
      </c>
      <c r="G6" s="88">
        <v>0.39213999999999999</v>
      </c>
      <c r="H6" s="88">
        <v>0.53496999999999995</v>
      </c>
      <c r="J6" s="45"/>
      <c r="K6" s="45"/>
      <c r="L6" s="213" t="s">
        <v>157</v>
      </c>
      <c r="M6" s="213"/>
      <c r="N6" s="213"/>
      <c r="O6" s="94">
        <v>4.3553165787057813E-2</v>
      </c>
      <c r="P6" s="147" t="s">
        <v>152</v>
      </c>
    </row>
    <row r="7" spans="1:41" ht="15" customHeight="1" x14ac:dyDescent="0.3">
      <c r="B7" s="55" t="s">
        <v>75</v>
      </c>
      <c r="C7" s="85">
        <f t="shared" ref="C7:H7" si="0">C6/FF_Speed*60*60</f>
        <v>93.167345454545455</v>
      </c>
      <c r="D7" s="85">
        <f t="shared" si="0"/>
        <v>27.924872727272728</v>
      </c>
      <c r="E7" s="85">
        <f t="shared" si="0"/>
        <v>31.147200000000002</v>
      </c>
      <c r="F7" s="85">
        <f t="shared" si="0"/>
        <v>23.275636363636362</v>
      </c>
      <c r="G7" s="85">
        <f t="shared" si="0"/>
        <v>25.667345454545455</v>
      </c>
      <c r="H7" s="85">
        <f t="shared" si="0"/>
        <v>35.016218181818182</v>
      </c>
      <c r="I7" s="48" t="s">
        <v>94</v>
      </c>
      <c r="L7" s="204" t="s">
        <v>158</v>
      </c>
      <c r="M7" s="204"/>
      <c r="N7" s="204"/>
      <c r="O7" s="94">
        <v>2.9546658810538196E-2</v>
      </c>
      <c r="P7" s="147" t="s">
        <v>153</v>
      </c>
    </row>
    <row r="8" spans="1:41" ht="14.45" x14ac:dyDescent="0.3">
      <c r="B8" s="62"/>
      <c r="C8" s="12"/>
      <c r="D8" s="12"/>
      <c r="E8" s="12"/>
      <c r="F8" s="12"/>
      <c r="G8" s="12"/>
      <c r="H8" s="12"/>
      <c r="I8" s="48"/>
      <c r="L8" s="169" t="s">
        <v>156</v>
      </c>
      <c r="M8" s="205" t="s">
        <v>27</v>
      </c>
      <c r="N8" s="205"/>
      <c r="O8" s="205" t="s">
        <v>59</v>
      </c>
      <c r="P8" s="205"/>
    </row>
    <row r="9" spans="1:41" ht="14.45" x14ac:dyDescent="0.3">
      <c r="L9" s="169" t="s">
        <v>46</v>
      </c>
      <c r="M9" s="169" t="s">
        <v>155</v>
      </c>
      <c r="N9" s="169" t="s">
        <v>31</v>
      </c>
      <c r="O9" s="169" t="s">
        <v>155</v>
      </c>
      <c r="P9" s="169" t="s">
        <v>31</v>
      </c>
    </row>
    <row r="10" spans="1:41" ht="14.45" x14ac:dyDescent="0.3">
      <c r="B10" s="195" t="s">
        <v>119</v>
      </c>
      <c r="C10" s="195"/>
      <c r="D10" s="195"/>
      <c r="E10" s="195"/>
      <c r="F10" s="195"/>
      <c r="G10" s="195"/>
      <c r="H10" s="195"/>
      <c r="I10" s="195"/>
      <c r="L10" s="5" t="s">
        <v>28</v>
      </c>
      <c r="M10" s="68">
        <f>(AE24/J24)^(1/26)-1</f>
        <v>4.3553165787057813E-2</v>
      </c>
      <c r="N10" s="68">
        <f>(AO24/T24)^(1/26)-1</f>
        <v>4.3553165787057813E-2</v>
      </c>
      <c r="O10" s="68">
        <f>(AE177/J177)^(1/26)-1</f>
        <v>4.3553165787057813E-2</v>
      </c>
      <c r="P10" s="68">
        <f>(AO177/T177)^(1/26)-1</f>
        <v>4.3553165787057813E-2</v>
      </c>
    </row>
    <row r="11" spans="1:41" s="58" customFormat="1" ht="28.9" x14ac:dyDescent="0.3">
      <c r="B11" s="59" t="s">
        <v>112</v>
      </c>
      <c r="C11" s="59" t="s">
        <v>115</v>
      </c>
      <c r="D11" s="59" t="s">
        <v>114</v>
      </c>
      <c r="E11" s="59" t="s">
        <v>116</v>
      </c>
      <c r="F11" s="59" t="s">
        <v>117</v>
      </c>
      <c r="G11" s="59" t="s">
        <v>118</v>
      </c>
      <c r="H11" s="59" t="s">
        <v>110</v>
      </c>
      <c r="I11" s="59" t="s">
        <v>111</v>
      </c>
      <c r="L11" s="5" t="s">
        <v>37</v>
      </c>
      <c r="M11" s="68">
        <f>(AE28/J28)^(1/26)-1</f>
        <v>3.149965077879413E-2</v>
      </c>
      <c r="N11" s="68">
        <f>(AO28/T28)^(1/26)-1</f>
        <v>3.1460022827438205E-2</v>
      </c>
      <c r="O11" s="68">
        <f>(AE181/J181)^(1/26)-1</f>
        <v>3.1168011211301971E-2</v>
      </c>
      <c r="P11" s="68">
        <f>(AO181/T181)^(1/26)-1</f>
        <v>3.0932971487471761E-2</v>
      </c>
    </row>
    <row r="12" spans="1:41" ht="14.45" x14ac:dyDescent="0.3">
      <c r="B12" s="56" t="s">
        <v>81</v>
      </c>
      <c r="C12" s="89">
        <v>1007066</v>
      </c>
      <c r="D12" s="90">
        <v>6397</v>
      </c>
      <c r="E12" s="91">
        <f>C12/D12</f>
        <v>157.4278568078787</v>
      </c>
      <c r="F12" s="92">
        <v>266.77699999999999</v>
      </c>
      <c r="G12" s="92">
        <v>490.02</v>
      </c>
      <c r="H12" s="90">
        <v>1.8368150000000001</v>
      </c>
      <c r="I12" s="65">
        <f>H12-1</f>
        <v>0.83681500000000009</v>
      </c>
      <c r="L12" s="5" t="s">
        <v>29</v>
      </c>
      <c r="M12" s="68">
        <f>(AE33/J33)^(1/26)-1</f>
        <v>2.9546658810538196E-2</v>
      </c>
      <c r="N12" s="68">
        <f>(AO33/T33)^(1/26)-1</f>
        <v>2.9546658810538196E-2</v>
      </c>
      <c r="O12" s="68">
        <f>(AE186/J186)^(1/26)-1</f>
        <v>2.9546658810538196E-2</v>
      </c>
      <c r="P12" s="68">
        <f>(AO186/T186)^(1/26)-1</f>
        <v>2.9546658810538196E-2</v>
      </c>
    </row>
    <row r="13" spans="1:41" ht="14.45" x14ac:dyDescent="0.3">
      <c r="B13" s="56" t="s">
        <v>47</v>
      </c>
      <c r="C13" s="89">
        <v>48826.400000000001</v>
      </c>
      <c r="D13" s="90">
        <v>8024</v>
      </c>
      <c r="E13" s="91">
        <f>C13/D13</f>
        <v>6.0850448654037885</v>
      </c>
      <c r="F13" s="92">
        <v>115.5347</v>
      </c>
      <c r="G13" s="92">
        <v>176.9</v>
      </c>
      <c r="H13" s="90">
        <v>1.531142</v>
      </c>
      <c r="I13" s="65">
        <f>H13-1</f>
        <v>0.531142</v>
      </c>
      <c r="L13" s="5" t="s">
        <v>38</v>
      </c>
      <c r="M13" s="68">
        <f>(AE37/J37)^(1/26)-1</f>
        <v>2.9682360149596354E-2</v>
      </c>
      <c r="N13" s="68">
        <f>(AO37/T37)^(1/26)-1</f>
        <v>2.9986152103784525E-2</v>
      </c>
      <c r="O13" s="68">
        <f>(AE190/J190)^(1/26)-1</f>
        <v>3.3430863532998734E-2</v>
      </c>
      <c r="P13" s="68">
        <f>(AO190/T190)^(1/26)-1</f>
        <v>3.8016261578262212E-2</v>
      </c>
    </row>
    <row r="14" spans="1:41" ht="14.45" x14ac:dyDescent="0.3">
      <c r="B14" s="212" t="s">
        <v>85</v>
      </c>
      <c r="C14" s="212"/>
      <c r="D14" s="212"/>
      <c r="E14" s="93">
        <f>1-E13/E12</f>
        <v>0.9613470894618743</v>
      </c>
      <c r="F14" s="212" t="s">
        <v>85</v>
      </c>
      <c r="G14" s="212"/>
      <c r="H14" s="93">
        <f>H13/H12</f>
        <v>0.83358530935341879</v>
      </c>
      <c r="I14" s="93">
        <f>I13/I12</f>
        <v>0.63471854591516641</v>
      </c>
      <c r="L14" s="100" t="s">
        <v>178</v>
      </c>
      <c r="M14" s="68">
        <f>(AE42/J42)^(1/26)-1</f>
        <v>3.1378323516035422E-2</v>
      </c>
      <c r="N14" s="68">
        <f>(AO42/T42)^(1/26)-1</f>
        <v>3.1639597975564815E-2</v>
      </c>
      <c r="O14" s="68">
        <f>(AE195/J195)^(1/26)-1</f>
        <v>3.2081183464703455E-2</v>
      </c>
      <c r="P14" s="68">
        <f>(AO195/T195)^(1/26)-1</f>
        <v>3.5090019114763615E-2</v>
      </c>
    </row>
    <row r="15" spans="1:41" s="27" customFormat="1" ht="14.45" x14ac:dyDescent="0.3">
      <c r="B15" s="60"/>
      <c r="C15" s="60"/>
      <c r="D15" s="60"/>
      <c r="E15" s="61"/>
      <c r="F15" s="60"/>
      <c r="G15" s="60"/>
      <c r="H15" s="61"/>
      <c r="I15" s="61"/>
    </row>
    <row r="16" spans="1:41" ht="14.45" x14ac:dyDescent="0.3">
      <c r="A16" s="201" t="s">
        <v>144</v>
      </c>
      <c r="B16" s="201"/>
      <c r="C16" s="201"/>
      <c r="D16" s="201"/>
      <c r="E16" s="201"/>
      <c r="F16" s="201"/>
      <c r="G16" s="201"/>
      <c r="H16" s="201"/>
      <c r="I16" s="201"/>
      <c r="J16" s="201"/>
      <c r="K16" s="201" t="s">
        <v>145</v>
      </c>
      <c r="L16" s="201"/>
      <c r="M16" s="201"/>
      <c r="N16" s="201"/>
      <c r="O16" s="201"/>
      <c r="P16" s="201"/>
      <c r="Q16" s="201"/>
      <c r="R16" s="201"/>
      <c r="S16" s="201"/>
      <c r="T16" s="201"/>
      <c r="V16" s="201" t="s">
        <v>148</v>
      </c>
      <c r="W16" s="201"/>
      <c r="X16" s="201"/>
      <c r="Y16" s="201"/>
      <c r="Z16" s="201"/>
      <c r="AA16" s="201"/>
      <c r="AB16" s="201"/>
      <c r="AC16" s="201"/>
      <c r="AD16" s="201"/>
      <c r="AE16" s="201"/>
      <c r="AF16" s="201" t="s">
        <v>149</v>
      </c>
      <c r="AG16" s="201"/>
      <c r="AH16" s="201"/>
      <c r="AI16" s="201"/>
      <c r="AJ16" s="201"/>
      <c r="AK16" s="201"/>
      <c r="AL16" s="201"/>
      <c r="AM16" s="201"/>
      <c r="AN16" s="201"/>
      <c r="AO16" s="201"/>
    </row>
    <row r="17" spans="1:41" ht="28.9" x14ac:dyDescent="0.3">
      <c r="A17" s="57" t="s">
        <v>141</v>
      </c>
      <c r="B17" s="57" t="s">
        <v>7</v>
      </c>
      <c r="C17" s="57" t="s">
        <v>8</v>
      </c>
      <c r="D17" s="57" t="s">
        <v>2</v>
      </c>
      <c r="E17" s="57" t="s">
        <v>3</v>
      </c>
      <c r="F17" s="57" t="s">
        <v>4</v>
      </c>
      <c r="G17" s="57" t="s">
        <v>5</v>
      </c>
      <c r="H17" s="57" t="s">
        <v>6</v>
      </c>
      <c r="I17" s="57" t="s">
        <v>79</v>
      </c>
      <c r="J17" s="57" t="s">
        <v>78</v>
      </c>
      <c r="K17" s="57" t="s">
        <v>48</v>
      </c>
      <c r="L17" s="57" t="s">
        <v>7</v>
      </c>
      <c r="M17" s="57" t="s">
        <v>8</v>
      </c>
      <c r="N17" s="57" t="s">
        <v>2</v>
      </c>
      <c r="O17" s="57" t="s">
        <v>3</v>
      </c>
      <c r="P17" s="57" t="s">
        <v>4</v>
      </c>
      <c r="Q17" s="57" t="s">
        <v>5</v>
      </c>
      <c r="R17" s="57" t="s">
        <v>6</v>
      </c>
      <c r="S17" s="57" t="s">
        <v>79</v>
      </c>
      <c r="T17" s="57" t="s">
        <v>78</v>
      </c>
      <c r="U17" s="24"/>
      <c r="V17" s="57" t="s">
        <v>141</v>
      </c>
      <c r="W17" s="57" t="s">
        <v>7</v>
      </c>
      <c r="X17" s="57" t="s">
        <v>8</v>
      </c>
      <c r="Y17" s="57" t="s">
        <v>2</v>
      </c>
      <c r="Z17" s="57" t="s">
        <v>3</v>
      </c>
      <c r="AA17" s="57" t="s">
        <v>4</v>
      </c>
      <c r="AB17" s="57" t="s">
        <v>5</v>
      </c>
      <c r="AC17" s="57" t="s">
        <v>6</v>
      </c>
      <c r="AD17" s="57" t="s">
        <v>79</v>
      </c>
      <c r="AE17" s="57" t="s">
        <v>78</v>
      </c>
      <c r="AF17" s="57" t="s">
        <v>48</v>
      </c>
      <c r="AG17" s="57" t="s">
        <v>7</v>
      </c>
      <c r="AH17" s="57" t="s">
        <v>8</v>
      </c>
      <c r="AI17" s="57" t="s">
        <v>2</v>
      </c>
      <c r="AJ17" s="57" t="s">
        <v>3</v>
      </c>
      <c r="AK17" s="57" t="s">
        <v>4</v>
      </c>
      <c r="AL17" s="57" t="s">
        <v>5</v>
      </c>
      <c r="AM17" s="57" t="s">
        <v>6</v>
      </c>
      <c r="AN17" s="57" t="s">
        <v>79</v>
      </c>
      <c r="AO17" s="57" t="s">
        <v>78</v>
      </c>
    </row>
    <row r="18" spans="1:41" x14ac:dyDescent="0.25">
      <c r="A18" s="15">
        <v>1</v>
      </c>
      <c r="B18" s="66">
        <f t="shared" ref="B18:B41" si="1">U49+U80+U111+U142</f>
        <v>0</v>
      </c>
      <c r="C18" s="66">
        <f t="shared" ref="C18:C41" si="2">V49+V80+V111+V142</f>
        <v>7567.4368901321959</v>
      </c>
      <c r="D18" s="66">
        <f t="shared" ref="D18:D41" si="3">W49+W80+W111+W142</f>
        <v>0</v>
      </c>
      <c r="E18" s="66">
        <f t="shared" ref="E18:E41" si="4">X49+X80+X111+X142</f>
        <v>875.0555366944277</v>
      </c>
      <c r="F18" s="66">
        <f t="shared" ref="F18:F41" si="5">Y49+Y80+Y111+Y142</f>
        <v>15994.608752955517</v>
      </c>
      <c r="G18" s="66">
        <f t="shared" ref="G18:G41" si="6">Z49+Z80+Z111+Z142</f>
        <v>379188.37402240129</v>
      </c>
      <c r="H18" s="66">
        <f t="shared" ref="H18:H41" si="7">AA49+AA80+AA111+AA142</f>
        <v>0</v>
      </c>
      <c r="I18" s="66">
        <f t="shared" ref="I18:I43" si="8">SUM(B18:H18)</f>
        <v>403625.47520218341</v>
      </c>
      <c r="J18" s="211" t="s">
        <v>38</v>
      </c>
      <c r="K18" s="15">
        <v>1</v>
      </c>
      <c r="L18" s="66">
        <f t="shared" ref="L18:L41" si="9">AE49+AE80+AE111+AE142</f>
        <v>0</v>
      </c>
      <c r="M18" s="66">
        <f t="shared" ref="M18:M41" si="10">AF49+AF80+AF111+AF142</f>
        <v>1782.7734354018187</v>
      </c>
      <c r="N18" s="66">
        <f t="shared" ref="N18:N41" si="11">AG49+AG80+AG111+AG142</f>
        <v>0</v>
      </c>
      <c r="O18" s="66">
        <f t="shared" ref="O18:O41" si="12">AH49+AH80+AH111+AH142</f>
        <v>242.55925403108699</v>
      </c>
      <c r="P18" s="66">
        <f t="shared" ref="P18:P41" si="13">AI49+AI80+AI111+AI142</f>
        <v>2938.2361383191765</v>
      </c>
      <c r="Q18" s="66">
        <f t="shared" ref="Q18:Q41" si="14">AJ49+AJ80+AJ111+AJ142</f>
        <v>46438.691900525526</v>
      </c>
      <c r="R18" s="66">
        <f t="shared" ref="R18:R41" si="15">AK49+AK80+AK111+AK142</f>
        <v>0</v>
      </c>
      <c r="S18" s="66">
        <f t="shared" ref="S18:S43" si="16">SUM(L18:R18)</f>
        <v>51402.260728277608</v>
      </c>
      <c r="T18" s="211" t="s">
        <v>38</v>
      </c>
      <c r="V18" s="15">
        <v>1</v>
      </c>
      <c r="W18" s="66">
        <f t="shared" ref="W18:W28" si="17">B18*(1+$O$6)^26</f>
        <v>0</v>
      </c>
      <c r="X18" s="66">
        <f t="shared" ref="X18:X28" si="18">C18*(1+$O$6)^26</f>
        <v>22925.978755819157</v>
      </c>
      <c r="Y18" s="66">
        <f t="shared" ref="Y18:Y28" si="19">D18*(1+$O$6)^26</f>
        <v>0</v>
      </c>
      <c r="Z18" s="66">
        <f t="shared" ref="Z18:Z28" si="20">E18*(1+$O$6)^26</f>
        <v>2651.0303205274467</v>
      </c>
      <c r="AA18" s="66">
        <f t="shared" ref="AA18:AA28" si="21">F18*(1+$O$6)^26</f>
        <v>48456.57331560403</v>
      </c>
      <c r="AB18" s="66">
        <f t="shared" ref="AB18:AB28" si="22">G18*(1+$O$6)^26</f>
        <v>1148772.6602156463</v>
      </c>
      <c r="AC18" s="66">
        <f t="shared" ref="AC18:AC28" si="23">H18*(1+$O$6)^26</f>
        <v>0</v>
      </c>
      <c r="AD18" s="66">
        <f t="shared" ref="AD18:AD43" si="24">SUM(W18:AC18)</f>
        <v>1222806.2426075968</v>
      </c>
      <c r="AE18" s="211" t="s">
        <v>38</v>
      </c>
      <c r="AF18" s="15">
        <v>1</v>
      </c>
      <c r="AG18" s="66">
        <f t="shared" ref="AG18:AG28" si="25">L18*(1+$O$6)^26</f>
        <v>0</v>
      </c>
      <c r="AH18" s="66">
        <f t="shared" ref="AH18:AH28" si="26">M18*(1+$O$6)^26</f>
        <v>5401.0131171040184</v>
      </c>
      <c r="AI18" s="66">
        <f t="shared" ref="AI18:AI28" si="27">N18*(1+$O$6)^26</f>
        <v>0</v>
      </c>
      <c r="AJ18" s="66">
        <f t="shared" ref="AJ18:AJ28" si="28">O18*(1+$O$6)^26</f>
        <v>734.84700112866062</v>
      </c>
      <c r="AK18" s="66">
        <f t="shared" ref="AK18:AK28" si="29">P18*(1+$O$6)^26</f>
        <v>8901.5528328388609</v>
      </c>
      <c r="AL18" s="66">
        <f t="shared" ref="AL18:AL28" si="30">Q18*(1+$O$6)^26</f>
        <v>140688.64787597599</v>
      </c>
      <c r="AM18" s="66">
        <f t="shared" ref="AM18:AM28" si="31">R18*(1+$O$6)^26</f>
        <v>0</v>
      </c>
      <c r="AN18" s="66">
        <f t="shared" ref="AN18:AN43" si="32">SUM(AG18:AM18)</f>
        <v>155726.06082704753</v>
      </c>
      <c r="AO18" s="211" t="s">
        <v>38</v>
      </c>
    </row>
    <row r="19" spans="1:41" x14ac:dyDescent="0.25">
      <c r="A19" s="15">
        <v>2</v>
      </c>
      <c r="B19" s="66">
        <f t="shared" si="1"/>
        <v>12034.524013582492</v>
      </c>
      <c r="C19" s="66">
        <f t="shared" si="2"/>
        <v>76644.679724251415</v>
      </c>
      <c r="D19" s="66">
        <f t="shared" si="3"/>
        <v>260349.46913991874</v>
      </c>
      <c r="E19" s="66">
        <f t="shared" si="4"/>
        <v>4758.8367348903894</v>
      </c>
      <c r="F19" s="66">
        <f t="shared" si="5"/>
        <v>2383.8576031612588</v>
      </c>
      <c r="G19" s="66">
        <f t="shared" si="6"/>
        <v>158268.84971028552</v>
      </c>
      <c r="H19" s="66">
        <f t="shared" si="7"/>
        <v>0</v>
      </c>
      <c r="I19" s="66">
        <f t="shared" si="8"/>
        <v>514440.21692608984</v>
      </c>
      <c r="J19" s="211"/>
      <c r="K19" s="15">
        <v>2</v>
      </c>
      <c r="L19" s="66">
        <f t="shared" si="9"/>
        <v>2943.8659524419013</v>
      </c>
      <c r="M19" s="66">
        <f t="shared" si="10"/>
        <v>36539.905449933809</v>
      </c>
      <c r="N19" s="66">
        <f t="shared" si="11"/>
        <v>116059.4019057469</v>
      </c>
      <c r="O19" s="66">
        <f t="shared" si="12"/>
        <v>1996.4512951123272</v>
      </c>
      <c r="P19" s="66">
        <f t="shared" si="13"/>
        <v>756.11342479123653</v>
      </c>
      <c r="Q19" s="66">
        <f t="shared" si="14"/>
        <v>36462.606444105848</v>
      </c>
      <c r="R19" s="66">
        <f t="shared" si="15"/>
        <v>0</v>
      </c>
      <c r="S19" s="66">
        <f t="shared" si="16"/>
        <v>194758.34447213201</v>
      </c>
      <c r="T19" s="211"/>
      <c r="V19" s="15">
        <v>2</v>
      </c>
      <c r="W19" s="66">
        <f t="shared" si="17"/>
        <v>36459.272257897603</v>
      </c>
      <c r="X19" s="66">
        <f t="shared" si="18"/>
        <v>232199.39916460344</v>
      </c>
      <c r="Y19" s="66">
        <f t="shared" si="19"/>
        <v>788743.46562093403</v>
      </c>
      <c r="Z19" s="66">
        <f t="shared" si="20"/>
        <v>14417.165477623555</v>
      </c>
      <c r="AA19" s="66">
        <f t="shared" si="21"/>
        <v>7222.0316548973906</v>
      </c>
      <c r="AB19" s="66">
        <f t="shared" si="22"/>
        <v>479484.44616662728</v>
      </c>
      <c r="AC19" s="66">
        <f t="shared" si="23"/>
        <v>0</v>
      </c>
      <c r="AD19" s="66">
        <f t="shared" si="24"/>
        <v>1558525.7803425833</v>
      </c>
      <c r="AE19" s="211"/>
      <c r="AF19" s="15">
        <v>2</v>
      </c>
      <c r="AG19" s="66">
        <f t="shared" si="25"/>
        <v>8918.6086736540128</v>
      </c>
      <c r="AH19" s="66">
        <f t="shared" si="26"/>
        <v>110699.71355521791</v>
      </c>
      <c r="AI19" s="66">
        <f t="shared" si="27"/>
        <v>351608.53286716336</v>
      </c>
      <c r="AJ19" s="66">
        <f t="shared" si="28"/>
        <v>6048.3622980003847</v>
      </c>
      <c r="AK19" s="66">
        <f t="shared" si="29"/>
        <v>2290.6884544167942</v>
      </c>
      <c r="AL19" s="66">
        <f t="shared" si="30"/>
        <v>110465.53183805438</v>
      </c>
      <c r="AM19" s="66">
        <f t="shared" si="31"/>
        <v>0</v>
      </c>
      <c r="AN19" s="66">
        <f t="shared" si="32"/>
        <v>590031.43768650689</v>
      </c>
      <c r="AO19" s="211"/>
    </row>
    <row r="20" spans="1:41" x14ac:dyDescent="0.25">
      <c r="A20" s="15">
        <v>3</v>
      </c>
      <c r="B20" s="66">
        <f t="shared" si="1"/>
        <v>989.50237077419797</v>
      </c>
      <c r="C20" s="66">
        <f t="shared" si="2"/>
        <v>72519.308827588393</v>
      </c>
      <c r="D20" s="66">
        <f t="shared" si="3"/>
        <v>698.47104755523787</v>
      </c>
      <c r="E20" s="66">
        <f t="shared" si="4"/>
        <v>2780.7903145078458</v>
      </c>
      <c r="F20" s="66">
        <f t="shared" si="5"/>
        <v>4746.3981705224842</v>
      </c>
      <c r="G20" s="66">
        <f t="shared" si="6"/>
        <v>207.30219274766998</v>
      </c>
      <c r="H20" s="66">
        <f t="shared" si="7"/>
        <v>80712.842905647296</v>
      </c>
      <c r="I20" s="66">
        <f t="shared" si="8"/>
        <v>162654.61582934312</v>
      </c>
      <c r="J20" s="211"/>
      <c r="K20" s="15">
        <v>3</v>
      </c>
      <c r="L20" s="66">
        <f t="shared" si="9"/>
        <v>424.99937892268838</v>
      </c>
      <c r="M20" s="66">
        <f t="shared" si="10"/>
        <v>64343.112244085787</v>
      </c>
      <c r="N20" s="66">
        <f t="shared" si="11"/>
        <v>749.69225770928881</v>
      </c>
      <c r="O20" s="66">
        <f t="shared" si="12"/>
        <v>2709.8517860765237</v>
      </c>
      <c r="P20" s="66">
        <f t="shared" si="13"/>
        <v>4034.4384449441113</v>
      </c>
      <c r="Q20" s="66">
        <f t="shared" si="14"/>
        <v>73.419526598133132</v>
      </c>
      <c r="R20" s="66">
        <f t="shared" si="15"/>
        <v>10352.71619217329</v>
      </c>
      <c r="S20" s="66">
        <f t="shared" si="16"/>
        <v>82688.229830509837</v>
      </c>
      <c r="T20" s="211"/>
      <c r="V20" s="15">
        <v>3</v>
      </c>
      <c r="W20" s="66">
        <f t="shared" si="17"/>
        <v>2997.7534878134493</v>
      </c>
      <c r="X20" s="66">
        <f t="shared" si="18"/>
        <v>219701.35432988545</v>
      </c>
      <c r="Y20" s="66">
        <f t="shared" si="19"/>
        <v>2116.0576071254691</v>
      </c>
      <c r="Z20" s="66">
        <f t="shared" si="20"/>
        <v>8424.5617902577378</v>
      </c>
      <c r="AA20" s="66">
        <f t="shared" si="21"/>
        <v>14379.482142223253</v>
      </c>
      <c r="AB20" s="66">
        <f t="shared" si="22"/>
        <v>628.03373664934338</v>
      </c>
      <c r="AC20" s="66">
        <f t="shared" si="23"/>
        <v>244524.12998508848</v>
      </c>
      <c r="AD20" s="66">
        <f t="shared" si="24"/>
        <v>492771.37307904323</v>
      </c>
      <c r="AE20" s="211"/>
      <c r="AF20" s="15">
        <v>3</v>
      </c>
      <c r="AG20" s="66">
        <f t="shared" si="25"/>
        <v>1287.5596947657768</v>
      </c>
      <c r="AH20" s="66">
        <f t="shared" si="26"/>
        <v>194931.10359661406</v>
      </c>
      <c r="AI20" s="66">
        <f t="shared" si="27"/>
        <v>2271.2351649813372</v>
      </c>
      <c r="AJ20" s="66">
        <f t="shared" si="28"/>
        <v>8209.6494996899401</v>
      </c>
      <c r="AK20" s="66">
        <f t="shared" si="29"/>
        <v>12222.559820889765</v>
      </c>
      <c r="AL20" s="66">
        <f t="shared" si="30"/>
        <v>222.42861506330917</v>
      </c>
      <c r="AM20" s="66">
        <f t="shared" si="31"/>
        <v>31364.140188111116</v>
      </c>
      <c r="AN20" s="66">
        <f t="shared" si="32"/>
        <v>250508.67658011528</v>
      </c>
      <c r="AO20" s="211"/>
    </row>
    <row r="21" spans="1:41" x14ac:dyDescent="0.25">
      <c r="A21" s="15">
        <v>4</v>
      </c>
      <c r="B21" s="66">
        <f t="shared" si="1"/>
        <v>0</v>
      </c>
      <c r="C21" s="66">
        <f t="shared" si="2"/>
        <v>5484.7343329746227</v>
      </c>
      <c r="D21" s="66">
        <f t="shared" si="3"/>
        <v>1696.7562455368138</v>
      </c>
      <c r="E21" s="66">
        <f t="shared" si="4"/>
        <v>464.65451238675638</v>
      </c>
      <c r="F21" s="66">
        <f t="shared" si="5"/>
        <v>6913.5734892955288</v>
      </c>
      <c r="G21" s="66">
        <f t="shared" si="6"/>
        <v>0</v>
      </c>
      <c r="H21" s="66">
        <f t="shared" si="7"/>
        <v>2686.2647972050527</v>
      </c>
      <c r="I21" s="66">
        <f t="shared" si="8"/>
        <v>17245.983377398778</v>
      </c>
      <c r="J21" s="211"/>
      <c r="K21" s="15">
        <v>4</v>
      </c>
      <c r="L21" s="66">
        <f t="shared" si="9"/>
        <v>0</v>
      </c>
      <c r="M21" s="66">
        <f t="shared" si="10"/>
        <v>5836.3198671396603</v>
      </c>
      <c r="N21" s="66">
        <f t="shared" si="11"/>
        <v>2580.4834567539046</v>
      </c>
      <c r="O21" s="66">
        <f t="shared" si="12"/>
        <v>710.25761179118467</v>
      </c>
      <c r="P21" s="66">
        <f t="shared" si="13"/>
        <v>7854.4740233416669</v>
      </c>
      <c r="Q21" s="66">
        <f t="shared" si="14"/>
        <v>0</v>
      </c>
      <c r="R21" s="66">
        <f t="shared" si="15"/>
        <v>503.11313927586286</v>
      </c>
      <c r="S21" s="66">
        <f t="shared" si="16"/>
        <v>17484.648098302278</v>
      </c>
      <c r="T21" s="211"/>
      <c r="V21" s="15">
        <v>4</v>
      </c>
      <c r="W21" s="66">
        <f t="shared" si="17"/>
        <v>0</v>
      </c>
      <c r="X21" s="66">
        <f t="shared" si="18"/>
        <v>16616.31337329746</v>
      </c>
      <c r="Y21" s="66">
        <f t="shared" si="19"/>
        <v>5140.4191675129941</v>
      </c>
      <c r="Z21" s="66">
        <f t="shared" si="20"/>
        <v>1407.6971680682484</v>
      </c>
      <c r="AA21" s="66">
        <f t="shared" si="21"/>
        <v>20945.062541461768</v>
      </c>
      <c r="AB21" s="66">
        <f t="shared" si="22"/>
        <v>0</v>
      </c>
      <c r="AC21" s="66">
        <f t="shared" si="23"/>
        <v>8138.1913806950897</v>
      </c>
      <c r="AD21" s="66">
        <f t="shared" si="24"/>
        <v>52247.683631035557</v>
      </c>
      <c r="AE21" s="211"/>
      <c r="AF21" s="15">
        <v>4</v>
      </c>
      <c r="AG21" s="66">
        <f t="shared" si="25"/>
        <v>0</v>
      </c>
      <c r="AH21" s="66">
        <f t="shared" si="26"/>
        <v>17681.461666457548</v>
      </c>
      <c r="AI21" s="66">
        <f t="shared" si="27"/>
        <v>7817.7208172593464</v>
      </c>
      <c r="AJ21" s="66">
        <f t="shared" si="28"/>
        <v>2151.7656711900368</v>
      </c>
      <c r="AK21" s="66">
        <f t="shared" si="29"/>
        <v>23795.57401160154</v>
      </c>
      <c r="AL21" s="66">
        <f t="shared" si="30"/>
        <v>0</v>
      </c>
      <c r="AM21" s="66">
        <f t="shared" si="31"/>
        <v>1524.2097569194821</v>
      </c>
      <c r="AN21" s="66">
        <f t="shared" si="32"/>
        <v>52970.731923427949</v>
      </c>
      <c r="AO21" s="211"/>
    </row>
    <row r="22" spans="1:41" x14ac:dyDescent="0.25">
      <c r="A22" s="15">
        <v>5</v>
      </c>
      <c r="B22" s="66">
        <f t="shared" si="1"/>
        <v>14062.72117397874</v>
      </c>
      <c r="C22" s="66">
        <f t="shared" si="2"/>
        <v>0</v>
      </c>
      <c r="D22" s="66">
        <f t="shared" si="3"/>
        <v>0</v>
      </c>
      <c r="E22" s="66">
        <f t="shared" si="4"/>
        <v>1559.3385718040279</v>
      </c>
      <c r="F22" s="66">
        <f t="shared" si="5"/>
        <v>0</v>
      </c>
      <c r="G22" s="66">
        <f t="shared" si="6"/>
        <v>0</v>
      </c>
      <c r="H22" s="66">
        <f t="shared" si="7"/>
        <v>116947.07407807196</v>
      </c>
      <c r="I22" s="66">
        <f t="shared" si="8"/>
        <v>132569.13382385473</v>
      </c>
      <c r="J22" s="211"/>
      <c r="K22" s="15">
        <v>5</v>
      </c>
      <c r="L22" s="66">
        <f t="shared" si="9"/>
        <v>11363.180948616751</v>
      </c>
      <c r="M22" s="66">
        <f t="shared" si="10"/>
        <v>0</v>
      </c>
      <c r="N22" s="66">
        <f t="shared" si="11"/>
        <v>0</v>
      </c>
      <c r="O22" s="66">
        <f t="shared" si="12"/>
        <v>1953.2767373124136</v>
      </c>
      <c r="P22" s="66">
        <f t="shared" si="13"/>
        <v>0</v>
      </c>
      <c r="Q22" s="66">
        <f t="shared" si="14"/>
        <v>0</v>
      </c>
      <c r="R22" s="66">
        <f t="shared" si="15"/>
        <v>38574.165795384994</v>
      </c>
      <c r="S22" s="66">
        <f t="shared" si="16"/>
        <v>51890.623481314156</v>
      </c>
      <c r="T22" s="211"/>
      <c r="V22" s="15">
        <v>5</v>
      </c>
      <c r="W22" s="66">
        <f t="shared" si="17"/>
        <v>42603.810453186714</v>
      </c>
      <c r="X22" s="66">
        <f t="shared" si="18"/>
        <v>0</v>
      </c>
      <c r="Y22" s="66">
        <f t="shared" si="19"/>
        <v>0</v>
      </c>
      <c r="Z22" s="66">
        <f t="shared" si="20"/>
        <v>4724.1045401944566</v>
      </c>
      <c r="AA22" s="66">
        <f t="shared" si="21"/>
        <v>0</v>
      </c>
      <c r="AB22" s="66">
        <f t="shared" si="22"/>
        <v>0</v>
      </c>
      <c r="AC22" s="66">
        <f t="shared" si="23"/>
        <v>354297.78600006935</v>
      </c>
      <c r="AD22" s="66">
        <f t="shared" si="24"/>
        <v>401625.70099345053</v>
      </c>
      <c r="AE22" s="211"/>
      <c r="AF22" s="15">
        <v>5</v>
      </c>
      <c r="AG22" s="66">
        <f t="shared" si="25"/>
        <v>34425.400410833914</v>
      </c>
      <c r="AH22" s="66">
        <f t="shared" si="26"/>
        <v>0</v>
      </c>
      <c r="AI22" s="66">
        <f t="shared" si="27"/>
        <v>0</v>
      </c>
      <c r="AJ22" s="66">
        <f t="shared" si="28"/>
        <v>5917.5625292962131</v>
      </c>
      <c r="AK22" s="66">
        <f t="shared" si="29"/>
        <v>0</v>
      </c>
      <c r="AL22" s="66">
        <f t="shared" si="30"/>
        <v>0</v>
      </c>
      <c r="AM22" s="66">
        <f t="shared" si="31"/>
        <v>116862.62051311188</v>
      </c>
      <c r="AN22" s="66">
        <f t="shared" si="32"/>
        <v>157205.583453242</v>
      </c>
      <c r="AO22" s="211"/>
    </row>
    <row r="23" spans="1:41" ht="14.45" x14ac:dyDescent="0.3">
      <c r="A23" s="15">
        <v>6</v>
      </c>
      <c r="B23" s="66">
        <f t="shared" si="1"/>
        <v>0</v>
      </c>
      <c r="C23" s="66">
        <f t="shared" si="2"/>
        <v>0</v>
      </c>
      <c r="D23" s="66">
        <f t="shared" si="3"/>
        <v>0</v>
      </c>
      <c r="E23" s="66">
        <f t="shared" si="4"/>
        <v>0</v>
      </c>
      <c r="F23" s="66">
        <f t="shared" si="5"/>
        <v>85022.70648911332</v>
      </c>
      <c r="G23" s="66">
        <f t="shared" si="6"/>
        <v>0</v>
      </c>
      <c r="H23" s="66">
        <f t="shared" si="7"/>
        <v>0</v>
      </c>
      <c r="I23" s="66">
        <f t="shared" si="8"/>
        <v>85022.70648911332</v>
      </c>
      <c r="J23" s="28" t="s">
        <v>28</v>
      </c>
      <c r="K23" s="15">
        <v>6</v>
      </c>
      <c r="L23" s="66">
        <f t="shared" si="9"/>
        <v>0</v>
      </c>
      <c r="M23" s="66">
        <f t="shared" si="10"/>
        <v>0</v>
      </c>
      <c r="N23" s="66">
        <f t="shared" si="11"/>
        <v>0</v>
      </c>
      <c r="O23" s="66">
        <f t="shared" si="12"/>
        <v>0</v>
      </c>
      <c r="P23" s="66">
        <f t="shared" si="13"/>
        <v>70540.816922286322</v>
      </c>
      <c r="Q23" s="66">
        <f t="shared" si="14"/>
        <v>0</v>
      </c>
      <c r="R23" s="66">
        <f t="shared" si="15"/>
        <v>0</v>
      </c>
      <c r="S23" s="66">
        <f t="shared" si="16"/>
        <v>70540.816922286322</v>
      </c>
      <c r="T23" s="28" t="s">
        <v>28</v>
      </c>
      <c r="V23" s="15">
        <v>6</v>
      </c>
      <c r="W23" s="66">
        <f t="shared" si="17"/>
        <v>0</v>
      </c>
      <c r="X23" s="66">
        <f t="shared" si="18"/>
        <v>0</v>
      </c>
      <c r="Y23" s="66">
        <f t="shared" si="19"/>
        <v>0</v>
      </c>
      <c r="Z23" s="66">
        <f t="shared" si="20"/>
        <v>0</v>
      </c>
      <c r="AA23" s="66">
        <f t="shared" si="21"/>
        <v>257581.1058660323</v>
      </c>
      <c r="AB23" s="66">
        <f t="shared" si="22"/>
        <v>0</v>
      </c>
      <c r="AC23" s="66">
        <f t="shared" si="23"/>
        <v>0</v>
      </c>
      <c r="AD23" s="66">
        <f t="shared" si="24"/>
        <v>257581.1058660323</v>
      </c>
      <c r="AE23" s="28" t="s">
        <v>28</v>
      </c>
      <c r="AF23" s="15">
        <v>6</v>
      </c>
      <c r="AG23" s="66">
        <f t="shared" si="25"/>
        <v>0</v>
      </c>
      <c r="AH23" s="66">
        <f t="shared" si="26"/>
        <v>0</v>
      </c>
      <c r="AI23" s="66">
        <f t="shared" si="27"/>
        <v>0</v>
      </c>
      <c r="AJ23" s="66">
        <f t="shared" si="28"/>
        <v>0</v>
      </c>
      <c r="AK23" s="66">
        <f t="shared" si="29"/>
        <v>213707.40102071909</v>
      </c>
      <c r="AL23" s="66">
        <f t="shared" si="30"/>
        <v>0</v>
      </c>
      <c r="AM23" s="66">
        <f t="shared" si="31"/>
        <v>0</v>
      </c>
      <c r="AN23" s="66">
        <f t="shared" si="32"/>
        <v>213707.40102071909</v>
      </c>
      <c r="AO23" s="28" t="s">
        <v>28</v>
      </c>
    </row>
    <row r="24" spans="1:41" ht="14.45" x14ac:dyDescent="0.3">
      <c r="A24" s="15">
        <v>7</v>
      </c>
      <c r="B24" s="66">
        <f t="shared" si="1"/>
        <v>0</v>
      </c>
      <c r="C24" s="66">
        <f t="shared" si="2"/>
        <v>0</v>
      </c>
      <c r="D24" s="66">
        <f t="shared" si="3"/>
        <v>0</v>
      </c>
      <c r="E24" s="66">
        <f t="shared" si="4"/>
        <v>0</v>
      </c>
      <c r="F24" s="66">
        <f t="shared" si="5"/>
        <v>0</v>
      </c>
      <c r="G24" s="66">
        <f t="shared" si="6"/>
        <v>0</v>
      </c>
      <c r="H24" s="66">
        <f t="shared" si="7"/>
        <v>1016371.764721749</v>
      </c>
      <c r="I24" s="66">
        <f t="shared" si="8"/>
        <v>1016371.764721749</v>
      </c>
      <c r="J24" s="34">
        <f>SUM(I23:I26)/3600</f>
        <v>27112.917765922452</v>
      </c>
      <c r="K24" s="15">
        <v>7</v>
      </c>
      <c r="L24" s="66">
        <f t="shared" si="9"/>
        <v>0</v>
      </c>
      <c r="M24" s="66">
        <f t="shared" si="10"/>
        <v>0</v>
      </c>
      <c r="N24" s="66">
        <f t="shared" si="11"/>
        <v>0</v>
      </c>
      <c r="O24" s="66">
        <f t="shared" si="12"/>
        <v>0</v>
      </c>
      <c r="P24" s="66">
        <f t="shared" si="13"/>
        <v>0</v>
      </c>
      <c r="Q24" s="66">
        <f t="shared" si="14"/>
        <v>0</v>
      </c>
      <c r="R24" s="66">
        <f t="shared" si="15"/>
        <v>223028.28692953745</v>
      </c>
      <c r="S24" s="66">
        <f t="shared" si="16"/>
        <v>223028.28692953745</v>
      </c>
      <c r="T24" s="34">
        <f>SUM(S23:S26)/3600</f>
        <v>3840.4635505432507</v>
      </c>
      <c r="V24" s="15">
        <v>7</v>
      </c>
      <c r="W24" s="66">
        <f t="shared" si="17"/>
        <v>0</v>
      </c>
      <c r="X24" s="66">
        <f t="shared" si="18"/>
        <v>0</v>
      </c>
      <c r="Y24" s="66">
        <f t="shared" si="19"/>
        <v>0</v>
      </c>
      <c r="Z24" s="66">
        <f t="shared" si="20"/>
        <v>0</v>
      </c>
      <c r="AA24" s="66">
        <f t="shared" si="21"/>
        <v>0</v>
      </c>
      <c r="AB24" s="66">
        <f t="shared" si="22"/>
        <v>0</v>
      </c>
      <c r="AC24" s="66">
        <f t="shared" si="23"/>
        <v>3079155.8389353398</v>
      </c>
      <c r="AD24" s="66">
        <f t="shared" si="24"/>
        <v>3079155.8389353398</v>
      </c>
      <c r="AE24" s="34">
        <f>SUM(AD23:AD26)/3600</f>
        <v>82140.120325331358</v>
      </c>
      <c r="AF24" s="15">
        <v>7</v>
      </c>
      <c r="AG24" s="66">
        <f t="shared" si="25"/>
        <v>0</v>
      </c>
      <c r="AH24" s="66">
        <f t="shared" si="26"/>
        <v>0</v>
      </c>
      <c r="AI24" s="66">
        <f t="shared" si="27"/>
        <v>0</v>
      </c>
      <c r="AJ24" s="66">
        <f t="shared" si="28"/>
        <v>0</v>
      </c>
      <c r="AK24" s="66">
        <f t="shared" si="29"/>
        <v>0</v>
      </c>
      <c r="AL24" s="66">
        <f t="shared" si="30"/>
        <v>0</v>
      </c>
      <c r="AM24" s="66">
        <f t="shared" si="31"/>
        <v>675676.82986041962</v>
      </c>
      <c r="AN24" s="66">
        <f t="shared" si="32"/>
        <v>675676.82986041962</v>
      </c>
      <c r="AO24" s="34">
        <f>SUM(AN23:AN26)/3600</f>
        <v>11634.901889576813</v>
      </c>
    </row>
    <row r="25" spans="1:41" ht="14.45" x14ac:dyDescent="0.3">
      <c r="A25" s="15">
        <v>8</v>
      </c>
      <c r="B25" s="66">
        <f t="shared" si="1"/>
        <v>6458311.7548018517</v>
      </c>
      <c r="C25" s="66">
        <f t="shared" si="2"/>
        <v>4591796.7072805883</v>
      </c>
      <c r="D25" s="66">
        <f t="shared" si="3"/>
        <v>9528553.0281814523</v>
      </c>
      <c r="E25" s="66">
        <f t="shared" si="4"/>
        <v>5127893.1815084042</v>
      </c>
      <c r="F25" s="66">
        <f t="shared" si="5"/>
        <v>1639578.1497751931</v>
      </c>
      <c r="G25" s="66">
        <f t="shared" si="6"/>
        <v>0</v>
      </c>
      <c r="H25" s="66">
        <f t="shared" si="7"/>
        <v>646948.64228792221</v>
      </c>
      <c r="I25" s="66">
        <f t="shared" si="8"/>
        <v>27993081.463835411</v>
      </c>
      <c r="J25" s="38">
        <f>J24/$J$42</f>
        <v>8.4686464821197002E-2</v>
      </c>
      <c r="K25" s="15">
        <v>8</v>
      </c>
      <c r="L25" s="66">
        <f t="shared" si="9"/>
        <v>850242.9278896933</v>
      </c>
      <c r="M25" s="66">
        <f t="shared" si="10"/>
        <v>829933.68025117437</v>
      </c>
      <c r="N25" s="66">
        <f t="shared" si="11"/>
        <v>1772984.3992146361</v>
      </c>
      <c r="O25" s="66">
        <f t="shared" si="12"/>
        <v>923679.30576004717</v>
      </c>
      <c r="P25" s="66">
        <f t="shared" si="13"/>
        <v>311853.9777191286</v>
      </c>
      <c r="Q25" s="66">
        <f t="shared" si="14"/>
        <v>0</v>
      </c>
      <c r="R25" s="66">
        <f t="shared" si="15"/>
        <v>86468.176022379295</v>
      </c>
      <c r="S25" s="66">
        <f t="shared" si="16"/>
        <v>4775162.4668570599</v>
      </c>
      <c r="T25" s="38">
        <f>T24/$T$42</f>
        <v>9.9886604697853862E-2</v>
      </c>
      <c r="V25" s="15">
        <v>8</v>
      </c>
      <c r="W25" s="66">
        <f t="shared" si="17"/>
        <v>19565821.326123785</v>
      </c>
      <c r="X25" s="66">
        <f t="shared" si="18"/>
        <v>13911108.251120958</v>
      </c>
      <c r="Y25" s="66">
        <f t="shared" si="19"/>
        <v>28867291.193751615</v>
      </c>
      <c r="Z25" s="66">
        <f t="shared" si="20"/>
        <v>15535242.889791431</v>
      </c>
      <c r="AA25" s="66">
        <f t="shared" si="21"/>
        <v>4967194.8872499559</v>
      </c>
      <c r="AB25" s="66">
        <f t="shared" si="22"/>
        <v>0</v>
      </c>
      <c r="AC25" s="66">
        <f t="shared" si="23"/>
        <v>1959967.5616111879</v>
      </c>
      <c r="AD25" s="66">
        <f t="shared" si="24"/>
        <v>84806626.109648943</v>
      </c>
      <c r="AE25" s="38">
        <f>AE24/$AE$42</f>
        <v>0.1149013396608627</v>
      </c>
      <c r="AF25" s="15">
        <v>8</v>
      </c>
      <c r="AG25" s="66">
        <f t="shared" si="25"/>
        <v>2575859.1165131037</v>
      </c>
      <c r="AH25" s="66">
        <f t="shared" si="26"/>
        <v>2514331.1002683295</v>
      </c>
      <c r="AI25" s="66">
        <f t="shared" si="27"/>
        <v>5371356.6774236374</v>
      </c>
      <c r="AJ25" s="66">
        <f t="shared" si="28"/>
        <v>2798338.7834602343</v>
      </c>
      <c r="AK25" s="66">
        <f t="shared" si="29"/>
        <v>944779.2921047468</v>
      </c>
      <c r="AL25" s="66">
        <f t="shared" si="30"/>
        <v>0</v>
      </c>
      <c r="AM25" s="66">
        <f t="shared" si="31"/>
        <v>261960.23770326664</v>
      </c>
      <c r="AN25" s="66">
        <f t="shared" si="32"/>
        <v>14466625.207473319</v>
      </c>
      <c r="AO25" s="38">
        <f>AO24/$AO$42</f>
        <v>0.1346350812462063</v>
      </c>
    </row>
    <row r="26" spans="1:41" ht="14.45" x14ac:dyDescent="0.3">
      <c r="A26" s="15">
        <v>9</v>
      </c>
      <c r="B26" s="66">
        <f t="shared" si="1"/>
        <v>16319577.978324575</v>
      </c>
      <c r="C26" s="66">
        <f t="shared" si="2"/>
        <v>13428489.549391201</v>
      </c>
      <c r="D26" s="66">
        <f t="shared" si="3"/>
        <v>22937383.020891305</v>
      </c>
      <c r="E26" s="66">
        <f t="shared" si="4"/>
        <v>14726690.767319895</v>
      </c>
      <c r="F26" s="66">
        <f t="shared" si="5"/>
        <v>732512.11686369567</v>
      </c>
      <c r="G26" s="66">
        <f t="shared" si="6"/>
        <v>367374.58948388137</v>
      </c>
      <c r="H26" s="66">
        <f t="shared" si="7"/>
        <v>0</v>
      </c>
      <c r="I26" s="66">
        <f t="shared" si="8"/>
        <v>68512028.022274554</v>
      </c>
      <c r="J26" s="34"/>
      <c r="K26" s="15">
        <v>9</v>
      </c>
      <c r="L26" s="66">
        <f t="shared" si="9"/>
        <v>1725980.0577898831</v>
      </c>
      <c r="M26" s="66">
        <f t="shared" si="10"/>
        <v>1745340.028914832</v>
      </c>
      <c r="N26" s="66">
        <f t="shared" si="11"/>
        <v>3148366.7149953688</v>
      </c>
      <c r="O26" s="66">
        <f t="shared" si="12"/>
        <v>1977895.7365404959</v>
      </c>
      <c r="P26" s="66">
        <f t="shared" si="13"/>
        <v>103354.02986684669</v>
      </c>
      <c r="Q26" s="66">
        <f t="shared" si="14"/>
        <v>56000.643139391941</v>
      </c>
      <c r="R26" s="66">
        <f t="shared" si="15"/>
        <v>0</v>
      </c>
      <c r="S26" s="66">
        <f t="shared" si="16"/>
        <v>8756937.2112468183</v>
      </c>
      <c r="T26" s="34"/>
      <c r="V26" s="15">
        <v>9</v>
      </c>
      <c r="W26" s="66">
        <f t="shared" si="17"/>
        <v>49441085.993446246</v>
      </c>
      <c r="X26" s="66">
        <f t="shared" si="18"/>
        <v>40682369.817121021</v>
      </c>
      <c r="Y26" s="66">
        <f t="shared" si="19"/>
        <v>69490101.270187765</v>
      </c>
      <c r="Z26" s="66">
        <f t="shared" si="20"/>
        <v>44615343.950254738</v>
      </c>
      <c r="AA26" s="66">
        <f t="shared" si="21"/>
        <v>2219186.9550304022</v>
      </c>
      <c r="AB26" s="66">
        <f t="shared" si="22"/>
        <v>1112982.1307023964</v>
      </c>
      <c r="AC26" s="66">
        <f t="shared" si="23"/>
        <v>0</v>
      </c>
      <c r="AD26" s="66">
        <f t="shared" si="24"/>
        <v>207561070.11674258</v>
      </c>
      <c r="AE26" s="34"/>
      <c r="AF26" s="15">
        <v>9</v>
      </c>
      <c r="AG26" s="66">
        <f t="shared" si="25"/>
        <v>5228954.362269829</v>
      </c>
      <c r="AH26" s="66">
        <f t="shared" si="26"/>
        <v>5287606.4915399952</v>
      </c>
      <c r="AI26" s="66">
        <f t="shared" si="27"/>
        <v>9538155.318828309</v>
      </c>
      <c r="AJ26" s="66">
        <f t="shared" si="28"/>
        <v>5992147.1821300583</v>
      </c>
      <c r="AK26" s="66">
        <f t="shared" si="29"/>
        <v>313116.88851285982</v>
      </c>
      <c r="AL26" s="66">
        <f t="shared" si="30"/>
        <v>169657.12084101455</v>
      </c>
      <c r="AM26" s="66">
        <f t="shared" si="31"/>
        <v>0</v>
      </c>
      <c r="AN26" s="66">
        <f t="shared" si="32"/>
        <v>26529637.364122067</v>
      </c>
      <c r="AO26" s="34"/>
    </row>
    <row r="27" spans="1:41" ht="14.45" x14ac:dyDescent="0.3">
      <c r="A27" s="15">
        <v>10</v>
      </c>
      <c r="B27" s="66">
        <f t="shared" si="1"/>
        <v>564609.94899100158</v>
      </c>
      <c r="C27" s="66">
        <f t="shared" si="2"/>
        <v>0</v>
      </c>
      <c r="D27" s="66">
        <f t="shared" si="3"/>
        <v>2559751.99432436</v>
      </c>
      <c r="E27" s="66">
        <f t="shared" si="4"/>
        <v>4191178.4506111289</v>
      </c>
      <c r="F27" s="66">
        <f t="shared" si="5"/>
        <v>5444.2008475025314</v>
      </c>
      <c r="G27" s="66">
        <f t="shared" si="6"/>
        <v>3764081.6799289072</v>
      </c>
      <c r="H27" s="66">
        <f t="shared" si="7"/>
        <v>0</v>
      </c>
      <c r="I27" s="66">
        <f t="shared" si="8"/>
        <v>11085066.274702899</v>
      </c>
      <c r="J27" s="29" t="s">
        <v>37</v>
      </c>
      <c r="K27" s="15">
        <v>10</v>
      </c>
      <c r="L27" s="66">
        <f t="shared" si="9"/>
        <v>74049.295793176512</v>
      </c>
      <c r="M27" s="66">
        <f t="shared" si="10"/>
        <v>0</v>
      </c>
      <c r="N27" s="66">
        <f t="shared" si="11"/>
        <v>458178.51567644556</v>
      </c>
      <c r="O27" s="66">
        <f t="shared" si="12"/>
        <v>527673.14276838303</v>
      </c>
      <c r="P27" s="66">
        <f t="shared" si="13"/>
        <v>780.0686487201483</v>
      </c>
      <c r="Q27" s="66">
        <f t="shared" si="14"/>
        <v>414209.84298362967</v>
      </c>
      <c r="R27" s="66">
        <f t="shared" si="15"/>
        <v>0</v>
      </c>
      <c r="S27" s="66">
        <f t="shared" si="16"/>
        <v>1474890.8658703547</v>
      </c>
      <c r="T27" s="32" t="s">
        <v>37</v>
      </c>
      <c r="V27" s="15">
        <v>10</v>
      </c>
      <c r="W27" s="66">
        <f t="shared" si="17"/>
        <v>1710517.8257609117</v>
      </c>
      <c r="X27" s="66">
        <f t="shared" si="18"/>
        <v>0</v>
      </c>
      <c r="Y27" s="66">
        <f t="shared" si="19"/>
        <v>7754913.6773865884</v>
      </c>
      <c r="Z27" s="66">
        <f t="shared" si="20"/>
        <v>12697412.54741792</v>
      </c>
      <c r="AA27" s="66">
        <f t="shared" si="21"/>
        <v>16493.514882827825</v>
      </c>
      <c r="AB27" s="66">
        <f t="shared" si="22"/>
        <v>11403498.685498876</v>
      </c>
      <c r="AC27" s="66">
        <f t="shared" si="23"/>
        <v>0</v>
      </c>
      <c r="AD27" s="66">
        <f t="shared" si="24"/>
        <v>33582836.250947125</v>
      </c>
      <c r="AE27" s="32" t="s">
        <v>37</v>
      </c>
      <c r="AF27" s="15">
        <v>10</v>
      </c>
      <c r="AG27" s="66">
        <f t="shared" si="25"/>
        <v>224336.5365162731</v>
      </c>
      <c r="AH27" s="66">
        <f t="shared" si="26"/>
        <v>0</v>
      </c>
      <c r="AI27" s="66">
        <f t="shared" si="27"/>
        <v>1388077.7691675532</v>
      </c>
      <c r="AJ27" s="66">
        <f t="shared" si="28"/>
        <v>1598615.6788303189</v>
      </c>
      <c r="AK27" s="66">
        <f t="shared" si="29"/>
        <v>2363.2621623787682</v>
      </c>
      <c r="AL27" s="66">
        <f t="shared" si="30"/>
        <v>1254872.1844085299</v>
      </c>
      <c r="AM27" s="66">
        <f t="shared" si="31"/>
        <v>0</v>
      </c>
      <c r="AN27" s="66">
        <f t="shared" si="32"/>
        <v>4468265.4310850538</v>
      </c>
      <c r="AO27" s="32" t="s">
        <v>37</v>
      </c>
    </row>
    <row r="28" spans="1:41" ht="14.45" x14ac:dyDescent="0.3">
      <c r="A28" s="15">
        <v>11</v>
      </c>
      <c r="B28" s="66">
        <f t="shared" si="1"/>
        <v>0</v>
      </c>
      <c r="C28" s="66">
        <f t="shared" si="2"/>
        <v>185278.06788944762</v>
      </c>
      <c r="D28" s="66">
        <f t="shared" si="3"/>
        <v>669730.69342574384</v>
      </c>
      <c r="E28" s="66">
        <f t="shared" si="4"/>
        <v>1977708.1582487444</v>
      </c>
      <c r="F28" s="66">
        <f t="shared" si="5"/>
        <v>1412679.2924084133</v>
      </c>
      <c r="G28" s="66">
        <f t="shared" si="6"/>
        <v>14352119.78087345</v>
      </c>
      <c r="H28" s="66">
        <f t="shared" si="7"/>
        <v>984678.39872438111</v>
      </c>
      <c r="I28" s="66">
        <f t="shared" si="8"/>
        <v>19582194.391570181</v>
      </c>
      <c r="J28" s="79">
        <f>SUM(I27:I31)/3600</f>
        <v>70999.406900319853</v>
      </c>
      <c r="K28" s="15">
        <v>11</v>
      </c>
      <c r="L28" s="66">
        <f t="shared" si="9"/>
        <v>0</v>
      </c>
      <c r="M28" s="66">
        <f t="shared" si="10"/>
        <v>25544.666903676833</v>
      </c>
      <c r="N28" s="66">
        <f t="shared" si="11"/>
        <v>92808.313945559057</v>
      </c>
      <c r="O28" s="66">
        <f t="shared" si="12"/>
        <v>255800.16204937454</v>
      </c>
      <c r="P28" s="66">
        <f t="shared" si="13"/>
        <v>222874.16021006522</v>
      </c>
      <c r="Q28" s="66">
        <f t="shared" si="14"/>
        <v>1454348.1377951761</v>
      </c>
      <c r="R28" s="66">
        <f t="shared" si="15"/>
        <v>77560.284831030032</v>
      </c>
      <c r="S28" s="66">
        <f t="shared" si="16"/>
        <v>2128935.7257348816</v>
      </c>
      <c r="T28" s="79">
        <f>SUM(S27:S31)/3600</f>
        <v>8520.3375237320361</v>
      </c>
      <c r="V28" s="15">
        <v>11</v>
      </c>
      <c r="W28" s="66">
        <f t="shared" si="17"/>
        <v>0</v>
      </c>
      <c r="X28" s="66">
        <f t="shared" si="18"/>
        <v>561310.40271926101</v>
      </c>
      <c r="Y28" s="66">
        <f t="shared" si="19"/>
        <v>2028987.0761420266</v>
      </c>
      <c r="Z28" s="66">
        <f t="shared" si="20"/>
        <v>5991578.9030688405</v>
      </c>
      <c r="AA28" s="66">
        <f t="shared" si="21"/>
        <v>4279791.9449811429</v>
      </c>
      <c r="AB28" s="66">
        <f t="shared" si="22"/>
        <v>43480559.927276596</v>
      </c>
      <c r="AC28" s="66">
        <f t="shared" si="23"/>
        <v>2983138.9912093244</v>
      </c>
      <c r="AD28" s="66">
        <f t="shared" si="24"/>
        <v>59325367.245397195</v>
      </c>
      <c r="AE28" s="79">
        <f>SUM(AD27:AD31)/3600</f>
        <v>159019.70299861397</v>
      </c>
      <c r="AF28" s="15">
        <v>11</v>
      </c>
      <c r="AG28" s="66">
        <f t="shared" si="25"/>
        <v>0</v>
      </c>
      <c r="AH28" s="66">
        <f t="shared" si="26"/>
        <v>77389.015496360647</v>
      </c>
      <c r="AI28" s="66">
        <f t="shared" si="27"/>
        <v>281168.04471191467</v>
      </c>
      <c r="AJ28" s="66">
        <f t="shared" si="28"/>
        <v>774961.08207076322</v>
      </c>
      <c r="AK28" s="66">
        <f t="shared" si="29"/>
        <v>675209.89423246181</v>
      </c>
      <c r="AL28" s="66">
        <f t="shared" si="30"/>
        <v>4406030.0726306951</v>
      </c>
      <c r="AM28" s="66">
        <f t="shared" si="31"/>
        <v>234973.27670484409</v>
      </c>
      <c r="AN28" s="66">
        <f t="shared" si="32"/>
        <v>6449731.3858470395</v>
      </c>
      <c r="AO28" s="79">
        <f>SUM(AN27:AN31)/3600</f>
        <v>19064.227299804716</v>
      </c>
    </row>
    <row r="29" spans="1:41" ht="14.45" x14ac:dyDescent="0.3">
      <c r="A29" s="15">
        <v>12</v>
      </c>
      <c r="B29" s="66">
        <f t="shared" si="1"/>
        <v>1579527.9666785989</v>
      </c>
      <c r="C29" s="66">
        <f t="shared" si="2"/>
        <v>216825.59496708715</v>
      </c>
      <c r="D29" s="66">
        <f t="shared" si="3"/>
        <v>351436.2652135042</v>
      </c>
      <c r="E29" s="66">
        <f t="shared" si="4"/>
        <v>1780318.0987576689</v>
      </c>
      <c r="F29" s="66">
        <f t="shared" si="5"/>
        <v>10125973.782258589</v>
      </c>
      <c r="G29" s="66">
        <f t="shared" si="6"/>
        <v>25280386.394237809</v>
      </c>
      <c r="H29" s="66">
        <f t="shared" si="7"/>
        <v>5717482.7875664122</v>
      </c>
      <c r="I29" s="66">
        <f t="shared" si="8"/>
        <v>45051950.88967967</v>
      </c>
      <c r="J29" s="39">
        <f>J28/$J$42</f>
        <v>0.22176472582921294</v>
      </c>
      <c r="K29" s="15">
        <v>12</v>
      </c>
      <c r="L29" s="66">
        <f t="shared" si="9"/>
        <v>233574.98503393953</v>
      </c>
      <c r="M29" s="66">
        <f t="shared" si="10"/>
        <v>37390.043426277072</v>
      </c>
      <c r="N29" s="66">
        <f t="shared" si="11"/>
        <v>61638.933317088879</v>
      </c>
      <c r="O29" s="66">
        <f t="shared" si="12"/>
        <v>313772.53847836313</v>
      </c>
      <c r="P29" s="66">
        <f t="shared" si="13"/>
        <v>1592582.7310125015</v>
      </c>
      <c r="Q29" s="66">
        <f t="shared" si="14"/>
        <v>2074429.9557634965</v>
      </c>
      <c r="R29" s="66">
        <f t="shared" si="15"/>
        <v>354843.77440316021</v>
      </c>
      <c r="S29" s="66">
        <f t="shared" si="16"/>
        <v>4668232.9614348272</v>
      </c>
      <c r="T29" s="39">
        <f>T28/$T$42</f>
        <v>0.22160543250174206</v>
      </c>
      <c r="V29" s="15">
        <v>12</v>
      </c>
      <c r="W29" s="66">
        <f t="shared" ref="W29:W41" si="33">B29*(1+$O$7)^26</f>
        <v>3367628.6173844985</v>
      </c>
      <c r="X29" s="66">
        <f t="shared" ref="X29:X41" si="34">C29*(1+$O$7)^26</f>
        <v>462282.46286009642</v>
      </c>
      <c r="Y29" s="66">
        <f t="shared" ref="Y29:Y41" si="35">D29*(1+$O$7)^26</f>
        <v>749278.80283650849</v>
      </c>
      <c r="Z29" s="66">
        <f t="shared" ref="Z29:Z41" si="36">E29*(1+$O$7)^26</f>
        <v>3795722.7120397273</v>
      </c>
      <c r="AA29" s="66">
        <f t="shared" ref="AA29:AA41" si="37">F29*(1+$O$7)^26</f>
        <v>21589056.862174522</v>
      </c>
      <c r="AB29" s="66">
        <f t="shared" ref="AB29:AB41" si="38">G29*(1+$O$7)^26</f>
        <v>53898984.048248984</v>
      </c>
      <c r="AC29" s="66">
        <f t="shared" ref="AC29:AC41" si="39">H29*(1+$O$7)^26</f>
        <v>12189944.756280348</v>
      </c>
      <c r="AD29" s="66">
        <f t="shared" si="24"/>
        <v>96052898.261824682</v>
      </c>
      <c r="AE29" s="39">
        <f>AE28/$AE$42</f>
        <v>0.2224439997731345</v>
      </c>
      <c r="AF29" s="15">
        <v>12</v>
      </c>
      <c r="AG29" s="66">
        <f t="shared" ref="AG29:AG41" si="40">L29*(1+$O$7)^26</f>
        <v>497992.95770589303</v>
      </c>
      <c r="AH29" s="66">
        <f t="shared" ref="AH29:AH41" si="41">M29*(1+$O$7)^26</f>
        <v>79717.347779763033</v>
      </c>
      <c r="AI29" s="66">
        <f t="shared" ref="AI29:AI41" si="42">N29*(1+$O$7)^26</f>
        <v>131417.13230958002</v>
      </c>
      <c r="AJ29" s="66">
        <f t="shared" ref="AJ29:AJ41" si="43">O29*(1+$O$7)^26</f>
        <v>668977.94924838119</v>
      </c>
      <c r="AK29" s="66">
        <f t="shared" ref="AK29:AK41" si="44">P29*(1+$O$7)^26</f>
        <v>3395461.9947551484</v>
      </c>
      <c r="AL29" s="66">
        <f t="shared" ref="AL29:AL41" si="45">Q29*(1+$O$7)^26</f>
        <v>4422783.1549438452</v>
      </c>
      <c r="AM29" s="66">
        <f t="shared" ref="AM29:AM41" si="46">R29*(1+$O$7)^26</f>
        <v>756543.77420970681</v>
      </c>
      <c r="AN29" s="66">
        <f t="shared" si="32"/>
        <v>9952894.310952317</v>
      </c>
      <c r="AO29" s="39">
        <f>AO28/$AO$42</f>
        <v>0.22060467855811966</v>
      </c>
    </row>
    <row r="30" spans="1:41" ht="14.45" x14ac:dyDescent="0.3">
      <c r="A30" s="15">
        <v>13</v>
      </c>
      <c r="B30" s="66">
        <f t="shared" si="1"/>
        <v>3651535.2693246515</v>
      </c>
      <c r="C30" s="66">
        <f t="shared" si="2"/>
        <v>864596.34980411537</v>
      </c>
      <c r="D30" s="66">
        <f t="shared" si="3"/>
        <v>2342608.7756767939</v>
      </c>
      <c r="E30" s="66">
        <f t="shared" si="4"/>
        <v>5743917.7985175345</v>
      </c>
      <c r="F30" s="66">
        <f t="shared" si="5"/>
        <v>25063562.33915497</v>
      </c>
      <c r="G30" s="66">
        <f t="shared" si="6"/>
        <v>29074573.203934617</v>
      </c>
      <c r="H30" s="66">
        <f t="shared" si="7"/>
        <v>13263387.493840426</v>
      </c>
      <c r="I30" s="66">
        <f t="shared" si="8"/>
        <v>80004181.2302531</v>
      </c>
      <c r="J30" s="35"/>
      <c r="K30" s="15">
        <v>13</v>
      </c>
      <c r="L30" s="66">
        <f t="shared" si="9"/>
        <v>616136.54112242325</v>
      </c>
      <c r="M30" s="66">
        <f t="shared" si="10"/>
        <v>162801.24844529759</v>
      </c>
      <c r="N30" s="66">
        <f t="shared" si="11"/>
        <v>553826.22704109992</v>
      </c>
      <c r="O30" s="66">
        <f t="shared" si="12"/>
        <v>1155963.4569516536</v>
      </c>
      <c r="P30" s="66">
        <f t="shared" si="13"/>
        <v>4064361.460403509</v>
      </c>
      <c r="Q30" s="66">
        <f t="shared" si="14"/>
        <v>2364917.4376406157</v>
      </c>
      <c r="R30" s="66">
        <f t="shared" si="15"/>
        <v>868584.6533414505</v>
      </c>
      <c r="S30" s="66">
        <f t="shared" si="16"/>
        <v>9786591.0249460489</v>
      </c>
      <c r="T30" s="35"/>
      <c r="V30" s="15">
        <v>13</v>
      </c>
      <c r="W30" s="66">
        <f t="shared" si="33"/>
        <v>7785246.5608598469</v>
      </c>
      <c r="X30" s="66">
        <f t="shared" si="34"/>
        <v>1843360.4668672355</v>
      </c>
      <c r="Y30" s="66">
        <f t="shared" si="35"/>
        <v>4994553.1315245712</v>
      </c>
      <c r="Z30" s="66">
        <f t="shared" si="36"/>
        <v>12246305.454702843</v>
      </c>
      <c r="AA30" s="66">
        <f t="shared" si="37"/>
        <v>53436704.868495218</v>
      </c>
      <c r="AB30" s="66">
        <f t="shared" si="38"/>
        <v>61988370.465955704</v>
      </c>
      <c r="AC30" s="66">
        <f t="shared" si="39"/>
        <v>28278171.852594566</v>
      </c>
      <c r="AD30" s="66">
        <f t="shared" si="24"/>
        <v>170572712.80099997</v>
      </c>
      <c r="AE30" s="35"/>
      <c r="AF30" s="15">
        <v>13</v>
      </c>
      <c r="AG30" s="66">
        <f t="shared" si="40"/>
        <v>1313632.3584464754</v>
      </c>
      <c r="AH30" s="66">
        <f t="shared" si="41"/>
        <v>347099.99112150323</v>
      </c>
      <c r="AI30" s="66">
        <f t="shared" si="42"/>
        <v>1180783.8104719028</v>
      </c>
      <c r="AJ30" s="66">
        <f t="shared" si="43"/>
        <v>2464568.9727589469</v>
      </c>
      <c r="AK30" s="66">
        <f t="shared" si="44"/>
        <v>8665411.6002965234</v>
      </c>
      <c r="AL30" s="66">
        <f t="shared" si="45"/>
        <v>5042116.257996399</v>
      </c>
      <c r="AM30" s="66">
        <f t="shared" si="46"/>
        <v>1851863.7193644915</v>
      </c>
      <c r="AN30" s="66">
        <f t="shared" si="32"/>
        <v>20865476.710456241</v>
      </c>
      <c r="AO30" s="35"/>
    </row>
    <row r="31" spans="1:41" ht="14.45" x14ac:dyDescent="0.3">
      <c r="A31" s="15">
        <v>14</v>
      </c>
      <c r="B31" s="66">
        <f t="shared" si="1"/>
        <v>5900104.0822218601</v>
      </c>
      <c r="C31" s="66">
        <f t="shared" si="2"/>
        <v>2622212.7807801426</v>
      </c>
      <c r="D31" s="66">
        <f t="shared" si="3"/>
        <v>3053303.040860598</v>
      </c>
      <c r="E31" s="66">
        <f t="shared" si="4"/>
        <v>12254736.24620872</v>
      </c>
      <c r="F31" s="66">
        <f t="shared" si="5"/>
        <v>28408984.922541309</v>
      </c>
      <c r="G31" s="66">
        <f t="shared" si="6"/>
        <v>26931203.225886133</v>
      </c>
      <c r="H31" s="66">
        <f t="shared" si="7"/>
        <v>20703927.756446831</v>
      </c>
      <c r="I31" s="66">
        <f t="shared" si="8"/>
        <v>99874472.054945588</v>
      </c>
      <c r="J31" s="35"/>
      <c r="K31" s="15">
        <v>14</v>
      </c>
      <c r="L31" s="66">
        <f t="shared" si="9"/>
        <v>962322.1591155628</v>
      </c>
      <c r="M31" s="66">
        <f t="shared" si="10"/>
        <v>569750.76835093379</v>
      </c>
      <c r="N31" s="66">
        <f t="shared" si="11"/>
        <v>754618.62226592726</v>
      </c>
      <c r="O31" s="66">
        <f t="shared" si="12"/>
        <v>2468302.5012033298</v>
      </c>
      <c r="P31" s="66">
        <f t="shared" si="13"/>
        <v>4629233.8740687817</v>
      </c>
      <c r="Q31" s="66">
        <f t="shared" si="14"/>
        <v>1949681.2573036393</v>
      </c>
      <c r="R31" s="66">
        <f t="shared" si="15"/>
        <v>1280655.3251410408</v>
      </c>
      <c r="S31" s="66">
        <f t="shared" si="16"/>
        <v>12614564.507449215</v>
      </c>
      <c r="T31" s="35"/>
      <c r="V31" s="15">
        <v>14</v>
      </c>
      <c r="W31" s="66">
        <f t="shared" si="33"/>
        <v>12579302.026932986</v>
      </c>
      <c r="X31" s="66">
        <f t="shared" si="34"/>
        <v>5590682.1453725137</v>
      </c>
      <c r="Y31" s="66">
        <f t="shared" si="35"/>
        <v>6509787.0470574033</v>
      </c>
      <c r="Z31" s="66">
        <f t="shared" si="36"/>
        <v>26127679.50415723</v>
      </c>
      <c r="AA31" s="66">
        <f t="shared" si="37"/>
        <v>60569304.649394594</v>
      </c>
      <c r="AB31" s="66">
        <f t="shared" si="38"/>
        <v>57418603.910383478</v>
      </c>
      <c r="AC31" s="66">
        <f t="shared" si="39"/>
        <v>44141756.952543274</v>
      </c>
      <c r="AD31" s="66">
        <f t="shared" si="24"/>
        <v>212937116.23584145</v>
      </c>
      <c r="AE31" s="35"/>
      <c r="AF31" s="15">
        <v>14</v>
      </c>
      <c r="AG31" s="66">
        <f t="shared" si="40"/>
        <v>2051716.5321202774</v>
      </c>
      <c r="AH31" s="66">
        <f t="shared" si="41"/>
        <v>1214735.6886057772</v>
      </c>
      <c r="AI31" s="66">
        <f t="shared" si="42"/>
        <v>1608882.7302613354</v>
      </c>
      <c r="AJ31" s="66">
        <f t="shared" si="43"/>
        <v>5262538.1220017709</v>
      </c>
      <c r="AK31" s="66">
        <f t="shared" si="44"/>
        <v>9869746.4050991908</v>
      </c>
      <c r="AL31" s="66">
        <f t="shared" si="45"/>
        <v>4156813.0070405584</v>
      </c>
      <c r="AM31" s="66">
        <f t="shared" si="46"/>
        <v>2730417.9558274182</v>
      </c>
      <c r="AN31" s="66">
        <f t="shared" si="32"/>
        <v>26894850.440956328</v>
      </c>
      <c r="AO31" s="35"/>
    </row>
    <row r="32" spans="1:41" ht="14.45" x14ac:dyDescent="0.3">
      <c r="A32" s="15">
        <v>15</v>
      </c>
      <c r="B32" s="66">
        <f t="shared" si="1"/>
        <v>8518140.1185850613</v>
      </c>
      <c r="C32" s="66">
        <f t="shared" si="2"/>
        <v>5760278.5399528714</v>
      </c>
      <c r="D32" s="66">
        <f t="shared" si="3"/>
        <v>7508263.9591117334</v>
      </c>
      <c r="E32" s="66">
        <f t="shared" si="4"/>
        <v>17879812.530666512</v>
      </c>
      <c r="F32" s="66">
        <f t="shared" si="5"/>
        <v>39090240.106614567</v>
      </c>
      <c r="G32" s="66">
        <f t="shared" si="6"/>
        <v>23363664.005478431</v>
      </c>
      <c r="H32" s="66">
        <f t="shared" si="7"/>
        <v>30980836.124778882</v>
      </c>
      <c r="I32" s="66">
        <f t="shared" si="8"/>
        <v>133101235.38518804</v>
      </c>
      <c r="J32" s="30" t="s">
        <v>29</v>
      </c>
      <c r="K32" s="15">
        <v>15</v>
      </c>
      <c r="L32" s="66">
        <f t="shared" si="9"/>
        <v>1490282.3411889148</v>
      </c>
      <c r="M32" s="66">
        <f t="shared" si="10"/>
        <v>1245663.2813863386</v>
      </c>
      <c r="N32" s="66">
        <f t="shared" si="11"/>
        <v>1410425.2840857371</v>
      </c>
      <c r="O32" s="66">
        <f t="shared" si="12"/>
        <v>2974348.2934831884</v>
      </c>
      <c r="P32" s="66">
        <f t="shared" si="13"/>
        <v>6318551.179551051</v>
      </c>
      <c r="Q32" s="66">
        <f t="shared" si="14"/>
        <v>1874745.6197944386</v>
      </c>
      <c r="R32" s="66">
        <f t="shared" si="15"/>
        <v>2065389.0749852587</v>
      </c>
      <c r="S32" s="66">
        <f t="shared" si="16"/>
        <v>17379405.074474927</v>
      </c>
      <c r="T32" s="33" t="s">
        <v>29</v>
      </c>
      <c r="V32" s="15">
        <v>15</v>
      </c>
      <c r="W32" s="66">
        <f t="shared" si="33"/>
        <v>18161079.154906176</v>
      </c>
      <c r="X32" s="66">
        <f t="shared" si="34"/>
        <v>12281187.332214089</v>
      </c>
      <c r="Y32" s="66">
        <f t="shared" si="35"/>
        <v>16007975.236266449</v>
      </c>
      <c r="Z32" s="66">
        <f t="shared" si="36"/>
        <v>38120609.208557621</v>
      </c>
      <c r="AA32" s="66">
        <f t="shared" si="37"/>
        <v>83342247.823746681</v>
      </c>
      <c r="AB32" s="66">
        <f t="shared" si="38"/>
        <v>49812440.91375754</v>
      </c>
      <c r="AC32" s="66">
        <f t="shared" si="39"/>
        <v>66052613.518260173</v>
      </c>
      <c r="AD32" s="66">
        <f t="shared" si="24"/>
        <v>283778153.18770874</v>
      </c>
      <c r="AE32" s="33" t="s">
        <v>29</v>
      </c>
      <c r="AF32" s="15">
        <v>15</v>
      </c>
      <c r="AG32" s="66">
        <f t="shared" si="40"/>
        <v>3177352.7066594595</v>
      </c>
      <c r="AH32" s="66">
        <f t="shared" si="41"/>
        <v>2655813.2571990695</v>
      </c>
      <c r="AI32" s="66">
        <f t="shared" si="42"/>
        <v>3007093.6694825059</v>
      </c>
      <c r="AJ32" s="66">
        <f t="shared" si="43"/>
        <v>6341451.7770554181</v>
      </c>
      <c r="AK32" s="66">
        <f t="shared" si="44"/>
        <v>13471451.105363326</v>
      </c>
      <c r="AL32" s="66">
        <f t="shared" si="45"/>
        <v>3997046.6700958675</v>
      </c>
      <c r="AM32" s="66">
        <f t="shared" si="46"/>
        <v>4403507.5678840121</v>
      </c>
      <c r="AN32" s="66">
        <f t="shared" si="32"/>
        <v>37053716.753739662</v>
      </c>
      <c r="AO32" s="33" t="s">
        <v>29</v>
      </c>
    </row>
    <row r="33" spans="1:41" ht="14.45" x14ac:dyDescent="0.3">
      <c r="A33" s="15">
        <v>16</v>
      </c>
      <c r="B33" s="66">
        <f t="shared" si="1"/>
        <v>17912681.014752917</v>
      </c>
      <c r="C33" s="66">
        <f t="shared" si="2"/>
        <v>12574251.89114424</v>
      </c>
      <c r="D33" s="66">
        <f t="shared" si="3"/>
        <v>10448763.547112428</v>
      </c>
      <c r="E33" s="66">
        <f t="shared" si="4"/>
        <v>20071525.488582857</v>
      </c>
      <c r="F33" s="66">
        <f t="shared" si="5"/>
        <v>39766844.356553264</v>
      </c>
      <c r="G33" s="66">
        <f t="shared" si="6"/>
        <v>28265215.499873929</v>
      </c>
      <c r="H33" s="66">
        <f t="shared" si="7"/>
        <v>39749985.907611497</v>
      </c>
      <c r="I33" s="66">
        <f t="shared" si="8"/>
        <v>168789267.70563114</v>
      </c>
      <c r="J33" s="80">
        <f>SUM(I32:I35)/3600</f>
        <v>180125.54987273284</v>
      </c>
      <c r="K33" s="15">
        <v>16</v>
      </c>
      <c r="L33" s="66">
        <f t="shared" si="9"/>
        <v>2954021.079625919</v>
      </c>
      <c r="M33" s="66">
        <f t="shared" si="10"/>
        <v>2247910.9526067916</v>
      </c>
      <c r="N33" s="66">
        <f t="shared" si="11"/>
        <v>1963174.3238594728</v>
      </c>
      <c r="O33" s="66">
        <f t="shared" si="12"/>
        <v>3508958.1793870032</v>
      </c>
      <c r="P33" s="66">
        <f t="shared" si="13"/>
        <v>5907873.0950280353</v>
      </c>
      <c r="Q33" s="66">
        <f t="shared" si="14"/>
        <v>2076628.0775417581</v>
      </c>
      <c r="R33" s="66">
        <f t="shared" si="15"/>
        <v>2677729.5935147051</v>
      </c>
      <c r="S33" s="66">
        <f t="shared" si="16"/>
        <v>21336295.301563688</v>
      </c>
      <c r="T33" s="80">
        <f>SUM(S32:S35)/3600</f>
        <v>21914.240831748335</v>
      </c>
      <c r="V33" s="15">
        <v>16</v>
      </c>
      <c r="W33" s="66">
        <f t="shared" si="33"/>
        <v>38190686.37715134</v>
      </c>
      <c r="X33" s="66">
        <f t="shared" si="34"/>
        <v>26808902.029042013</v>
      </c>
      <c r="Y33" s="66">
        <f t="shared" si="35"/>
        <v>22277259.966172989</v>
      </c>
      <c r="Z33" s="66">
        <f t="shared" si="36"/>
        <v>42793445.292423792</v>
      </c>
      <c r="AA33" s="66">
        <f t="shared" si="37"/>
        <v>84784800.20825991</v>
      </c>
      <c r="AB33" s="66">
        <f t="shared" si="38"/>
        <v>60262781.414419778</v>
      </c>
      <c r="AC33" s="66">
        <f t="shared" si="39"/>
        <v>84748857.194714919</v>
      </c>
      <c r="AD33" s="66">
        <f t="shared" si="24"/>
        <v>359866732.48218471</v>
      </c>
      <c r="AE33" s="80">
        <f>SUM(AD32:AD35)/3600</f>
        <v>384036.22428355739</v>
      </c>
      <c r="AF33" s="15">
        <v>16</v>
      </c>
      <c r="AG33" s="66">
        <f t="shared" si="40"/>
        <v>6298113.1920214472</v>
      </c>
      <c r="AH33" s="66">
        <f t="shared" si="41"/>
        <v>4792652.8767002486</v>
      </c>
      <c r="AI33" s="66">
        <f t="shared" si="42"/>
        <v>4185580.8655579658</v>
      </c>
      <c r="AJ33" s="66">
        <f t="shared" si="43"/>
        <v>7481265.4358740887</v>
      </c>
      <c r="AK33" s="66">
        <f t="shared" si="44"/>
        <v>12595865.93109096</v>
      </c>
      <c r="AL33" s="66">
        <f t="shared" si="45"/>
        <v>4427469.6549369637</v>
      </c>
      <c r="AM33" s="66">
        <f t="shared" si="46"/>
        <v>5709046.6259356681</v>
      </c>
      <c r="AN33" s="66">
        <f t="shared" si="32"/>
        <v>45489994.582117341</v>
      </c>
      <c r="AO33" s="80">
        <f>SUM(AN32:AN35)/3600</f>
        <v>46722.201892021418</v>
      </c>
    </row>
    <row r="34" spans="1:41" ht="14.45" x14ac:dyDescent="0.3">
      <c r="A34" s="15">
        <v>17</v>
      </c>
      <c r="B34" s="66">
        <f t="shared" si="1"/>
        <v>16978846.050590869</v>
      </c>
      <c r="C34" s="66">
        <f t="shared" si="2"/>
        <v>12972687.408954348</v>
      </c>
      <c r="D34" s="66">
        <f t="shared" si="3"/>
        <v>13489904.913158968</v>
      </c>
      <c r="E34" s="66">
        <f t="shared" si="4"/>
        <v>24325883.666696671</v>
      </c>
      <c r="F34" s="66">
        <f t="shared" si="5"/>
        <v>38419052.063561425</v>
      </c>
      <c r="G34" s="66">
        <f t="shared" si="6"/>
        <v>22674004.708739828</v>
      </c>
      <c r="H34" s="66">
        <f t="shared" si="7"/>
        <v>43326514.694450125</v>
      </c>
      <c r="I34" s="66">
        <f t="shared" si="8"/>
        <v>172186893.50615224</v>
      </c>
      <c r="J34" s="40">
        <f>J33/$J$42</f>
        <v>0.56261727986607823</v>
      </c>
      <c r="K34" s="15">
        <v>17</v>
      </c>
      <c r="L34" s="66">
        <f t="shared" si="9"/>
        <v>2106477.7830845285</v>
      </c>
      <c r="M34" s="66">
        <f t="shared" si="10"/>
        <v>1632034.9302458675</v>
      </c>
      <c r="N34" s="66">
        <f t="shared" si="11"/>
        <v>2165588.7730991119</v>
      </c>
      <c r="O34" s="66">
        <f t="shared" si="12"/>
        <v>3764813.6595630711</v>
      </c>
      <c r="P34" s="66">
        <f t="shared" si="13"/>
        <v>5665998.3515482601</v>
      </c>
      <c r="Q34" s="66">
        <f t="shared" si="14"/>
        <v>1636448.8153355264</v>
      </c>
      <c r="R34" s="66">
        <f t="shared" si="15"/>
        <v>3475792.9472352732</v>
      </c>
      <c r="S34" s="66">
        <f t="shared" si="16"/>
        <v>20447155.260111637</v>
      </c>
      <c r="T34" s="40">
        <f>T33/$T$42</f>
        <v>0.56996742252762145</v>
      </c>
      <c r="V34" s="15">
        <v>17</v>
      </c>
      <c r="W34" s="66">
        <f t="shared" si="33"/>
        <v>36199705.89717973</v>
      </c>
      <c r="X34" s="66">
        <f t="shared" si="34"/>
        <v>27658385.469833001</v>
      </c>
      <c r="Y34" s="66">
        <f t="shared" si="35"/>
        <v>28761117.745117929</v>
      </c>
      <c r="Z34" s="66">
        <f t="shared" si="36"/>
        <v>51863938.91549436</v>
      </c>
      <c r="AA34" s="66">
        <f t="shared" si="37"/>
        <v>81911243.049462751</v>
      </c>
      <c r="AB34" s="66">
        <f t="shared" si="38"/>
        <v>48342054.549642749</v>
      </c>
      <c r="AC34" s="66">
        <f t="shared" si="39"/>
        <v>92374186.373775929</v>
      </c>
      <c r="AD34" s="66">
        <f t="shared" si="24"/>
        <v>367110632.0005064</v>
      </c>
      <c r="AE34" s="40">
        <f>AE33/$AE$42</f>
        <v>0.53720735340671377</v>
      </c>
      <c r="AF34" s="15">
        <v>17</v>
      </c>
      <c r="AG34" s="66">
        <f t="shared" si="40"/>
        <v>4491110.6443508528</v>
      </c>
      <c r="AH34" s="66">
        <f t="shared" si="41"/>
        <v>3479575.9566221321</v>
      </c>
      <c r="AI34" s="66">
        <f t="shared" si="42"/>
        <v>4617138.0815184442</v>
      </c>
      <c r="AJ34" s="66">
        <f t="shared" si="43"/>
        <v>8026761.4670506613</v>
      </c>
      <c r="AK34" s="66">
        <f t="shared" si="44"/>
        <v>12080177.494324731</v>
      </c>
      <c r="AL34" s="66">
        <f t="shared" si="45"/>
        <v>3488986.5691945949</v>
      </c>
      <c r="AM34" s="66">
        <f t="shared" si="46"/>
        <v>7410555.5863161711</v>
      </c>
      <c r="AN34" s="66">
        <f t="shared" si="32"/>
        <v>43594305.799377583</v>
      </c>
      <c r="AO34" s="40">
        <f>AO33/$AO$42</f>
        <v>0.54065324378620561</v>
      </c>
    </row>
    <row r="35" spans="1:41" ht="14.45" x14ac:dyDescent="0.3">
      <c r="A35" s="15">
        <v>18</v>
      </c>
      <c r="B35" s="66">
        <f t="shared" si="1"/>
        <v>18913608.629913688</v>
      </c>
      <c r="C35" s="66">
        <f t="shared" si="2"/>
        <v>20795421.241620816</v>
      </c>
      <c r="D35" s="66">
        <f t="shared" si="3"/>
        <v>19215181.788892142</v>
      </c>
      <c r="E35" s="66">
        <f t="shared" si="4"/>
        <v>24409503.809078641</v>
      </c>
      <c r="F35" s="66">
        <f t="shared" si="5"/>
        <v>39511457.940598987</v>
      </c>
      <c r="G35" s="66">
        <f t="shared" si="6"/>
        <v>11109466.791031731</v>
      </c>
      <c r="H35" s="66">
        <f t="shared" si="7"/>
        <v>40419942.743730769</v>
      </c>
      <c r="I35" s="66">
        <f t="shared" si="8"/>
        <v>174374582.94486678</v>
      </c>
      <c r="J35" s="36"/>
      <c r="K35" s="15">
        <v>18</v>
      </c>
      <c r="L35" s="66">
        <f t="shared" si="9"/>
        <v>2462371.151630973</v>
      </c>
      <c r="M35" s="66">
        <f t="shared" si="10"/>
        <v>2530006.738594817</v>
      </c>
      <c r="N35" s="66">
        <f t="shared" si="11"/>
        <v>2706532.3055715952</v>
      </c>
      <c r="O35" s="66">
        <f t="shared" si="12"/>
        <v>3260144.972115444</v>
      </c>
      <c r="P35" s="66">
        <f t="shared" si="13"/>
        <v>4546680.812295015</v>
      </c>
      <c r="Q35" s="66">
        <f t="shared" si="14"/>
        <v>832516.24578922219</v>
      </c>
      <c r="R35" s="66">
        <f t="shared" si="15"/>
        <v>3390159.132146691</v>
      </c>
      <c r="S35" s="66">
        <f t="shared" si="16"/>
        <v>19728411.358143758</v>
      </c>
      <c r="T35" s="36"/>
      <c r="V35" s="15">
        <v>18</v>
      </c>
      <c r="W35" s="66">
        <f t="shared" si="33"/>
        <v>40324711.574459992</v>
      </c>
      <c r="X35" s="66">
        <f t="shared" si="34"/>
        <v>44336825.406838551</v>
      </c>
      <c r="Y35" s="66">
        <f t="shared" si="35"/>
        <v>40967679.86741554</v>
      </c>
      <c r="Z35" s="66">
        <f t="shared" si="36"/>
        <v>52042221.029148504</v>
      </c>
      <c r="AA35" s="66">
        <f t="shared" si="37"/>
        <v>84240304.244274303</v>
      </c>
      <c r="AB35" s="66">
        <f t="shared" si="38"/>
        <v>23685910.650908954</v>
      </c>
      <c r="AC35" s="66">
        <f t="shared" si="39"/>
        <v>86177236.977360904</v>
      </c>
      <c r="AD35" s="66">
        <f t="shared" si="24"/>
        <v>371774889.75040674</v>
      </c>
      <c r="AE35" s="36"/>
      <c r="AF35" s="15">
        <v>18</v>
      </c>
      <c r="AG35" s="66">
        <f t="shared" si="40"/>
        <v>5249892.2031064043</v>
      </c>
      <c r="AH35" s="66">
        <f t="shared" si="41"/>
        <v>5394094.4856984578</v>
      </c>
      <c r="AI35" s="66">
        <f t="shared" si="42"/>
        <v>5770455.3755287705</v>
      </c>
      <c r="AJ35" s="66">
        <f t="shared" si="43"/>
        <v>6950783.8648811635</v>
      </c>
      <c r="AK35" s="66">
        <f t="shared" si="44"/>
        <v>9693739.3579643201</v>
      </c>
      <c r="AL35" s="66">
        <f t="shared" si="45"/>
        <v>1774964.1620164912</v>
      </c>
      <c r="AM35" s="66">
        <f t="shared" si="46"/>
        <v>7227980.2268468942</v>
      </c>
      <c r="AN35" s="66">
        <f t="shared" si="32"/>
        <v>42061909.676042505</v>
      </c>
      <c r="AO35" s="36"/>
    </row>
    <row r="36" spans="1:41" ht="14.45" x14ac:dyDescent="0.3">
      <c r="A36" s="15">
        <v>19</v>
      </c>
      <c r="B36" s="66">
        <f t="shared" si="1"/>
        <v>6337083.7520808894</v>
      </c>
      <c r="C36" s="66">
        <f t="shared" si="2"/>
        <v>8388653.0774664041</v>
      </c>
      <c r="D36" s="66">
        <f t="shared" si="3"/>
        <v>4630865.6296173986</v>
      </c>
      <c r="E36" s="66">
        <f t="shared" si="4"/>
        <v>9133710.2023477778</v>
      </c>
      <c r="F36" s="66">
        <f t="shared" si="5"/>
        <v>25736634.827224001</v>
      </c>
      <c r="G36" s="66">
        <f t="shared" si="6"/>
        <v>2298595.3718586061</v>
      </c>
      <c r="H36" s="66">
        <f t="shared" si="7"/>
        <v>25188480.840807244</v>
      </c>
      <c r="I36" s="66">
        <f t="shared" si="8"/>
        <v>81714023.701402321</v>
      </c>
      <c r="J36" s="31" t="s">
        <v>38</v>
      </c>
      <c r="K36" s="15">
        <v>19</v>
      </c>
      <c r="L36" s="66">
        <f t="shared" si="9"/>
        <v>644128.09438191401</v>
      </c>
      <c r="M36" s="66">
        <f t="shared" si="10"/>
        <v>1155235.6911994978</v>
      </c>
      <c r="N36" s="66">
        <f t="shared" si="11"/>
        <v>596066.51209812809</v>
      </c>
      <c r="O36" s="66">
        <f t="shared" si="12"/>
        <v>1246292.737654529</v>
      </c>
      <c r="P36" s="66">
        <f t="shared" si="13"/>
        <v>2741494.5921002845</v>
      </c>
      <c r="Q36" s="66">
        <f t="shared" si="14"/>
        <v>134876.25735699257</v>
      </c>
      <c r="R36" s="66">
        <f t="shared" si="15"/>
        <v>1778685.4352278465</v>
      </c>
      <c r="S36" s="66">
        <f t="shared" si="16"/>
        <v>8296779.320019193</v>
      </c>
      <c r="T36" s="31" t="s">
        <v>38</v>
      </c>
      <c r="V36" s="15">
        <v>19</v>
      </c>
      <c r="W36" s="66">
        <f t="shared" si="33"/>
        <v>13510963.42988169</v>
      </c>
      <c r="X36" s="66">
        <f t="shared" si="34"/>
        <v>17885006.635488503</v>
      </c>
      <c r="Y36" s="66">
        <f t="shared" si="35"/>
        <v>9873225.3854009155</v>
      </c>
      <c r="Z36" s="66">
        <f t="shared" si="36"/>
        <v>19473503.799367636</v>
      </c>
      <c r="AA36" s="66">
        <f t="shared" si="37"/>
        <v>54871727.36902222</v>
      </c>
      <c r="AB36" s="66">
        <f t="shared" si="38"/>
        <v>4900714.46492704</v>
      </c>
      <c r="AC36" s="66">
        <f t="shared" si="39"/>
        <v>53703037.044866614</v>
      </c>
      <c r="AD36" s="66">
        <f t="shared" si="24"/>
        <v>174218178.12895462</v>
      </c>
      <c r="AE36" s="31" t="s">
        <v>38</v>
      </c>
      <c r="AF36" s="15">
        <v>19</v>
      </c>
      <c r="AG36" s="66">
        <f t="shared" si="40"/>
        <v>1373311.678971532</v>
      </c>
      <c r="AH36" s="66">
        <f t="shared" si="41"/>
        <v>2463017.3416226739</v>
      </c>
      <c r="AI36" s="66">
        <f t="shared" si="42"/>
        <v>1270842.1036869616</v>
      </c>
      <c r="AJ36" s="66">
        <f t="shared" si="43"/>
        <v>2657155.2878480158</v>
      </c>
      <c r="AK36" s="66">
        <f t="shared" si="44"/>
        <v>5844996.6303384546</v>
      </c>
      <c r="AL36" s="66">
        <f t="shared" si="45"/>
        <v>287562.58430563618</v>
      </c>
      <c r="AM36" s="66">
        <f t="shared" si="46"/>
        <v>3792241.7958789635</v>
      </c>
      <c r="AN36" s="66">
        <f t="shared" si="32"/>
        <v>17689127.422652237</v>
      </c>
      <c r="AO36" s="31" t="s">
        <v>38</v>
      </c>
    </row>
    <row r="37" spans="1:41" ht="14.45" x14ac:dyDescent="0.3">
      <c r="A37" s="15">
        <v>20</v>
      </c>
      <c r="B37" s="66">
        <f t="shared" si="1"/>
        <v>25905.275191717268</v>
      </c>
      <c r="C37" s="66">
        <f t="shared" si="2"/>
        <v>256619.44648705347</v>
      </c>
      <c r="D37" s="66">
        <f t="shared" si="3"/>
        <v>0</v>
      </c>
      <c r="E37" s="66">
        <f t="shared" si="4"/>
        <v>1921296.0776951876</v>
      </c>
      <c r="F37" s="66">
        <f t="shared" si="5"/>
        <v>13934931.717121251</v>
      </c>
      <c r="G37" s="66">
        <f t="shared" si="6"/>
        <v>1444969.1397957648</v>
      </c>
      <c r="H37" s="66">
        <f t="shared" si="7"/>
        <v>12799302.61442535</v>
      </c>
      <c r="I37" s="66">
        <f t="shared" si="8"/>
        <v>30383024.270716324</v>
      </c>
      <c r="J37" s="81">
        <f>SUM(I36:I41,I18:I22)/3600</f>
        <v>41918.573403058872</v>
      </c>
      <c r="K37" s="15">
        <v>20</v>
      </c>
      <c r="L37" s="66">
        <f t="shared" si="9"/>
        <v>3021.3247784574905</v>
      </c>
      <c r="M37" s="66">
        <f t="shared" si="10"/>
        <v>38069.222963333217</v>
      </c>
      <c r="N37" s="66">
        <f t="shared" si="11"/>
        <v>0</v>
      </c>
      <c r="O37" s="66">
        <f t="shared" si="12"/>
        <v>223169.8433039813</v>
      </c>
      <c r="P37" s="66">
        <f t="shared" si="13"/>
        <v>1141960.1082261817</v>
      </c>
      <c r="Q37" s="66">
        <f t="shared" si="14"/>
        <v>69187.081693610788</v>
      </c>
      <c r="R37" s="66">
        <f t="shared" si="15"/>
        <v>1021514.6607716525</v>
      </c>
      <c r="S37" s="66">
        <f t="shared" si="16"/>
        <v>2496922.2417372172</v>
      </c>
      <c r="T37" s="81">
        <f>SUM(S36:S41,S18:S22)/3600</f>
        <v>4173.1920905191164</v>
      </c>
      <c r="V37" s="15">
        <v>20</v>
      </c>
      <c r="W37" s="66">
        <f t="shared" si="33"/>
        <v>55231.276632786059</v>
      </c>
      <c r="X37" s="66">
        <f t="shared" si="34"/>
        <v>547124.84362299216</v>
      </c>
      <c r="Y37" s="66">
        <f t="shared" si="35"/>
        <v>0</v>
      </c>
      <c r="Z37" s="66">
        <f t="shared" si="36"/>
        <v>4096294.4564510253</v>
      </c>
      <c r="AA37" s="66">
        <f t="shared" si="37"/>
        <v>29709936.020034548</v>
      </c>
      <c r="AB37" s="66">
        <f t="shared" si="38"/>
        <v>3080742.8099206514</v>
      </c>
      <c r="AC37" s="66">
        <f t="shared" si="39"/>
        <v>27288720.855978146</v>
      </c>
      <c r="AD37" s="66">
        <f t="shared" si="24"/>
        <v>64778050.262640148</v>
      </c>
      <c r="AE37" s="81">
        <f>SUM(AD36:AD41,AD18:AD22)/3600</f>
        <v>89679.171147754707</v>
      </c>
      <c r="AF37" s="15">
        <v>20</v>
      </c>
      <c r="AG37" s="66">
        <f t="shared" si="40"/>
        <v>6441.6078733581962</v>
      </c>
      <c r="AH37" s="66">
        <f t="shared" si="41"/>
        <v>81165.390798679466</v>
      </c>
      <c r="AI37" s="66">
        <f t="shared" si="42"/>
        <v>0</v>
      </c>
      <c r="AJ37" s="66">
        <f t="shared" si="43"/>
        <v>475808.70152495831</v>
      </c>
      <c r="AK37" s="66">
        <f t="shared" si="44"/>
        <v>2434713.1684288234</v>
      </c>
      <c r="AL37" s="66">
        <f t="shared" si="45"/>
        <v>147510.14301738713</v>
      </c>
      <c r="AM37" s="66">
        <f t="shared" si="46"/>
        <v>2177917.7559775491</v>
      </c>
      <c r="AN37" s="66">
        <f t="shared" si="32"/>
        <v>5323556.7676207554</v>
      </c>
      <c r="AO37" s="81">
        <f>SUM(AN36:AN41,AN18:AN22)/3600</f>
        <v>8996.7241675120385</v>
      </c>
    </row>
    <row r="38" spans="1:41" ht="14.45" x14ac:dyDescent="0.3">
      <c r="A38" s="15">
        <v>21</v>
      </c>
      <c r="B38" s="66">
        <f t="shared" si="1"/>
        <v>115555.04675788232</v>
      </c>
      <c r="C38" s="66">
        <f t="shared" si="2"/>
        <v>37536.386690209336</v>
      </c>
      <c r="D38" s="66">
        <f t="shared" si="3"/>
        <v>14399.499272896706</v>
      </c>
      <c r="E38" s="66">
        <f t="shared" si="4"/>
        <v>873810.53557064314</v>
      </c>
      <c r="F38" s="66">
        <f t="shared" si="5"/>
        <v>9090498.4304598607</v>
      </c>
      <c r="G38" s="66">
        <f t="shared" si="6"/>
        <v>95834.180099127974</v>
      </c>
      <c r="H38" s="66">
        <f t="shared" si="7"/>
        <v>10359299.552253414</v>
      </c>
      <c r="I38" s="66">
        <f t="shared" si="8"/>
        <v>20586933.631104033</v>
      </c>
      <c r="J38" s="41">
        <f>J37/$J$42</f>
        <v>0.13093152948351192</v>
      </c>
      <c r="K38" s="15">
        <v>21</v>
      </c>
      <c r="L38" s="66">
        <f t="shared" si="9"/>
        <v>11609.683197375989</v>
      </c>
      <c r="M38" s="66">
        <f t="shared" si="10"/>
        <v>4939.6752875395414</v>
      </c>
      <c r="N38" s="66">
        <f t="shared" si="11"/>
        <v>2028.4512019211015</v>
      </c>
      <c r="O38" s="66">
        <f t="shared" si="12"/>
        <v>119800.84312093</v>
      </c>
      <c r="P38" s="66">
        <f t="shared" si="13"/>
        <v>781456.1545368603</v>
      </c>
      <c r="Q38" s="66">
        <f t="shared" si="14"/>
        <v>7469.0249246311751</v>
      </c>
      <c r="R38" s="66">
        <f t="shared" si="15"/>
        <v>908985.43726278062</v>
      </c>
      <c r="S38" s="66">
        <f t="shared" si="16"/>
        <v>1836289.2695320388</v>
      </c>
      <c r="T38" s="41">
        <f>T37/$T$42</f>
        <v>0.10854054027278261</v>
      </c>
      <c r="V38" s="15">
        <v>21</v>
      </c>
      <c r="W38" s="66">
        <f t="shared" si="33"/>
        <v>246368.84598082682</v>
      </c>
      <c r="X38" s="66">
        <f t="shared" si="34"/>
        <v>80029.358566514755</v>
      </c>
      <c r="Y38" s="66">
        <f t="shared" si="35"/>
        <v>30700.416105567681</v>
      </c>
      <c r="Z38" s="66">
        <f t="shared" si="36"/>
        <v>1863005.5483902332</v>
      </c>
      <c r="AA38" s="66">
        <f t="shared" si="37"/>
        <v>19381374.25010512</v>
      </c>
      <c r="AB38" s="66">
        <f t="shared" si="38"/>
        <v>204323.02196208786</v>
      </c>
      <c r="AC38" s="66">
        <f t="shared" si="39"/>
        <v>22086518.481584854</v>
      </c>
      <c r="AD38" s="66">
        <f t="shared" si="24"/>
        <v>43892319.922695205</v>
      </c>
      <c r="AE38" s="41">
        <f>AE37/$AE$42</f>
        <v>0.12544730715928901</v>
      </c>
      <c r="AF38" s="15">
        <v>21</v>
      </c>
      <c r="AG38" s="66">
        <f t="shared" si="40"/>
        <v>24752.395778381804</v>
      </c>
      <c r="AH38" s="66">
        <f t="shared" si="41"/>
        <v>10531.622237677058</v>
      </c>
      <c r="AI38" s="66">
        <f t="shared" si="42"/>
        <v>4324.754268784317</v>
      </c>
      <c r="AJ38" s="66">
        <f t="shared" si="43"/>
        <v>255421.08540768074</v>
      </c>
      <c r="AK38" s="66">
        <f t="shared" si="44"/>
        <v>1666101.6232484733</v>
      </c>
      <c r="AL38" s="66">
        <f t="shared" si="45"/>
        <v>15924.315751773032</v>
      </c>
      <c r="AM38" s="66">
        <f t="shared" si="46"/>
        <v>1938000.1088228766</v>
      </c>
      <c r="AN38" s="66">
        <f t="shared" si="32"/>
        <v>3915055.9055156466</v>
      </c>
      <c r="AO38" s="41">
        <f>AO37/$AO$42</f>
        <v>0.10410699640946845</v>
      </c>
    </row>
    <row r="39" spans="1:41" ht="14.45" x14ac:dyDescent="0.3">
      <c r="A39" s="15">
        <v>22</v>
      </c>
      <c r="B39" s="66">
        <f t="shared" si="1"/>
        <v>57541.915002640264</v>
      </c>
      <c r="C39" s="66">
        <f t="shared" si="2"/>
        <v>28784.72281316929</v>
      </c>
      <c r="D39" s="66">
        <f t="shared" si="3"/>
        <v>371303.57677880221</v>
      </c>
      <c r="E39" s="66">
        <f t="shared" si="4"/>
        <v>908800.83487717086</v>
      </c>
      <c r="F39" s="66">
        <f t="shared" si="5"/>
        <v>6191384.6173849879</v>
      </c>
      <c r="G39" s="66">
        <f t="shared" si="6"/>
        <v>41418.914353176056</v>
      </c>
      <c r="H39" s="66">
        <f t="shared" si="7"/>
        <v>3019327.1781757544</v>
      </c>
      <c r="I39" s="66">
        <f t="shared" si="8"/>
        <v>10618561.759385701</v>
      </c>
      <c r="J39" s="37"/>
      <c r="K39" s="15">
        <v>22</v>
      </c>
      <c r="L39" s="66">
        <f t="shared" si="9"/>
        <v>7966.038306698355</v>
      </c>
      <c r="M39" s="66">
        <f t="shared" si="10"/>
        <v>4676.6405870299423</v>
      </c>
      <c r="N39" s="66">
        <f t="shared" si="11"/>
        <v>61840.07125656875</v>
      </c>
      <c r="O39" s="66">
        <f t="shared" si="12"/>
        <v>100607.30954909352</v>
      </c>
      <c r="P39" s="66">
        <f t="shared" si="13"/>
        <v>474649.5535312054</v>
      </c>
      <c r="Q39" s="66">
        <f t="shared" si="14"/>
        <v>3300.4303612365716</v>
      </c>
      <c r="R39" s="66">
        <f t="shared" si="15"/>
        <v>368530.02112801955</v>
      </c>
      <c r="S39" s="66">
        <f t="shared" si="16"/>
        <v>1021570.0647198521</v>
      </c>
      <c r="T39" s="37"/>
      <c r="V39" s="15">
        <v>22</v>
      </c>
      <c r="W39" s="66">
        <f t="shared" si="33"/>
        <v>122682.09474598554</v>
      </c>
      <c r="X39" s="66">
        <f t="shared" si="34"/>
        <v>61370.395671401136</v>
      </c>
      <c r="Y39" s="66">
        <f t="shared" si="35"/>
        <v>791636.85434887244</v>
      </c>
      <c r="Z39" s="66">
        <f t="shared" si="36"/>
        <v>1937606.5277722517</v>
      </c>
      <c r="AA39" s="66">
        <f t="shared" si="37"/>
        <v>13200325.957243692</v>
      </c>
      <c r="AB39" s="66">
        <f t="shared" si="38"/>
        <v>88307.091877617408</v>
      </c>
      <c r="AC39" s="66">
        <f t="shared" si="39"/>
        <v>6437348.8947159778</v>
      </c>
      <c r="AD39" s="66">
        <f t="shared" si="24"/>
        <v>22639277.816375799</v>
      </c>
      <c r="AE39" s="37"/>
      <c r="AF39" s="15">
        <v>22</v>
      </c>
      <c r="AG39" s="66">
        <f t="shared" si="40"/>
        <v>16983.971879414781</v>
      </c>
      <c r="AH39" s="66">
        <f t="shared" si="41"/>
        <v>9970.819767896206</v>
      </c>
      <c r="AI39" s="66">
        <f t="shared" si="42"/>
        <v>131845.96794612685</v>
      </c>
      <c r="AJ39" s="66">
        <f t="shared" si="43"/>
        <v>214499.56056683642</v>
      </c>
      <c r="AK39" s="66">
        <f t="shared" si="44"/>
        <v>1011975.3834189076</v>
      </c>
      <c r="AL39" s="66">
        <f t="shared" si="45"/>
        <v>7036.674227146832</v>
      </c>
      <c r="AM39" s="66">
        <f t="shared" si="46"/>
        <v>785723.50201923645</v>
      </c>
      <c r="AN39" s="66">
        <f t="shared" si="32"/>
        <v>2178035.879825565</v>
      </c>
      <c r="AO39" s="37"/>
    </row>
    <row r="40" spans="1:41" ht="14.45" x14ac:dyDescent="0.3">
      <c r="A40" s="15">
        <v>23</v>
      </c>
      <c r="B40" s="66">
        <f t="shared" si="1"/>
        <v>39877.631542572097</v>
      </c>
      <c r="C40" s="66">
        <f t="shared" si="2"/>
        <v>84943.857425171009</v>
      </c>
      <c r="D40" s="66">
        <f t="shared" si="3"/>
        <v>274745.8081020083</v>
      </c>
      <c r="E40" s="66">
        <f t="shared" si="4"/>
        <v>373591.03407185181</v>
      </c>
      <c r="F40" s="66">
        <f t="shared" si="5"/>
        <v>2074803.8078059149</v>
      </c>
      <c r="G40" s="66">
        <f t="shared" si="6"/>
        <v>3335.4614884746343</v>
      </c>
      <c r="H40" s="66">
        <f t="shared" si="7"/>
        <v>478995.61798497039</v>
      </c>
      <c r="I40" s="66">
        <f t="shared" si="8"/>
        <v>3330293.2184209633</v>
      </c>
      <c r="J40" s="37"/>
      <c r="K40" s="15">
        <v>23</v>
      </c>
      <c r="L40" s="66">
        <f t="shared" si="9"/>
        <v>7897.9570871230317</v>
      </c>
      <c r="M40" s="66">
        <f t="shared" si="10"/>
        <v>17267.007626889292</v>
      </c>
      <c r="N40" s="66">
        <f t="shared" si="11"/>
        <v>48757.020071341314</v>
      </c>
      <c r="O40" s="66">
        <f t="shared" si="12"/>
        <v>78636.222090456242</v>
      </c>
      <c r="P40" s="66">
        <f t="shared" si="13"/>
        <v>224103.43799446683</v>
      </c>
      <c r="Q40" s="66">
        <f t="shared" si="14"/>
        <v>336.07301361145937</v>
      </c>
      <c r="R40" s="66">
        <f t="shared" si="15"/>
        <v>58470.766625489501</v>
      </c>
      <c r="S40" s="66">
        <f t="shared" si="16"/>
        <v>435468.48450937768</v>
      </c>
      <c r="T40" s="37"/>
      <c r="V40" s="15">
        <v>23</v>
      </c>
      <c r="W40" s="66">
        <f t="shared" si="33"/>
        <v>85021.003748777803</v>
      </c>
      <c r="X40" s="66">
        <f t="shared" si="34"/>
        <v>181104.33697325079</v>
      </c>
      <c r="Y40" s="66">
        <f t="shared" si="35"/>
        <v>585771.107184847</v>
      </c>
      <c r="Z40" s="66">
        <f t="shared" si="36"/>
        <v>796513.82190096786</v>
      </c>
      <c r="AA40" s="66">
        <f t="shared" si="37"/>
        <v>4423580.2252479326</v>
      </c>
      <c r="AB40" s="66">
        <f t="shared" si="38"/>
        <v>7111.3622536173007</v>
      </c>
      <c r="AC40" s="66">
        <f t="shared" si="39"/>
        <v>1021241.3991756737</v>
      </c>
      <c r="AD40" s="66">
        <f t="shared" si="24"/>
        <v>7100343.2564850673</v>
      </c>
      <c r="AE40" s="37"/>
      <c r="AF40" s="15">
        <v>23</v>
      </c>
      <c r="AG40" s="66">
        <f t="shared" si="40"/>
        <v>16838.819486937424</v>
      </c>
      <c r="AH40" s="66">
        <f t="shared" si="41"/>
        <v>36814.08005910975</v>
      </c>
      <c r="AI40" s="66">
        <f t="shared" si="42"/>
        <v>103952.28166545644</v>
      </c>
      <c r="AJ40" s="66">
        <f t="shared" si="43"/>
        <v>167656.15896733812</v>
      </c>
      <c r="AK40" s="66">
        <f t="shared" si="44"/>
        <v>477799.16973004391</v>
      </c>
      <c r="AL40" s="66">
        <f t="shared" si="45"/>
        <v>716.52362100840992</v>
      </c>
      <c r="AM40" s="66">
        <f t="shared" si="46"/>
        <v>124662.45050568043</v>
      </c>
      <c r="AN40" s="66">
        <f t="shared" si="32"/>
        <v>928439.48403557448</v>
      </c>
      <c r="AO40" s="37"/>
    </row>
    <row r="41" spans="1:41" ht="14.45" x14ac:dyDescent="0.3">
      <c r="A41" s="15">
        <v>24</v>
      </c>
      <c r="B41" s="66">
        <f t="shared" si="1"/>
        <v>435426.0520632359</v>
      </c>
      <c r="C41" s="66">
        <f t="shared" si="2"/>
        <v>332137.53095475724</v>
      </c>
      <c r="D41" s="66">
        <f t="shared" si="3"/>
        <v>458416.40065373544</v>
      </c>
      <c r="E41" s="66">
        <f t="shared" si="4"/>
        <v>9952.9832867003752</v>
      </c>
      <c r="F41" s="66">
        <f t="shared" si="5"/>
        <v>1802649.3827329567</v>
      </c>
      <c r="G41" s="66">
        <f t="shared" si="6"/>
        <v>0</v>
      </c>
      <c r="H41" s="66">
        <f t="shared" si="7"/>
        <v>4909.8951323634037</v>
      </c>
      <c r="I41" s="66">
        <f t="shared" si="8"/>
        <v>3043492.2448237487</v>
      </c>
      <c r="J41" s="37"/>
      <c r="K41" s="15">
        <v>24</v>
      </c>
      <c r="L41" s="66">
        <f t="shared" si="9"/>
        <v>84680.696799812984</v>
      </c>
      <c r="M41" s="66">
        <f t="shared" si="10"/>
        <v>80215.983324582368</v>
      </c>
      <c r="N41" s="66">
        <f t="shared" si="11"/>
        <v>134414.02784853446</v>
      </c>
      <c r="O41" s="66">
        <f t="shared" si="12"/>
        <v>2070.689358960235</v>
      </c>
      <c r="P41" s="66">
        <f t="shared" si="13"/>
        <v>236263.24277673074</v>
      </c>
      <c r="Q41" s="66">
        <f t="shared" si="14"/>
        <v>0</v>
      </c>
      <c r="R41" s="66">
        <f t="shared" si="15"/>
        <v>593.39863198154194</v>
      </c>
      <c r="S41" s="66">
        <f t="shared" si="16"/>
        <v>538238.03874060232</v>
      </c>
      <c r="T41" s="37"/>
      <c r="V41" s="15">
        <v>24</v>
      </c>
      <c r="W41" s="66">
        <f t="shared" si="33"/>
        <v>928349.01604580332</v>
      </c>
      <c r="X41" s="66">
        <f t="shared" si="34"/>
        <v>708132.9851364796</v>
      </c>
      <c r="Y41" s="66">
        <f t="shared" si="35"/>
        <v>977365.53077065188</v>
      </c>
      <c r="Z41" s="66">
        <f t="shared" si="36"/>
        <v>21220.232912445805</v>
      </c>
      <c r="AA41" s="66">
        <f t="shared" si="37"/>
        <v>3843334.0697140428</v>
      </c>
      <c r="AB41" s="66">
        <f t="shared" si="38"/>
        <v>0</v>
      </c>
      <c r="AC41" s="66">
        <f t="shared" si="39"/>
        <v>10468.129532946925</v>
      </c>
      <c r="AD41" s="66">
        <f t="shared" si="24"/>
        <v>6488869.9641123703</v>
      </c>
      <c r="AE41" s="37"/>
      <c r="AF41" s="15">
        <v>24</v>
      </c>
      <c r="AG41" s="66">
        <f t="shared" si="40"/>
        <v>180543.26602571446</v>
      </c>
      <c r="AH41" s="66">
        <f t="shared" si="41"/>
        <v>171024.28492199574</v>
      </c>
      <c r="AI41" s="66">
        <f t="shared" si="42"/>
        <v>286577.08904798882</v>
      </c>
      <c r="AJ41" s="66">
        <f t="shared" si="43"/>
        <v>4414.8080249641907</v>
      </c>
      <c r="AK41" s="66">
        <f t="shared" si="44"/>
        <v>503724.45084593899</v>
      </c>
      <c r="AL41" s="66">
        <f t="shared" si="45"/>
        <v>0</v>
      </c>
      <c r="AM41" s="66">
        <f t="shared" si="46"/>
        <v>1265.1540566134686</v>
      </c>
      <c r="AN41" s="66">
        <f t="shared" si="32"/>
        <v>1147549.0529232158</v>
      </c>
      <c r="AO41" s="37"/>
    </row>
    <row r="42" spans="1:41" ht="14.45" x14ac:dyDescent="0.3">
      <c r="A42" s="53" t="s">
        <v>142</v>
      </c>
      <c r="B42" s="82">
        <f t="shared" ref="B42:H42" si="47">SUM(B18:B41)</f>
        <v>103835419.23438236</v>
      </c>
      <c r="C42" s="82">
        <f t="shared" si="47"/>
        <v>83302729.313396588</v>
      </c>
      <c r="D42" s="82">
        <f t="shared" si="47"/>
        <v>98117356.637706876</v>
      </c>
      <c r="E42" s="82">
        <f t="shared" si="47"/>
        <v>145720768.53971642</v>
      </c>
      <c r="F42" s="82">
        <f t="shared" si="47"/>
        <v>283122293.19841182</v>
      </c>
      <c r="G42" s="82">
        <f t="shared" si="47"/>
        <v>189603907.47298923</v>
      </c>
      <c r="H42" s="82">
        <f t="shared" si="47"/>
        <v>248860738.19471905</v>
      </c>
      <c r="I42" s="82">
        <f t="shared" si="8"/>
        <v>1152563212.5913222</v>
      </c>
      <c r="J42" s="83">
        <f>SUM(J37,J33,J28,J24)</f>
        <v>320156.44794203399</v>
      </c>
      <c r="K42" s="53" t="s">
        <v>142</v>
      </c>
      <c r="L42" s="82">
        <f t="shared" ref="L42:R42" si="48">SUM(L18:L41)</f>
        <v>14249494.163106378</v>
      </c>
      <c r="M42" s="82">
        <f t="shared" si="48"/>
        <v>12435282.671111438</v>
      </c>
      <c r="N42" s="82">
        <f t="shared" si="48"/>
        <v>16050638.073168743</v>
      </c>
      <c r="O42" s="82">
        <f t="shared" si="48"/>
        <v>22909541.990062632</v>
      </c>
      <c r="P42" s="82">
        <f t="shared" si="48"/>
        <v>39050194.908471316</v>
      </c>
      <c r="Q42" s="82">
        <f t="shared" si="48"/>
        <v>15032069.618308207</v>
      </c>
      <c r="R42" s="82">
        <f t="shared" si="48"/>
        <v>18686420.963325132</v>
      </c>
      <c r="S42" s="82">
        <f t="shared" si="16"/>
        <v>138413642.38755384</v>
      </c>
      <c r="T42" s="83">
        <f>SUM(T37,T33,T28,T24)</f>
        <v>38448.233996542738</v>
      </c>
      <c r="V42" s="53" t="s">
        <v>142</v>
      </c>
      <c r="W42" s="82">
        <f t="shared" ref="W42:AC42" si="49">SUM(W18:W41)</f>
        <v>242356461.85744029</v>
      </c>
      <c r="X42" s="82">
        <f t="shared" si="49"/>
        <v>194090625.38507149</v>
      </c>
      <c r="Y42" s="82">
        <f t="shared" si="49"/>
        <v>241463644.25006586</v>
      </c>
      <c r="Z42" s="82">
        <f t="shared" si="49"/>
        <v>334049269.35314816</v>
      </c>
      <c r="AA42" s="82">
        <f t="shared" si="49"/>
        <v>607135191.15484023</v>
      </c>
      <c r="AB42" s="82">
        <f t="shared" si="49"/>
        <v>421316270.58785504</v>
      </c>
      <c r="AC42" s="82">
        <f t="shared" si="49"/>
        <v>533139324.93050599</v>
      </c>
      <c r="AD42" s="82">
        <f t="shared" si="24"/>
        <v>2573550787.5189271</v>
      </c>
      <c r="AE42" s="83">
        <f>SUM(AE37,AE33,AE28,AE24)</f>
        <v>714875.21875525743</v>
      </c>
      <c r="AF42" s="53" t="s">
        <v>142</v>
      </c>
      <c r="AG42" s="82">
        <f t="shared" ref="AG42:AM42" si="50">SUM(AG18:AG41)</f>
        <v>32772463.918504611</v>
      </c>
      <c r="AH42" s="82">
        <f t="shared" si="50"/>
        <v>28944253.042375065</v>
      </c>
      <c r="AI42" s="82">
        <f t="shared" si="50"/>
        <v>39239349.160726644</v>
      </c>
      <c r="AJ42" s="82">
        <f t="shared" si="50"/>
        <v>52158428.104700916</v>
      </c>
      <c r="AK42" s="82">
        <f t="shared" si="50"/>
        <v>83907551.428057745</v>
      </c>
      <c r="AL42" s="82">
        <f t="shared" si="50"/>
        <v>33850865.703357011</v>
      </c>
      <c r="AM42" s="82">
        <f t="shared" si="50"/>
        <v>40232087.53837195</v>
      </c>
      <c r="AN42" s="82">
        <f t="shared" si="32"/>
        <v>311104998.89609396</v>
      </c>
      <c r="AO42" s="83">
        <f>SUM(AO37,AO33,AO28,AO24)</f>
        <v>86418.055248914985</v>
      </c>
    </row>
    <row r="43" spans="1:41" ht="14.45" x14ac:dyDescent="0.3">
      <c r="A43" s="53" t="s">
        <v>14</v>
      </c>
      <c r="B43" s="82">
        <f t="shared" ref="B43:H43" si="51">B42/3600</f>
        <v>28843.172009550657</v>
      </c>
      <c r="C43" s="82">
        <f t="shared" si="51"/>
        <v>23139.647031499051</v>
      </c>
      <c r="D43" s="82">
        <f t="shared" si="51"/>
        <v>27254.821288251911</v>
      </c>
      <c r="E43" s="82">
        <f t="shared" si="51"/>
        <v>40477.991261032337</v>
      </c>
      <c r="F43" s="82">
        <f t="shared" si="51"/>
        <v>78645.081444003285</v>
      </c>
      <c r="G43" s="82">
        <f t="shared" si="51"/>
        <v>52667.752075830344</v>
      </c>
      <c r="H43" s="82">
        <f t="shared" si="51"/>
        <v>69127.982831866408</v>
      </c>
      <c r="I43" s="82">
        <f t="shared" si="8"/>
        <v>320156.44794203399</v>
      </c>
      <c r="J43" s="84">
        <f>SUM(J38,J34,J29,J25)</f>
        <v>1</v>
      </c>
      <c r="K43" s="53" t="s">
        <v>14</v>
      </c>
      <c r="L43" s="82">
        <f t="shared" ref="L43:R43" si="52">L42/3600</f>
        <v>3958.1928230851049</v>
      </c>
      <c r="M43" s="82">
        <f t="shared" si="52"/>
        <v>3454.2451864198442</v>
      </c>
      <c r="N43" s="82">
        <f t="shared" si="52"/>
        <v>4458.5105758802065</v>
      </c>
      <c r="O43" s="82">
        <f t="shared" si="52"/>
        <v>6363.7616639062862</v>
      </c>
      <c r="P43" s="82">
        <f t="shared" si="52"/>
        <v>10847.276363464254</v>
      </c>
      <c r="Q43" s="82">
        <f t="shared" si="52"/>
        <v>4175.5748939745017</v>
      </c>
      <c r="R43" s="82">
        <f t="shared" si="52"/>
        <v>5190.6724898125367</v>
      </c>
      <c r="S43" s="82">
        <f t="shared" si="16"/>
        <v>38448.233996542738</v>
      </c>
      <c r="T43" s="84">
        <f>SUM(T38,T34,T29,T25)</f>
        <v>0.99999999999999989</v>
      </c>
      <c r="V43" s="53" t="s">
        <v>14</v>
      </c>
      <c r="W43" s="82">
        <f t="shared" ref="W43:AC43" si="53">W42/3600</f>
        <v>67321.239404844528</v>
      </c>
      <c r="X43" s="82">
        <f t="shared" si="53"/>
        <v>53914.062606964304</v>
      </c>
      <c r="Y43" s="82">
        <f t="shared" si="53"/>
        <v>67073.234513907184</v>
      </c>
      <c r="Z43" s="82">
        <f t="shared" si="53"/>
        <v>92791.463709207819</v>
      </c>
      <c r="AA43" s="82">
        <f t="shared" si="53"/>
        <v>168648.66420967784</v>
      </c>
      <c r="AB43" s="82">
        <f t="shared" si="53"/>
        <v>117032.2973855153</v>
      </c>
      <c r="AC43" s="82">
        <f t="shared" si="53"/>
        <v>148094.25692514057</v>
      </c>
      <c r="AD43" s="82">
        <f t="shared" si="24"/>
        <v>714875.21875525755</v>
      </c>
      <c r="AE43" s="84">
        <f>SUM(AE38,AE34,AE29,AE25)</f>
        <v>1</v>
      </c>
      <c r="AF43" s="53" t="s">
        <v>14</v>
      </c>
      <c r="AG43" s="82">
        <f t="shared" ref="AG43:AM43" si="54">AG42/3600</f>
        <v>9103.4621995846137</v>
      </c>
      <c r="AH43" s="82">
        <f t="shared" si="54"/>
        <v>8040.0702895486293</v>
      </c>
      <c r="AI43" s="82">
        <f t="shared" si="54"/>
        <v>10899.819211312957</v>
      </c>
      <c r="AJ43" s="82">
        <f t="shared" si="54"/>
        <v>14488.452251305809</v>
      </c>
      <c r="AK43" s="82">
        <f t="shared" si="54"/>
        <v>23307.653174460484</v>
      </c>
      <c r="AL43" s="82">
        <f t="shared" si="54"/>
        <v>9403.0182509325023</v>
      </c>
      <c r="AM43" s="82">
        <f t="shared" si="54"/>
        <v>11175.579871769985</v>
      </c>
      <c r="AN43" s="82">
        <f t="shared" si="32"/>
        <v>86418.05524891497</v>
      </c>
      <c r="AO43" s="84">
        <f>SUM(AO38,AO34,AO29,AO25)</f>
        <v>1</v>
      </c>
    </row>
    <row r="44" spans="1:41" ht="14.45" x14ac:dyDescent="0.3">
      <c r="A44" s="23"/>
      <c r="B44" s="77"/>
      <c r="C44" s="77"/>
      <c r="D44" s="77"/>
      <c r="E44" s="77"/>
      <c r="F44" s="77"/>
      <c r="G44" s="77"/>
      <c r="H44" s="77"/>
      <c r="I44" s="77"/>
      <c r="J44" s="78"/>
      <c r="K44" s="23"/>
      <c r="L44" s="77"/>
      <c r="M44" s="77"/>
      <c r="N44" s="77"/>
      <c r="O44" s="77"/>
      <c r="P44" s="77"/>
      <c r="Q44" s="77"/>
      <c r="R44" s="77"/>
      <c r="S44" s="77"/>
      <c r="T44" s="78"/>
      <c r="U44" s="23"/>
    </row>
    <row r="45" spans="1:41" ht="14.45" x14ac:dyDescent="0.3">
      <c r="B45" s="42"/>
      <c r="I45" s="45"/>
    </row>
    <row r="46" spans="1:41" x14ac:dyDescent="0.25">
      <c r="K46" s="201" t="s">
        <v>100</v>
      </c>
      <c r="L46" s="201"/>
      <c r="M46" s="201"/>
      <c r="N46" s="201"/>
      <c r="O46" s="201"/>
      <c r="P46" s="201"/>
      <c r="Q46" s="201"/>
      <c r="R46" s="201"/>
      <c r="T46" s="201" t="s">
        <v>98</v>
      </c>
      <c r="U46" s="201"/>
      <c r="V46" s="201"/>
      <c r="W46" s="201"/>
      <c r="X46" s="201"/>
      <c r="Y46" s="201"/>
      <c r="Z46" s="201"/>
      <c r="AA46" s="201"/>
      <c r="AB46" s="201"/>
      <c r="AD46" s="201" t="s">
        <v>99</v>
      </c>
      <c r="AE46" s="201"/>
      <c r="AF46" s="201"/>
      <c r="AG46" s="201"/>
      <c r="AH46" s="201"/>
      <c r="AI46" s="201"/>
      <c r="AJ46" s="201"/>
      <c r="AK46" s="201"/>
      <c r="AL46" s="201"/>
    </row>
    <row r="47" spans="1:41" x14ac:dyDescent="0.25">
      <c r="A47" s="210">
        <v>5632</v>
      </c>
      <c r="B47" s="201" t="s">
        <v>143</v>
      </c>
      <c r="C47" s="201"/>
      <c r="D47" s="201"/>
      <c r="E47" s="201"/>
      <c r="F47" s="201"/>
      <c r="G47" s="201"/>
      <c r="H47" s="201"/>
      <c r="I47" s="201"/>
      <c r="K47" s="201" t="s">
        <v>101</v>
      </c>
      <c r="L47" s="201"/>
      <c r="M47" s="201"/>
      <c r="N47" s="201"/>
      <c r="O47" s="201"/>
      <c r="P47" s="201"/>
      <c r="Q47" s="201"/>
      <c r="R47" s="201"/>
      <c r="T47" s="201" t="s">
        <v>103</v>
      </c>
      <c r="U47" s="201"/>
      <c r="V47" s="201"/>
      <c r="W47" s="201"/>
      <c r="X47" s="201"/>
      <c r="Y47" s="201"/>
      <c r="Z47" s="201"/>
      <c r="AA47" s="201"/>
      <c r="AB47" s="201"/>
      <c r="AD47" s="201" t="s">
        <v>104</v>
      </c>
      <c r="AE47" s="201"/>
      <c r="AF47" s="201"/>
      <c r="AG47" s="201"/>
      <c r="AH47" s="201"/>
      <c r="AI47" s="201"/>
      <c r="AJ47" s="201"/>
      <c r="AK47" s="201"/>
      <c r="AL47" s="201"/>
    </row>
    <row r="48" spans="1:41" x14ac:dyDescent="0.25">
      <c r="A48" s="210"/>
      <c r="B48" s="51" t="s">
        <v>48</v>
      </c>
      <c r="C48" s="51" t="s">
        <v>7</v>
      </c>
      <c r="D48" s="51" t="s">
        <v>8</v>
      </c>
      <c r="E48" s="51" t="s">
        <v>2</v>
      </c>
      <c r="F48" s="51" t="s">
        <v>3</v>
      </c>
      <c r="G48" s="51" t="s">
        <v>4</v>
      </c>
      <c r="H48" s="51" t="s">
        <v>5</v>
      </c>
      <c r="I48" s="51" t="s">
        <v>6</v>
      </c>
      <c r="K48" s="51" t="s">
        <v>48</v>
      </c>
      <c r="L48" s="51" t="s">
        <v>7</v>
      </c>
      <c r="M48" s="51" t="s">
        <v>8</v>
      </c>
      <c r="N48" s="51" t="s">
        <v>2</v>
      </c>
      <c r="O48" s="51" t="s">
        <v>3</v>
      </c>
      <c r="P48" s="51" t="s">
        <v>4</v>
      </c>
      <c r="Q48" s="51" t="s">
        <v>5</v>
      </c>
      <c r="R48" s="51" t="s">
        <v>6</v>
      </c>
      <c r="T48" s="16" t="s">
        <v>48</v>
      </c>
      <c r="U48" s="16" t="s">
        <v>7</v>
      </c>
      <c r="V48" s="16" t="s">
        <v>8</v>
      </c>
      <c r="W48" s="16" t="s">
        <v>2</v>
      </c>
      <c r="X48" s="16" t="s">
        <v>3</v>
      </c>
      <c r="Y48" s="16" t="s">
        <v>4</v>
      </c>
      <c r="Z48" s="16" t="s">
        <v>5</v>
      </c>
      <c r="AA48" s="16" t="s">
        <v>6</v>
      </c>
      <c r="AB48" s="16" t="s">
        <v>30</v>
      </c>
      <c r="AD48" s="16" t="s">
        <v>48</v>
      </c>
      <c r="AE48" s="16" t="s">
        <v>7</v>
      </c>
      <c r="AF48" s="16" t="s">
        <v>8</v>
      </c>
      <c r="AG48" s="16" t="s">
        <v>2</v>
      </c>
      <c r="AH48" s="16" t="s">
        <v>3</v>
      </c>
      <c r="AI48" s="16" t="s">
        <v>4</v>
      </c>
      <c r="AJ48" s="16" t="s">
        <v>5</v>
      </c>
      <c r="AK48" s="16" t="s">
        <v>6</v>
      </c>
      <c r="AL48" s="16" t="s">
        <v>30</v>
      </c>
    </row>
    <row r="49" spans="1:38" x14ac:dyDescent="0.25">
      <c r="A49" s="210"/>
      <c r="B49" s="52">
        <v>0</v>
      </c>
      <c r="C49" s="86">
        <v>85.731372311770286</v>
      </c>
      <c r="D49" s="86">
        <v>90.122390533219431</v>
      </c>
      <c r="E49" s="86">
        <v>88.9685025309482</v>
      </c>
      <c r="F49" s="86">
        <v>89.126625718973429</v>
      </c>
      <c r="G49" s="86">
        <v>89.57843073447232</v>
      </c>
      <c r="H49" s="86">
        <v>98.171384191733509</v>
      </c>
      <c r="I49" s="86">
        <v>82.427385579150041</v>
      </c>
      <c r="K49" s="52">
        <v>0</v>
      </c>
      <c r="L49" s="85">
        <f t="shared" ref="L49:L72" si="55">IF(C49-$C$7&gt;0,C49-$C$7,0)</f>
        <v>0</v>
      </c>
      <c r="M49" s="85">
        <f t="shared" ref="M49:M72" si="56">IF(D49-$C$7&gt;0,D49-$C$7,0)</f>
        <v>0</v>
      </c>
      <c r="N49" s="85">
        <f t="shared" ref="N49:N72" si="57">IF(E49-$C$7&gt;0,E49-$C$7,0)</f>
        <v>0</v>
      </c>
      <c r="O49" s="85">
        <f t="shared" ref="O49:O72" si="58">IF(F49-$C$7&gt;0,F49-$C$7,0)</f>
        <v>0</v>
      </c>
      <c r="P49" s="85">
        <f t="shared" ref="P49:P72" si="59">IF(G49-$C$7&gt;0,G49-$C$7,0)</f>
        <v>0</v>
      </c>
      <c r="Q49" s="85">
        <f t="shared" ref="Q49:Q72" si="60">IF(H49-$C$7&gt;0,H49-$C$7,0)</f>
        <v>5.0040387371880541</v>
      </c>
      <c r="R49" s="85">
        <f t="shared" ref="R49:R72" si="61">IF(I49-$C$7&gt;0,I49-$C$7,0)</f>
        <v>0</v>
      </c>
      <c r="T49" s="52">
        <v>0</v>
      </c>
      <c r="U49" s="87">
        <f>Annual_Days*L49*T_2!J7*I91_AADT_2014</f>
        <v>0</v>
      </c>
      <c r="V49" s="87">
        <f>Annual_Days*M49*T_2!K7*I91_AADT_2014</f>
        <v>0</v>
      </c>
      <c r="W49" s="87">
        <f>Annual_Days*N49*T_2!L7*I91_AADT_2014</f>
        <v>0</v>
      </c>
      <c r="X49" s="87">
        <f>Annual_Days*O49*T_2!M7*I91_AADT_2014</f>
        <v>0</v>
      </c>
      <c r="Y49" s="87">
        <f>Annual_Days*P49*T_2!N7*I91_AADT_2014</f>
        <v>0</v>
      </c>
      <c r="Z49" s="87">
        <f>Annual_Days*Q49*T_2!O7*I91_AADT_2014</f>
        <v>296890.31392194174</v>
      </c>
      <c r="AA49" s="87">
        <f>Annual_Days*R49*T_2!P7*I91_AADT_2014</f>
        <v>0</v>
      </c>
      <c r="AB49" s="44">
        <f t="shared" ref="AB49:AB72" si="62">SUM(U49:AA49)</f>
        <v>296890.31392194174</v>
      </c>
      <c r="AD49" s="52">
        <v>0</v>
      </c>
      <c r="AE49" s="87">
        <f>Annual_Days*T_2!B7*L49*I91_AADT_2014</f>
        <v>0</v>
      </c>
      <c r="AF49" s="87">
        <f>Annual_Days*T_2!C7*M49*I91_AADT_2014</f>
        <v>0</v>
      </c>
      <c r="AG49" s="87">
        <f>Annual_Days*T_2!D7*N49*I91_AADT_2014</f>
        <v>0</v>
      </c>
      <c r="AH49" s="87">
        <f>Annual_Days*T_2!E7*O49*I91_AADT_2014</f>
        <v>0</v>
      </c>
      <c r="AI49" s="87">
        <f>Annual_Days*T_2!F7*P49*I91_AADT_2014</f>
        <v>0</v>
      </c>
      <c r="AJ49" s="87">
        <f>Annual_Days*T_2!G7*Q49*I91_AADT_2014</f>
        <v>36359.758792754685</v>
      </c>
      <c r="AK49" s="87">
        <f>Annual_Days*T_2!H7*R49*I91_AADT_2014</f>
        <v>0</v>
      </c>
      <c r="AL49" s="44">
        <f t="shared" ref="AL49:AL72" si="63">SUM(AE49:AK49)</f>
        <v>36359.758792754685</v>
      </c>
    </row>
    <row r="50" spans="1:38" x14ac:dyDescent="0.25">
      <c r="A50" s="210"/>
      <c r="B50" s="52">
        <v>1</v>
      </c>
      <c r="C50" s="86">
        <v>85.09707124419262</v>
      </c>
      <c r="D50" s="86">
        <v>86.964155952247751</v>
      </c>
      <c r="E50" s="86">
        <v>106.66984818082804</v>
      </c>
      <c r="F50" s="86">
        <v>86.948003358362669</v>
      </c>
      <c r="G50" s="86">
        <v>86.974438620280409</v>
      </c>
      <c r="H50" s="86">
        <v>93.677337323017213</v>
      </c>
      <c r="I50" s="86">
        <v>84.153950858406091</v>
      </c>
      <c r="K50" s="52">
        <v>1</v>
      </c>
      <c r="L50" s="85">
        <f t="shared" si="55"/>
        <v>0</v>
      </c>
      <c r="M50" s="85">
        <f t="shared" si="56"/>
        <v>0</v>
      </c>
      <c r="N50" s="85">
        <f t="shared" si="57"/>
        <v>13.502502726282586</v>
      </c>
      <c r="O50" s="85">
        <f t="shared" si="58"/>
        <v>0</v>
      </c>
      <c r="P50" s="85">
        <f t="shared" si="59"/>
        <v>0</v>
      </c>
      <c r="Q50" s="85">
        <f t="shared" si="60"/>
        <v>0.50999186847175793</v>
      </c>
      <c r="R50" s="85">
        <f t="shared" si="61"/>
        <v>0</v>
      </c>
      <c r="T50" s="52">
        <v>1</v>
      </c>
      <c r="U50" s="87">
        <f>Annual_Days*L50*T_2!J8*I91_AADT_2014</f>
        <v>0</v>
      </c>
      <c r="V50" s="87">
        <f>Annual_Days*M50*T_2!K8*I91_AADT_2014</f>
        <v>0</v>
      </c>
      <c r="W50" s="87">
        <f>Annual_Days*N50*T_2!L8*I91_AADT_2014</f>
        <v>256477.31995095071</v>
      </c>
      <c r="X50" s="87">
        <f>Annual_Days*O50*T_2!M8*I91_AADT_2014</f>
        <v>0</v>
      </c>
      <c r="Y50" s="87">
        <f>Annual_Days*P50*T_2!N8*I91_AADT_2014</f>
        <v>0</v>
      </c>
      <c r="Z50" s="87">
        <f>Annual_Days*Q50*T_2!O8*I91_AADT_2014</f>
        <v>17477.79670570177</v>
      </c>
      <c r="AA50" s="87">
        <f>Annual_Days*R50*T_2!P8*I91_AADT_2014</f>
        <v>0</v>
      </c>
      <c r="AB50" s="44">
        <f t="shared" si="62"/>
        <v>273955.11665665248</v>
      </c>
      <c r="AD50" s="52">
        <v>1</v>
      </c>
      <c r="AE50" s="87">
        <f>Annual_Days*T_2!B8*L50*I91_AADT_2014</f>
        <v>0</v>
      </c>
      <c r="AF50" s="87">
        <f>Annual_Days*T_2!C8*M50*I91_AADT_2014</f>
        <v>0</v>
      </c>
      <c r="AG50" s="87">
        <f>Annual_Days*T_2!D8*N50*I91_AADT_2014</f>
        <v>114333.26311066478</v>
      </c>
      <c r="AH50" s="87">
        <f>Annual_Days*T_2!E8*O50*I91_AADT_2014</f>
        <v>0</v>
      </c>
      <c r="AI50" s="87">
        <f>Annual_Days*T_2!F8*P50*I91_AADT_2014</f>
        <v>0</v>
      </c>
      <c r="AJ50" s="87">
        <f>Annual_Days*T_2!G8*Q50*I91_AADT_2014</f>
        <v>4026.6042493937307</v>
      </c>
      <c r="AK50" s="87">
        <f>Annual_Days*T_2!H8*R50*I91_AADT_2014</f>
        <v>0</v>
      </c>
      <c r="AL50" s="44">
        <f t="shared" si="63"/>
        <v>118359.8673600585</v>
      </c>
    </row>
    <row r="51" spans="1:38" x14ac:dyDescent="0.25">
      <c r="A51" s="210"/>
      <c r="B51" s="52">
        <v>2</v>
      </c>
      <c r="C51" s="86">
        <v>85.966678171779705</v>
      </c>
      <c r="D51" s="86">
        <v>87.290840005373582</v>
      </c>
      <c r="E51" s="86">
        <v>87.077275361093939</v>
      </c>
      <c r="F51" s="86">
        <v>86.872841196731528</v>
      </c>
      <c r="G51" s="86">
        <v>86.752576149451727</v>
      </c>
      <c r="H51" s="86">
        <v>85.182460143411589</v>
      </c>
      <c r="I51" s="86">
        <v>89.184954637600441</v>
      </c>
      <c r="K51" s="52">
        <v>2</v>
      </c>
      <c r="L51" s="85">
        <f t="shared" si="55"/>
        <v>0</v>
      </c>
      <c r="M51" s="85">
        <f t="shared" si="56"/>
        <v>0</v>
      </c>
      <c r="N51" s="85">
        <f t="shared" si="57"/>
        <v>0</v>
      </c>
      <c r="O51" s="85">
        <f t="shared" si="58"/>
        <v>0</v>
      </c>
      <c r="P51" s="85">
        <f t="shared" si="59"/>
        <v>0</v>
      </c>
      <c r="Q51" s="85">
        <f t="shared" si="60"/>
        <v>0</v>
      </c>
      <c r="R51" s="85">
        <f t="shared" si="61"/>
        <v>0</v>
      </c>
      <c r="T51" s="52">
        <v>2</v>
      </c>
      <c r="U51" s="87">
        <f>Annual_Days*L51*T_2!J9*I91_AADT_2014</f>
        <v>0</v>
      </c>
      <c r="V51" s="87">
        <f>Annual_Days*M51*T_2!K9*I91_AADT_2014</f>
        <v>0</v>
      </c>
      <c r="W51" s="87">
        <f>Annual_Days*N51*T_2!L9*I91_AADT_2014</f>
        <v>0</v>
      </c>
      <c r="X51" s="87">
        <f>Annual_Days*O51*T_2!M9*I91_AADT_2014</f>
        <v>0</v>
      </c>
      <c r="Y51" s="87">
        <f>Annual_Days*P51*T_2!N9*I91_AADT_2014</f>
        <v>0</v>
      </c>
      <c r="Z51" s="87">
        <f>Annual_Days*Q51*T_2!O9*I91_AADT_2014</f>
        <v>0</v>
      </c>
      <c r="AA51" s="87">
        <f>Annual_Days*R51*T_2!P9*I91_AADT_2014</f>
        <v>0</v>
      </c>
      <c r="AB51" s="44">
        <f t="shared" si="62"/>
        <v>0</v>
      </c>
      <c r="AD51" s="52">
        <v>2</v>
      </c>
      <c r="AE51" s="87">
        <f>Annual_Days*T_2!B9*L51*I91_AADT_2014</f>
        <v>0</v>
      </c>
      <c r="AF51" s="87">
        <f>Annual_Days*T_2!C9*M51*I91_AADT_2014</f>
        <v>0</v>
      </c>
      <c r="AG51" s="87">
        <f>Annual_Days*T_2!D9*N51*I91_AADT_2014</f>
        <v>0</v>
      </c>
      <c r="AH51" s="87">
        <f>Annual_Days*T_2!E9*O51*I91_AADT_2014</f>
        <v>0</v>
      </c>
      <c r="AI51" s="87">
        <f>Annual_Days*T_2!F9*P51*I91_AADT_2014</f>
        <v>0</v>
      </c>
      <c r="AJ51" s="87">
        <f>Annual_Days*T_2!G9*Q51*I91_AADT_2014</f>
        <v>0</v>
      </c>
      <c r="AK51" s="87">
        <f>Annual_Days*T_2!H9*R51*I91_AADT_2014</f>
        <v>0</v>
      </c>
      <c r="AL51" s="44">
        <f t="shared" si="63"/>
        <v>0</v>
      </c>
    </row>
    <row r="52" spans="1:38" x14ac:dyDescent="0.25">
      <c r="A52" s="210"/>
      <c r="B52" s="52">
        <v>3</v>
      </c>
      <c r="C52" s="86">
        <v>85.142614700935496</v>
      </c>
      <c r="D52" s="86">
        <v>85.948306766742618</v>
      </c>
      <c r="E52" s="86">
        <v>86.133587496840818</v>
      </c>
      <c r="F52" s="86">
        <v>86.524575891364606</v>
      </c>
      <c r="G52" s="86">
        <v>87.203952407667742</v>
      </c>
      <c r="H52" s="86">
        <v>87.104384033123054</v>
      </c>
      <c r="I52" s="86">
        <v>85.98107647618734</v>
      </c>
      <c r="K52" s="52">
        <v>3</v>
      </c>
      <c r="L52" s="85">
        <f t="shared" si="55"/>
        <v>0</v>
      </c>
      <c r="M52" s="85">
        <f t="shared" si="56"/>
        <v>0</v>
      </c>
      <c r="N52" s="85">
        <f t="shared" si="57"/>
        <v>0</v>
      </c>
      <c r="O52" s="85">
        <f t="shared" si="58"/>
        <v>0</v>
      </c>
      <c r="P52" s="85">
        <f t="shared" si="59"/>
        <v>0</v>
      </c>
      <c r="Q52" s="85">
        <f t="shared" si="60"/>
        <v>0</v>
      </c>
      <c r="R52" s="85">
        <f t="shared" si="61"/>
        <v>0</v>
      </c>
      <c r="T52" s="52">
        <v>3</v>
      </c>
      <c r="U52" s="87">
        <f>Annual_Days*L52*T_2!J10*I91_AADT_2014</f>
        <v>0</v>
      </c>
      <c r="V52" s="87">
        <f>Annual_Days*M52*T_2!K10*I91_AADT_2014</f>
        <v>0</v>
      </c>
      <c r="W52" s="87">
        <f>Annual_Days*N52*T_2!L10*I91_AADT_2014</f>
        <v>0</v>
      </c>
      <c r="X52" s="87">
        <f>Annual_Days*O52*T_2!M10*I91_AADT_2014</f>
        <v>0</v>
      </c>
      <c r="Y52" s="87">
        <f>Annual_Days*P52*T_2!N10*I91_AADT_2014</f>
        <v>0</v>
      </c>
      <c r="Z52" s="87">
        <f>Annual_Days*Q52*T_2!O10*I91_AADT_2014</f>
        <v>0</v>
      </c>
      <c r="AA52" s="87">
        <f>Annual_Days*R52*T_2!P10*I91_AADT_2014</f>
        <v>0</v>
      </c>
      <c r="AB52" s="44">
        <f t="shared" si="62"/>
        <v>0</v>
      </c>
      <c r="AD52" s="52">
        <v>3</v>
      </c>
      <c r="AE52" s="87">
        <f>Annual_Days*T_2!B10*L52*I91_AADT_2014</f>
        <v>0</v>
      </c>
      <c r="AF52" s="87">
        <f>Annual_Days*T_2!C10*M52*I91_AADT_2014</f>
        <v>0</v>
      </c>
      <c r="AG52" s="87">
        <f>Annual_Days*T_2!D10*N52*I91_AADT_2014</f>
        <v>0</v>
      </c>
      <c r="AH52" s="87">
        <f>Annual_Days*T_2!E10*O52*I91_AADT_2014</f>
        <v>0</v>
      </c>
      <c r="AI52" s="87">
        <f>Annual_Days*T_2!F10*P52*I91_AADT_2014</f>
        <v>0</v>
      </c>
      <c r="AJ52" s="87">
        <f>Annual_Days*T_2!G10*Q52*I91_AADT_2014</f>
        <v>0</v>
      </c>
      <c r="AK52" s="87">
        <f>Annual_Days*T_2!H10*R52*I91_AADT_2014</f>
        <v>0</v>
      </c>
      <c r="AL52" s="44">
        <f t="shared" si="63"/>
        <v>0</v>
      </c>
    </row>
    <row r="53" spans="1:38" x14ac:dyDescent="0.25">
      <c r="A53" s="210"/>
      <c r="B53" s="52">
        <v>4</v>
      </c>
      <c r="C53" s="86">
        <v>84.165325317834288</v>
      </c>
      <c r="D53" s="86">
        <v>86.005671669358705</v>
      </c>
      <c r="E53" s="86">
        <v>85.598074196929915</v>
      </c>
      <c r="F53" s="86">
        <v>85.93843274318948</v>
      </c>
      <c r="G53" s="86">
        <v>86.319904992681117</v>
      </c>
      <c r="H53" s="86">
        <v>85.570345909305857</v>
      </c>
      <c r="I53" s="86">
        <v>86.198448804196317</v>
      </c>
      <c r="K53" s="52">
        <v>4</v>
      </c>
      <c r="L53" s="85">
        <f t="shared" si="55"/>
        <v>0</v>
      </c>
      <c r="M53" s="85">
        <f t="shared" si="56"/>
        <v>0</v>
      </c>
      <c r="N53" s="85">
        <f t="shared" si="57"/>
        <v>0</v>
      </c>
      <c r="O53" s="85">
        <f t="shared" si="58"/>
        <v>0</v>
      </c>
      <c r="P53" s="85">
        <f t="shared" si="59"/>
        <v>0</v>
      </c>
      <c r="Q53" s="85">
        <f t="shared" si="60"/>
        <v>0</v>
      </c>
      <c r="R53" s="85">
        <f t="shared" si="61"/>
        <v>0</v>
      </c>
      <c r="T53" s="52">
        <v>4</v>
      </c>
      <c r="U53" s="87">
        <f>Annual_Days*L53*T_2!J11*I91_AADT_2014</f>
        <v>0</v>
      </c>
      <c r="V53" s="87">
        <f>Annual_Days*M53*T_2!K11*I91_AADT_2014</f>
        <v>0</v>
      </c>
      <c r="W53" s="87">
        <f>Annual_Days*N53*T_2!L11*I91_AADT_2014</f>
        <v>0</v>
      </c>
      <c r="X53" s="87">
        <f>Annual_Days*O53*T_2!M11*I91_AADT_2014</f>
        <v>0</v>
      </c>
      <c r="Y53" s="87">
        <f>Annual_Days*P53*T_2!N11*I91_AADT_2014</f>
        <v>0</v>
      </c>
      <c r="Z53" s="87">
        <f>Annual_Days*Q53*T_2!O11*I91_AADT_2014</f>
        <v>0</v>
      </c>
      <c r="AA53" s="87">
        <f>Annual_Days*R53*T_2!P11*I91_AADT_2014</f>
        <v>0</v>
      </c>
      <c r="AB53" s="44">
        <f t="shared" si="62"/>
        <v>0</v>
      </c>
      <c r="AD53" s="52">
        <v>4</v>
      </c>
      <c r="AE53" s="87">
        <f>Annual_Days*T_2!B11*L53*I91_AADT_2014</f>
        <v>0</v>
      </c>
      <c r="AF53" s="87">
        <f>Annual_Days*T_2!C11*M53*I91_AADT_2014</f>
        <v>0</v>
      </c>
      <c r="AG53" s="87">
        <f>Annual_Days*T_2!D11*N53*I91_AADT_2014</f>
        <v>0</v>
      </c>
      <c r="AH53" s="87">
        <f>Annual_Days*T_2!E11*O53*I91_AADT_2014</f>
        <v>0</v>
      </c>
      <c r="AI53" s="87">
        <f>Annual_Days*T_2!F11*P53*I91_AADT_2014</f>
        <v>0</v>
      </c>
      <c r="AJ53" s="87">
        <f>Annual_Days*T_2!G11*Q53*I91_AADT_2014</f>
        <v>0</v>
      </c>
      <c r="AK53" s="87">
        <f>Annual_Days*T_2!H11*R53*I91_AADT_2014</f>
        <v>0</v>
      </c>
      <c r="AL53" s="44">
        <f t="shared" si="63"/>
        <v>0</v>
      </c>
    </row>
    <row r="54" spans="1:38" x14ac:dyDescent="0.25">
      <c r="A54" s="210"/>
      <c r="B54" s="52">
        <v>5</v>
      </c>
      <c r="C54" s="86">
        <v>82.809184275165862</v>
      </c>
      <c r="D54" s="86">
        <v>83.527614390489106</v>
      </c>
      <c r="E54" s="86">
        <v>84.640163401552542</v>
      </c>
      <c r="F54" s="86">
        <v>84.654499603163259</v>
      </c>
      <c r="G54" s="86">
        <v>84.5424601211229</v>
      </c>
      <c r="H54" s="86">
        <v>83.596073360430182</v>
      </c>
      <c r="I54" s="86">
        <v>84.210895023140026</v>
      </c>
      <c r="K54" s="52">
        <v>5</v>
      </c>
      <c r="L54" s="85">
        <f t="shared" si="55"/>
        <v>0</v>
      </c>
      <c r="M54" s="85">
        <f t="shared" si="56"/>
        <v>0</v>
      </c>
      <c r="N54" s="85">
        <f t="shared" si="57"/>
        <v>0</v>
      </c>
      <c r="O54" s="85">
        <f t="shared" si="58"/>
        <v>0</v>
      </c>
      <c r="P54" s="85">
        <f t="shared" si="59"/>
        <v>0</v>
      </c>
      <c r="Q54" s="85">
        <f t="shared" si="60"/>
        <v>0</v>
      </c>
      <c r="R54" s="85">
        <f t="shared" si="61"/>
        <v>0</v>
      </c>
      <c r="T54" s="52">
        <v>5</v>
      </c>
      <c r="U54" s="87">
        <f>Annual_Days*L54*T_2!J12*I91_AADT_2014</f>
        <v>0</v>
      </c>
      <c r="V54" s="87">
        <f>Annual_Days*M54*T_2!K12*I91_AADT_2014</f>
        <v>0</v>
      </c>
      <c r="W54" s="87">
        <f>Annual_Days*N54*T_2!L12*I91_AADT_2014</f>
        <v>0</v>
      </c>
      <c r="X54" s="87">
        <f>Annual_Days*O54*T_2!M12*I91_AADT_2014</f>
        <v>0</v>
      </c>
      <c r="Y54" s="87">
        <f>Annual_Days*P54*T_2!N12*I91_AADT_2014</f>
        <v>0</v>
      </c>
      <c r="Z54" s="87">
        <f>Annual_Days*Q54*T_2!O12*I91_AADT_2014</f>
        <v>0</v>
      </c>
      <c r="AA54" s="87">
        <f>Annual_Days*R54*T_2!P12*I91_AADT_2014</f>
        <v>0</v>
      </c>
      <c r="AB54" s="44">
        <f t="shared" si="62"/>
        <v>0</v>
      </c>
      <c r="AD54" s="52">
        <v>5</v>
      </c>
      <c r="AE54" s="87">
        <f>Annual_Days*T_2!B12*L54*I91_AADT_2014</f>
        <v>0</v>
      </c>
      <c r="AF54" s="87">
        <f>Annual_Days*T_2!C12*M54*I91_AADT_2014</f>
        <v>0</v>
      </c>
      <c r="AG54" s="87">
        <f>Annual_Days*T_2!D12*N54*I91_AADT_2014</f>
        <v>0</v>
      </c>
      <c r="AH54" s="87">
        <f>Annual_Days*T_2!E12*O54*I91_AADT_2014</f>
        <v>0</v>
      </c>
      <c r="AI54" s="87">
        <f>Annual_Days*T_2!F12*P54*I91_AADT_2014</f>
        <v>0</v>
      </c>
      <c r="AJ54" s="87">
        <f>Annual_Days*T_2!G12*Q54*I91_AADT_2014</f>
        <v>0</v>
      </c>
      <c r="AK54" s="87">
        <f>Annual_Days*T_2!H12*R54*I91_AADT_2014</f>
        <v>0</v>
      </c>
      <c r="AL54" s="44">
        <f t="shared" si="63"/>
        <v>0</v>
      </c>
    </row>
    <row r="55" spans="1:38" x14ac:dyDescent="0.25">
      <c r="A55" s="210"/>
      <c r="B55" s="52">
        <v>6</v>
      </c>
      <c r="C55" s="86">
        <v>82.897289660949269</v>
      </c>
      <c r="D55" s="86">
        <v>83.820869090228712</v>
      </c>
      <c r="E55" s="86">
        <v>85.954206427843872</v>
      </c>
      <c r="F55" s="86">
        <v>85.128197991204331</v>
      </c>
      <c r="G55" s="86">
        <v>85.256208803995037</v>
      </c>
      <c r="H55" s="86">
        <v>88.287136642455351</v>
      </c>
      <c r="I55" s="86">
        <v>83.534071282453567</v>
      </c>
      <c r="K55" s="52">
        <v>6</v>
      </c>
      <c r="L55" s="85">
        <f t="shared" si="55"/>
        <v>0</v>
      </c>
      <c r="M55" s="85">
        <f t="shared" si="56"/>
        <v>0</v>
      </c>
      <c r="N55" s="85">
        <f t="shared" si="57"/>
        <v>0</v>
      </c>
      <c r="O55" s="85">
        <f t="shared" si="58"/>
        <v>0</v>
      </c>
      <c r="P55" s="85">
        <f t="shared" si="59"/>
        <v>0</v>
      </c>
      <c r="Q55" s="85">
        <f t="shared" si="60"/>
        <v>0</v>
      </c>
      <c r="R55" s="85">
        <f t="shared" si="61"/>
        <v>0</v>
      </c>
      <c r="T55" s="52">
        <v>6</v>
      </c>
      <c r="U55" s="87">
        <f>Annual_Days*L55*T_2!J13*I91_AADT_2014</f>
        <v>0</v>
      </c>
      <c r="V55" s="87">
        <f>Annual_Days*M55*T_2!K13*I91_AADT_2014</f>
        <v>0</v>
      </c>
      <c r="W55" s="87">
        <f>Annual_Days*N55*T_2!L13*I91_AADT_2014</f>
        <v>0</v>
      </c>
      <c r="X55" s="87">
        <f>Annual_Days*O55*T_2!M13*I91_AADT_2014</f>
        <v>0</v>
      </c>
      <c r="Y55" s="87">
        <f>Annual_Days*P55*T_2!N13*I91_AADT_2014</f>
        <v>0</v>
      </c>
      <c r="Z55" s="87">
        <f>Annual_Days*Q55*T_2!O13*I91_AADT_2014</f>
        <v>0</v>
      </c>
      <c r="AA55" s="87">
        <f>Annual_Days*R55*T_2!P13*I91_AADT_2014</f>
        <v>0</v>
      </c>
      <c r="AB55" s="44">
        <f t="shared" si="62"/>
        <v>0</v>
      </c>
      <c r="AD55" s="52">
        <v>6</v>
      </c>
      <c r="AE55" s="87">
        <f>Annual_Days*T_2!B13*L55*I91_AADT_2014</f>
        <v>0</v>
      </c>
      <c r="AF55" s="87">
        <f>Annual_Days*T_2!C13*M55*I91_AADT_2014</f>
        <v>0</v>
      </c>
      <c r="AG55" s="87">
        <f>Annual_Days*T_2!D13*N55*I91_AADT_2014</f>
        <v>0</v>
      </c>
      <c r="AH55" s="87">
        <f>Annual_Days*T_2!E13*O55*I91_AADT_2014</f>
        <v>0</v>
      </c>
      <c r="AI55" s="87">
        <f>Annual_Days*T_2!F13*P55*I91_AADT_2014</f>
        <v>0</v>
      </c>
      <c r="AJ55" s="87">
        <f>Annual_Days*T_2!G13*Q55*I91_AADT_2014</f>
        <v>0</v>
      </c>
      <c r="AK55" s="87">
        <f>Annual_Days*T_2!H13*R55*I91_AADT_2014</f>
        <v>0</v>
      </c>
      <c r="AL55" s="44">
        <f t="shared" si="63"/>
        <v>0</v>
      </c>
    </row>
    <row r="56" spans="1:38" x14ac:dyDescent="0.25">
      <c r="A56" s="210"/>
      <c r="B56" s="52">
        <v>7</v>
      </c>
      <c r="C56" s="86">
        <v>107.91143853803288</v>
      </c>
      <c r="D56" s="86">
        <v>104.90952673333331</v>
      </c>
      <c r="E56" s="86">
        <v>123.62195246738101</v>
      </c>
      <c r="F56" s="86">
        <v>103.55227972424235</v>
      </c>
      <c r="G56" s="86">
        <v>95.606997500856068</v>
      </c>
      <c r="H56" s="86">
        <v>80.858941347170983</v>
      </c>
      <c r="I56" s="86">
        <v>81.57623097240635</v>
      </c>
      <c r="K56" s="52">
        <v>7</v>
      </c>
      <c r="L56" s="85">
        <f t="shared" si="55"/>
        <v>14.744093083487428</v>
      </c>
      <c r="M56" s="85">
        <f t="shared" si="56"/>
        <v>11.742181278787854</v>
      </c>
      <c r="N56" s="85">
        <f t="shared" si="57"/>
        <v>30.454607012835552</v>
      </c>
      <c r="O56" s="85">
        <f t="shared" si="58"/>
        <v>10.384934269696899</v>
      </c>
      <c r="P56" s="85">
        <f t="shared" si="59"/>
        <v>2.4396520463106128</v>
      </c>
      <c r="Q56" s="85">
        <f t="shared" si="60"/>
        <v>0</v>
      </c>
      <c r="R56" s="85">
        <f t="shared" si="61"/>
        <v>0</v>
      </c>
      <c r="T56" s="52">
        <v>7</v>
      </c>
      <c r="U56" s="87">
        <f>Annual_Days*L56*T_2!J14*I91_AADT_2014</f>
        <v>2774460.5059130234</v>
      </c>
      <c r="V56" s="87">
        <f>Annual_Days*M56*T_2!K14*I91_AADT_2014</f>
        <v>2044312.7758290383</v>
      </c>
      <c r="W56" s="87">
        <f>Annual_Days*N56*T_2!L14*I91_AADT_2014</f>
        <v>5028586.6264021564</v>
      </c>
      <c r="X56" s="87">
        <f>Annual_Days*O56*T_2!M14*I91_AADT_2014</f>
        <v>1758107.0958042359</v>
      </c>
      <c r="Y56" s="87">
        <f>Annual_Days*P56*T_2!N14*I91_AADT_2014</f>
        <v>390406.43344480643</v>
      </c>
      <c r="Z56" s="87">
        <f>Annual_Days*Q56*T_2!O14*I91_AADT_2014</f>
        <v>0</v>
      </c>
      <c r="AA56" s="87">
        <f>Annual_Days*R56*T_2!P14*I91_AADT_2014</f>
        <v>0</v>
      </c>
      <c r="AB56" s="44">
        <f t="shared" si="62"/>
        <v>11995873.437393261</v>
      </c>
      <c r="AD56" s="52">
        <v>7</v>
      </c>
      <c r="AE56" s="87">
        <f>Annual_Days*T_2!B14*L56*I91_AADT_2014</f>
        <v>365260.38280946756</v>
      </c>
      <c r="AF56" s="87">
        <f>Annual_Days*T_2!C14*M56*I91_AADT_2014</f>
        <v>369494.58649555407</v>
      </c>
      <c r="AG56" s="87">
        <f>Annual_Days*T_2!D14*N56*I91_AADT_2014</f>
        <v>935672.56354052608</v>
      </c>
      <c r="AH56" s="87">
        <f>Annual_Days*T_2!E14*O56*I91_AADT_2014</f>
        <v>316685.05645949912</v>
      </c>
      <c r="AI56" s="87">
        <f>Annual_Days*T_2!F14*P56*I91_AADT_2014</f>
        <v>74256.783193649273</v>
      </c>
      <c r="AJ56" s="87">
        <f>Annual_Days*T_2!G14*Q56*I91_AADT_2014</f>
        <v>0</v>
      </c>
      <c r="AK56" s="87">
        <f>Annual_Days*T_2!H14*R56*I91_AADT_2014</f>
        <v>0</v>
      </c>
      <c r="AL56" s="44">
        <f t="shared" si="63"/>
        <v>2061369.3724986962</v>
      </c>
    </row>
    <row r="57" spans="1:38" x14ac:dyDescent="0.25">
      <c r="A57" s="210"/>
      <c r="B57" s="52">
        <v>8</v>
      </c>
      <c r="C57" s="86">
        <v>126.59671641243911</v>
      </c>
      <c r="D57" s="86">
        <v>122.38968752083338</v>
      </c>
      <c r="E57" s="86">
        <v>151.70175320839587</v>
      </c>
      <c r="F57" s="86">
        <v>122.3838359869807</v>
      </c>
      <c r="G57" s="86">
        <v>91.282105391916517</v>
      </c>
      <c r="H57" s="86">
        <v>79.641372208816748</v>
      </c>
      <c r="I57" s="86">
        <v>80.479455360733553</v>
      </c>
      <c r="K57" s="52">
        <v>8</v>
      </c>
      <c r="L57" s="85">
        <f t="shared" si="55"/>
        <v>33.429370957893653</v>
      </c>
      <c r="M57" s="85">
        <f t="shared" si="56"/>
        <v>29.222342066287922</v>
      </c>
      <c r="N57" s="85">
        <f t="shared" si="57"/>
        <v>58.534407753850417</v>
      </c>
      <c r="O57" s="85">
        <f t="shared" si="58"/>
        <v>29.216490532435245</v>
      </c>
      <c r="P57" s="85">
        <f t="shared" si="59"/>
        <v>0</v>
      </c>
      <c r="Q57" s="85">
        <f t="shared" si="60"/>
        <v>0</v>
      </c>
      <c r="R57" s="85">
        <f t="shared" si="61"/>
        <v>0</v>
      </c>
      <c r="T57" s="52">
        <v>8</v>
      </c>
      <c r="U57" s="87">
        <f>Annual_Days*L57*T_2!J15*I91_AADT_2014</f>
        <v>9295250.1824367382</v>
      </c>
      <c r="V57" s="87">
        <f>Annual_Days*M57*T_2!K15*I91_AADT_2014</f>
        <v>8026816.516973421</v>
      </c>
      <c r="W57" s="87">
        <f>Annual_Days*N57*T_2!L15*I91_AADT_2014</f>
        <v>15297974.523784611</v>
      </c>
      <c r="X57" s="87">
        <f>Annual_Days*O57*T_2!M15*I91_AADT_2014</f>
        <v>8127175.0038039656</v>
      </c>
      <c r="Y57" s="87">
        <f>Annual_Days*P57*T_2!N15*I91_AADT_2014</f>
        <v>0</v>
      </c>
      <c r="Z57" s="87">
        <f>Annual_Days*Q57*T_2!O15*I91_AADT_2014</f>
        <v>0</v>
      </c>
      <c r="AA57" s="87">
        <f>Annual_Days*R57*T_2!P15*I91_AADT_2014</f>
        <v>0</v>
      </c>
      <c r="AB57" s="44">
        <f t="shared" si="62"/>
        <v>40747216.226998739</v>
      </c>
      <c r="AD57" s="52">
        <v>8</v>
      </c>
      <c r="AE57" s="87">
        <f>Annual_Days*T_2!B15*L57*I91_AADT_2014</f>
        <v>983077.8999531857</v>
      </c>
      <c r="AF57" s="87">
        <f>Annual_Days*T_2!C15*M57*I91_AADT_2014</f>
        <v>1043268.7995399737</v>
      </c>
      <c r="AG57" s="87">
        <f>Annual_Days*T_2!D15*N57*I91_AADT_2014</f>
        <v>2099787.6590220993</v>
      </c>
      <c r="AH57" s="87">
        <f>Annual_Days*T_2!E15*O57*I91_AADT_2014</f>
        <v>1091535.4334603022</v>
      </c>
      <c r="AI57" s="87">
        <f>Annual_Days*T_2!F15*P57*I91_AADT_2014</f>
        <v>0</v>
      </c>
      <c r="AJ57" s="87">
        <f>Annual_Days*T_2!G15*Q57*I91_AADT_2014</f>
        <v>0</v>
      </c>
      <c r="AK57" s="87">
        <f>Annual_Days*T_2!H15*R57*I91_AADT_2014</f>
        <v>0</v>
      </c>
      <c r="AL57" s="44">
        <f t="shared" si="63"/>
        <v>5217669.7919755615</v>
      </c>
    </row>
    <row r="58" spans="1:38" x14ac:dyDescent="0.25">
      <c r="A58" s="210"/>
      <c r="B58" s="52">
        <v>9</v>
      </c>
      <c r="C58" s="86">
        <v>89.947800564265563</v>
      </c>
      <c r="D58" s="86">
        <v>88.370146038398531</v>
      </c>
      <c r="E58" s="86">
        <v>99.40401246066935</v>
      </c>
      <c r="F58" s="86">
        <v>96.130621629828852</v>
      </c>
      <c r="G58" s="86">
        <v>83.370043425269031</v>
      </c>
      <c r="H58" s="86">
        <v>93.940659736813984</v>
      </c>
      <c r="I58" s="86">
        <v>80.671329820156203</v>
      </c>
      <c r="K58" s="52">
        <v>9</v>
      </c>
      <c r="L58" s="85">
        <f t="shared" si="55"/>
        <v>0</v>
      </c>
      <c r="M58" s="85">
        <f t="shared" si="56"/>
        <v>0</v>
      </c>
      <c r="N58" s="85">
        <f t="shared" si="57"/>
        <v>6.2366670061238949</v>
      </c>
      <c r="O58" s="85">
        <f t="shared" si="58"/>
        <v>2.9632761752833972</v>
      </c>
      <c r="P58" s="85">
        <f t="shared" si="59"/>
        <v>0</v>
      </c>
      <c r="Q58" s="85">
        <f t="shared" si="60"/>
        <v>0.7733142822685295</v>
      </c>
      <c r="R58" s="85">
        <f t="shared" si="61"/>
        <v>0</v>
      </c>
      <c r="T58" s="52">
        <v>9</v>
      </c>
      <c r="U58" s="87">
        <f>Annual_Days*L58*T_2!J16*I91_AADT_2014</f>
        <v>0</v>
      </c>
      <c r="V58" s="87">
        <f>Annual_Days*M58*T_2!K16*I91_AADT_2014</f>
        <v>0</v>
      </c>
      <c r="W58" s="87">
        <f>Annual_Days*N58*T_2!L16*I91_AADT_2014</f>
        <v>1389457.0066776192</v>
      </c>
      <c r="X58" s="87">
        <f>Annual_Days*O58*T_2!M16*I91_AADT_2014</f>
        <v>752751.63757330494</v>
      </c>
      <c r="Y58" s="87">
        <f>Annual_Days*P58*T_2!N16*I91_AADT_2014</f>
        <v>0</v>
      </c>
      <c r="Z58" s="87">
        <f>Annual_Days*Q58*T_2!O16*I91_AADT_2014</f>
        <v>82824.435608136962</v>
      </c>
      <c r="AA58" s="87">
        <f>Annual_Days*R58*T_2!P16*I91_AADT_2014</f>
        <v>0</v>
      </c>
      <c r="AB58" s="44">
        <f t="shared" si="62"/>
        <v>2225033.0798590612</v>
      </c>
      <c r="AD58" s="52">
        <v>9</v>
      </c>
      <c r="AE58" s="87">
        <f>Annual_Days*T_2!B16*L58*I91_AADT_2014</f>
        <v>0</v>
      </c>
      <c r="AF58" s="87">
        <f>Annual_Days*T_2!C16*M58*I91_AADT_2014</f>
        <v>0</v>
      </c>
      <c r="AG58" s="87">
        <f>Annual_Days*T_2!D16*N58*I91_AADT_2014</f>
        <v>248703.52687578346</v>
      </c>
      <c r="AH58" s="87">
        <f>Annual_Days*T_2!E16*O58*I91_AADT_2014</f>
        <v>94772.109325107522</v>
      </c>
      <c r="AI58" s="87">
        <f>Annual_Days*T_2!F16*P58*I91_AADT_2014</f>
        <v>0</v>
      </c>
      <c r="AJ58" s="87">
        <f>Annual_Days*T_2!G16*Q58*I91_AADT_2014</f>
        <v>9114.2274226902846</v>
      </c>
      <c r="AK58" s="87">
        <f>Annual_Days*T_2!H16*R58*I91_AADT_2014</f>
        <v>0</v>
      </c>
      <c r="AL58" s="44">
        <f t="shared" si="63"/>
        <v>352589.8636235813</v>
      </c>
    </row>
    <row r="59" spans="1:38" x14ac:dyDescent="0.25">
      <c r="A59" s="210"/>
      <c r="B59" s="52">
        <v>10</v>
      </c>
      <c r="C59" s="86">
        <v>85.20367570115701</v>
      </c>
      <c r="D59" s="86">
        <v>92.651848850926598</v>
      </c>
      <c r="E59" s="86">
        <v>84.243648523752086</v>
      </c>
      <c r="F59" s="86">
        <v>91.87346188180473</v>
      </c>
      <c r="G59" s="86">
        <v>83.026456689218065</v>
      </c>
      <c r="H59" s="86">
        <v>114.30487703590813</v>
      </c>
      <c r="I59" s="86">
        <v>80.978910228461572</v>
      </c>
      <c r="K59" s="52">
        <v>10</v>
      </c>
      <c r="L59" s="85">
        <f t="shared" si="55"/>
        <v>0</v>
      </c>
      <c r="M59" s="85">
        <f t="shared" si="56"/>
        <v>0</v>
      </c>
      <c r="N59" s="85">
        <f t="shared" si="57"/>
        <v>0</v>
      </c>
      <c r="O59" s="85">
        <f t="shared" si="58"/>
        <v>0</v>
      </c>
      <c r="P59" s="85">
        <f t="shared" si="59"/>
        <v>0</v>
      </c>
      <c r="Q59" s="85">
        <f t="shared" si="60"/>
        <v>21.13753158136268</v>
      </c>
      <c r="R59" s="85">
        <f t="shared" si="61"/>
        <v>0</v>
      </c>
      <c r="T59" s="52">
        <v>10</v>
      </c>
      <c r="U59" s="87">
        <f>Annual_Days*L59*T_2!J17*I91_AADT_2014</f>
        <v>0</v>
      </c>
      <c r="V59" s="87">
        <f>Annual_Days*M59*T_2!K17*I91_AADT_2014</f>
        <v>0</v>
      </c>
      <c r="W59" s="87">
        <f>Annual_Days*N59*T_2!L17*I91_AADT_2014</f>
        <v>0</v>
      </c>
      <c r="X59" s="87">
        <f>Annual_Days*O59*T_2!M17*I91_AADT_2014</f>
        <v>0</v>
      </c>
      <c r="Y59" s="87">
        <f>Annual_Days*P59*T_2!N17*I91_AADT_2014</f>
        <v>0</v>
      </c>
      <c r="Z59" s="87">
        <f>Annual_Days*Q59*T_2!O17*I91_AADT_2014</f>
        <v>2721030.4206159269</v>
      </c>
      <c r="AA59" s="87">
        <f>Annual_Days*R59*T_2!P17*I91_AADT_2014</f>
        <v>0</v>
      </c>
      <c r="AB59" s="44">
        <f t="shared" si="62"/>
        <v>2721030.4206159269</v>
      </c>
      <c r="AD59" s="52">
        <v>10</v>
      </c>
      <c r="AE59" s="87">
        <f>Annual_Days*T_2!B17*L59*I91_AADT_2014</f>
        <v>0</v>
      </c>
      <c r="AF59" s="87">
        <f>Annual_Days*T_2!C17*M59*I91_AADT_2014</f>
        <v>0</v>
      </c>
      <c r="AG59" s="87">
        <f>Annual_Days*T_2!D17*N59*I91_AADT_2014</f>
        <v>0</v>
      </c>
      <c r="AH59" s="87">
        <f>Annual_Days*T_2!E17*O59*I91_AADT_2014</f>
        <v>0</v>
      </c>
      <c r="AI59" s="87">
        <f>Annual_Days*T_2!F17*P59*I91_AADT_2014</f>
        <v>0</v>
      </c>
      <c r="AJ59" s="87">
        <f>Annual_Days*T_2!G17*Q59*I91_AADT_2014</f>
        <v>275731.08262241393</v>
      </c>
      <c r="AK59" s="87">
        <f>Annual_Days*T_2!H17*R59*I91_AADT_2014</f>
        <v>0</v>
      </c>
      <c r="AL59" s="44">
        <f t="shared" si="63"/>
        <v>275731.08262241393</v>
      </c>
    </row>
    <row r="60" spans="1:38" x14ac:dyDescent="0.25">
      <c r="A60" s="210"/>
      <c r="B60" s="52">
        <v>11</v>
      </c>
      <c r="C60" s="86">
        <v>88.995446418819071</v>
      </c>
      <c r="D60" s="86">
        <v>85.275170937854625</v>
      </c>
      <c r="E60" s="86">
        <v>85.473711223282137</v>
      </c>
      <c r="F60" s="86">
        <v>88.238140839939149</v>
      </c>
      <c r="G60" s="86">
        <v>102.74013514081622</v>
      </c>
      <c r="H60" s="86">
        <v>135.54206847961694</v>
      </c>
      <c r="I60" s="86">
        <v>88.864569373426306</v>
      </c>
      <c r="K60" s="52">
        <v>11</v>
      </c>
      <c r="L60" s="85">
        <f t="shared" si="55"/>
        <v>0</v>
      </c>
      <c r="M60" s="85">
        <f t="shared" si="56"/>
        <v>0</v>
      </c>
      <c r="N60" s="85">
        <f t="shared" si="57"/>
        <v>0</v>
      </c>
      <c r="O60" s="85">
        <f t="shared" si="58"/>
        <v>0</v>
      </c>
      <c r="P60" s="85">
        <f t="shared" si="59"/>
        <v>9.5727896862707667</v>
      </c>
      <c r="Q60" s="85">
        <f t="shared" si="60"/>
        <v>42.374723025071489</v>
      </c>
      <c r="R60" s="85">
        <f t="shared" si="61"/>
        <v>0</v>
      </c>
      <c r="T60" s="52">
        <v>11</v>
      </c>
      <c r="U60" s="87">
        <f>Annual_Days*L60*T_2!J18*I91_AADT_2014</f>
        <v>0</v>
      </c>
      <c r="V60" s="87">
        <f>Annual_Days*M60*T_2!K18*I91_AADT_2014</f>
        <v>0</v>
      </c>
      <c r="W60" s="87">
        <f>Annual_Days*N60*T_2!L18*I91_AADT_2014</f>
        <v>0</v>
      </c>
      <c r="X60" s="87">
        <f>Annual_Days*O60*T_2!M18*I91_AADT_2014</f>
        <v>0</v>
      </c>
      <c r="Y60" s="87">
        <f>Annual_Days*P60*T_2!N18*I91_AADT_2014</f>
        <v>1399896.6576265525</v>
      </c>
      <c r="Z60" s="87">
        <f>Annual_Days*Q60*T_2!O18*I91_AADT_2014</f>
        <v>6647692.6576425293</v>
      </c>
      <c r="AA60" s="87">
        <f>Annual_Days*R60*T_2!P18*I91_AADT_2014</f>
        <v>0</v>
      </c>
      <c r="AB60" s="44">
        <f t="shared" si="62"/>
        <v>8047589.3152690819</v>
      </c>
      <c r="AD60" s="52">
        <v>11</v>
      </c>
      <c r="AE60" s="87">
        <f>Annual_Days*T_2!B18*L60*I91_AADT_2014</f>
        <v>0</v>
      </c>
      <c r="AF60" s="87">
        <f>Annual_Days*T_2!C18*M60*I91_AADT_2014</f>
        <v>0</v>
      </c>
      <c r="AG60" s="87">
        <f>Annual_Days*T_2!D18*N60*I91_AADT_2014</f>
        <v>0</v>
      </c>
      <c r="AH60" s="87">
        <f>Annual_Days*T_2!E18*O60*I91_AADT_2014</f>
        <v>0</v>
      </c>
      <c r="AI60" s="87">
        <f>Annual_Days*T_2!F18*P60*I91_AADT_2014</f>
        <v>220171.54004924654</v>
      </c>
      <c r="AJ60" s="87">
        <f>Annual_Days*T_2!G18*Q60*I91_AADT_2014</f>
        <v>545489.00363587495</v>
      </c>
      <c r="AK60" s="87">
        <f>Annual_Days*T_2!H18*R60*I91_AADT_2014</f>
        <v>0</v>
      </c>
      <c r="AL60" s="44">
        <f t="shared" si="63"/>
        <v>765660.54368512146</v>
      </c>
    </row>
    <row r="61" spans="1:38" x14ac:dyDescent="0.25">
      <c r="A61" s="210"/>
      <c r="B61" s="52">
        <v>12</v>
      </c>
      <c r="C61" s="86">
        <v>86.431828285922805</v>
      </c>
      <c r="D61" s="86">
        <v>86.574898413386592</v>
      </c>
      <c r="E61" s="86">
        <v>85.627215518837517</v>
      </c>
      <c r="F61" s="86">
        <v>93.128768625508911</v>
      </c>
      <c r="G61" s="86">
        <v>136.92647254657965</v>
      </c>
      <c r="H61" s="86">
        <v>148.97155266977748</v>
      </c>
      <c r="I61" s="86">
        <v>99.985434896951375</v>
      </c>
      <c r="K61" s="52">
        <v>12</v>
      </c>
      <c r="L61" s="85">
        <f t="shared" si="55"/>
        <v>0</v>
      </c>
      <c r="M61" s="85">
        <f t="shared" si="56"/>
        <v>0</v>
      </c>
      <c r="N61" s="85">
        <f t="shared" si="57"/>
        <v>0</v>
      </c>
      <c r="O61" s="85">
        <f t="shared" si="58"/>
        <v>0</v>
      </c>
      <c r="P61" s="85">
        <f t="shared" si="59"/>
        <v>43.759127092034191</v>
      </c>
      <c r="Q61" s="85">
        <f t="shared" si="60"/>
        <v>55.804207215232026</v>
      </c>
      <c r="R61" s="85">
        <f t="shared" si="61"/>
        <v>6.8180894424059204</v>
      </c>
      <c r="T61" s="52">
        <v>12</v>
      </c>
      <c r="U61" s="87">
        <f>Annual_Days*L61*T_2!J19*I91_AADT_2014</f>
        <v>0</v>
      </c>
      <c r="V61" s="87">
        <f>Annual_Days*M61*T_2!K19*I91_AADT_2014</f>
        <v>0</v>
      </c>
      <c r="W61" s="87">
        <f>Annual_Days*N61*T_2!L19*I91_AADT_2014</f>
        <v>0</v>
      </c>
      <c r="X61" s="87">
        <f>Annual_Days*O61*T_2!M19*I91_AADT_2014</f>
        <v>0</v>
      </c>
      <c r="Y61" s="87">
        <f>Annual_Days*P61*T_2!N19*I91_AADT_2014</f>
        <v>6669595.2646040907</v>
      </c>
      <c r="Z61" s="87">
        <f>Annual_Days*Q61*T_2!O19*I91_AADT_2014</f>
        <v>8674674.5584951974</v>
      </c>
      <c r="AA61" s="87">
        <f>Annual_Days*R61*T_2!P19*I91_AADT_2014</f>
        <v>1036455.9716897666</v>
      </c>
      <c r="AB61" s="44">
        <f t="shared" si="62"/>
        <v>16380725.794789055</v>
      </c>
      <c r="AD61" s="52">
        <v>12</v>
      </c>
      <c r="AE61" s="87">
        <f>Annual_Days*T_2!B19*L61*I91_AADT_2014</f>
        <v>0</v>
      </c>
      <c r="AF61" s="87">
        <f>Annual_Days*T_2!C19*M61*I91_AADT_2014</f>
        <v>0</v>
      </c>
      <c r="AG61" s="87">
        <f>Annual_Days*T_2!D19*N61*I91_AADT_2014</f>
        <v>0</v>
      </c>
      <c r="AH61" s="87">
        <f>Annual_Days*T_2!E19*O61*I91_AADT_2014</f>
        <v>0</v>
      </c>
      <c r="AI61" s="87">
        <f>Annual_Days*T_2!F19*P61*I91_AADT_2014</f>
        <v>1081555.9888547175</v>
      </c>
      <c r="AJ61" s="87">
        <f>Annual_Days*T_2!G19*Q61*I91_AADT_2014</f>
        <v>705595.53825080569</v>
      </c>
      <c r="AK61" s="87">
        <f>Annual_Days*T_2!H19*R61*I91_AADT_2014</f>
        <v>67874.798296582376</v>
      </c>
      <c r="AL61" s="44">
        <f t="shared" si="63"/>
        <v>1855026.3254021057</v>
      </c>
    </row>
    <row r="62" spans="1:38" x14ac:dyDescent="0.25">
      <c r="A62" s="210"/>
      <c r="B62" s="52">
        <v>13</v>
      </c>
      <c r="C62" s="86">
        <v>83.253470236790804</v>
      </c>
      <c r="D62" s="86">
        <v>86.786841810815588</v>
      </c>
      <c r="E62" s="86">
        <v>87.573667980678252</v>
      </c>
      <c r="F62" s="86">
        <v>106.83782032497534</v>
      </c>
      <c r="G62" s="86">
        <v>147.01411241507094</v>
      </c>
      <c r="H62" s="86">
        <v>137.07832324807433</v>
      </c>
      <c r="I62" s="86">
        <v>103.1633286066649</v>
      </c>
      <c r="K62" s="52">
        <v>13</v>
      </c>
      <c r="L62" s="85">
        <f t="shared" si="55"/>
        <v>0</v>
      </c>
      <c r="M62" s="85">
        <f t="shared" si="56"/>
        <v>0</v>
      </c>
      <c r="N62" s="85">
        <f t="shared" si="57"/>
        <v>0</v>
      </c>
      <c r="O62" s="85">
        <f t="shared" si="58"/>
        <v>13.670474870429885</v>
      </c>
      <c r="P62" s="85">
        <f t="shared" si="59"/>
        <v>53.846766960525486</v>
      </c>
      <c r="Q62" s="85">
        <f t="shared" si="60"/>
        <v>43.910977793528872</v>
      </c>
      <c r="R62" s="85">
        <f t="shared" si="61"/>
        <v>9.9959831521194502</v>
      </c>
      <c r="T62" s="52">
        <v>13</v>
      </c>
      <c r="U62" s="87">
        <f>Annual_Days*L62*T_2!J20*I91_AADT_2014</f>
        <v>0</v>
      </c>
      <c r="V62" s="87">
        <f>Annual_Days*M62*T_2!K20*I91_AADT_2014</f>
        <v>0</v>
      </c>
      <c r="W62" s="87">
        <f>Annual_Days*N62*T_2!L20*I91_AADT_2014</f>
        <v>0</v>
      </c>
      <c r="X62" s="87">
        <f>Annual_Days*O62*T_2!M20*I91_AADT_2014</f>
        <v>1988180.2560685654</v>
      </c>
      <c r="Y62" s="87">
        <f>Annual_Days*P62*T_2!N20*I91_AADT_2014</f>
        <v>8564480.7626145296</v>
      </c>
      <c r="Z62" s="87">
        <f>Annual_Days*Q62*T_2!O20*I91_AADT_2014</f>
        <v>6871112.3240827043</v>
      </c>
      <c r="AA62" s="87">
        <f>Annual_Days*R62*T_2!P20*I91_AADT_2014</f>
        <v>1608762.2140549049</v>
      </c>
      <c r="AB62" s="44">
        <f t="shared" si="62"/>
        <v>19032535.556820706</v>
      </c>
      <c r="AD62" s="52">
        <v>13</v>
      </c>
      <c r="AE62" s="87">
        <f>Annual_Days*T_2!B20*L62*I91_AADT_2014</f>
        <v>0</v>
      </c>
      <c r="AF62" s="87">
        <f>Annual_Days*T_2!C20*M62*I91_AADT_2014</f>
        <v>0</v>
      </c>
      <c r="AG62" s="87">
        <f>Annual_Days*T_2!D20*N62*I91_AADT_2014</f>
        <v>0</v>
      </c>
      <c r="AH62" s="87">
        <f>Annual_Days*T_2!E20*O62*I91_AADT_2014</f>
        <v>400451.72742215014</v>
      </c>
      <c r="AI62" s="87">
        <f>Annual_Days*T_2!F20*P62*I91_AADT_2014</f>
        <v>1395579.0595195619</v>
      </c>
      <c r="AJ62" s="87">
        <f>Annual_Days*T_2!G20*Q62*I91_AADT_2014</f>
        <v>497433.36020781542</v>
      </c>
      <c r="AK62" s="87">
        <f>Annual_Days*T_2!H20*R62*I91_AADT_2014</f>
        <v>99511.064786901334</v>
      </c>
      <c r="AL62" s="44">
        <f t="shared" si="63"/>
        <v>2392975.2119364287</v>
      </c>
    </row>
    <row r="63" spans="1:38" x14ac:dyDescent="0.25">
      <c r="A63" s="210"/>
      <c r="B63" s="52">
        <v>14</v>
      </c>
      <c r="C63" s="86">
        <v>89.84659681117023</v>
      </c>
      <c r="D63" s="86">
        <v>100.56412934583324</v>
      </c>
      <c r="E63" s="86">
        <v>88.077000973109747</v>
      </c>
      <c r="F63" s="86">
        <v>117.6762635048309</v>
      </c>
      <c r="G63" s="86">
        <v>174.4010989882093</v>
      </c>
      <c r="H63" s="86">
        <v>120.61686712704423</v>
      </c>
      <c r="I63" s="86">
        <v>109.62368927860484</v>
      </c>
      <c r="K63" s="52">
        <v>14</v>
      </c>
      <c r="L63" s="85">
        <f t="shared" si="55"/>
        <v>0</v>
      </c>
      <c r="M63" s="85">
        <f t="shared" si="56"/>
        <v>7.3967838912877824</v>
      </c>
      <c r="N63" s="85">
        <f t="shared" si="57"/>
        <v>0</v>
      </c>
      <c r="O63" s="85">
        <f t="shared" si="58"/>
        <v>24.508918050285445</v>
      </c>
      <c r="P63" s="85">
        <f t="shared" si="59"/>
        <v>81.233753533663844</v>
      </c>
      <c r="Q63" s="85">
        <f t="shared" si="60"/>
        <v>27.449521672498776</v>
      </c>
      <c r="R63" s="85">
        <f t="shared" si="61"/>
        <v>16.456343824059388</v>
      </c>
      <c r="T63" s="52">
        <v>14</v>
      </c>
      <c r="U63" s="87">
        <f>Annual_Days*L63*T_2!J21*I91_AADT_2014</f>
        <v>0</v>
      </c>
      <c r="V63" s="87">
        <f>Annual_Days*M63*T_2!K21*I91_AADT_2014</f>
        <v>1000007.5098344042</v>
      </c>
      <c r="W63" s="87">
        <f>Annual_Days*N63*T_2!L21*I91_AADT_2014</f>
        <v>0</v>
      </c>
      <c r="X63" s="87">
        <f>Annual_Days*O63*T_2!M21*I91_AADT_2014</f>
        <v>3717324.5250259242</v>
      </c>
      <c r="Y63" s="87">
        <f>Annual_Days*P63*T_2!N21*I91_AADT_2014</f>
        <v>13715206.157544605</v>
      </c>
      <c r="Z63" s="87">
        <f>Annual_Days*Q63*T_2!O21*I91_AADT_2014</f>
        <v>3894781.2566900873</v>
      </c>
      <c r="AA63" s="87">
        <f>Annual_Days*R63*T_2!P21*I91_AADT_2014</f>
        <v>2895176.7481865538</v>
      </c>
      <c r="AB63" s="44">
        <f t="shared" si="62"/>
        <v>25222496.197281577</v>
      </c>
      <c r="AD63" s="52">
        <v>14</v>
      </c>
      <c r="AE63" s="87">
        <f>Annual_Days*T_2!B21*L63*I91_AADT_2014</f>
        <v>0</v>
      </c>
      <c r="AF63" s="87">
        <f>Annual_Days*T_2!C21*M63*I91_AADT_2014</f>
        <v>216252.15299423641</v>
      </c>
      <c r="AG63" s="87">
        <f>Annual_Days*T_2!D21*N63*I91_AADT_2014</f>
        <v>0</v>
      </c>
      <c r="AH63" s="87">
        <f>Annual_Days*T_2!E21*O63*I91_AADT_2014</f>
        <v>618385.55848224543</v>
      </c>
      <c r="AI63" s="87">
        <f>Annual_Days*T_2!F21*P63*I91_AADT_2014</f>
        <v>2216927.5964584132</v>
      </c>
      <c r="AJ63" s="87">
        <f>Annual_Days*T_2!G21*Q63*I91_AADT_2014</f>
        <v>312524.78632311587</v>
      </c>
      <c r="AK63" s="87">
        <f>Annual_Days*T_2!H21*R63*I91_AADT_2014</f>
        <v>193011.78321243695</v>
      </c>
      <c r="AL63" s="44">
        <f t="shared" si="63"/>
        <v>3557101.8774704477</v>
      </c>
    </row>
    <row r="64" spans="1:38" x14ac:dyDescent="0.25">
      <c r="A64" s="210"/>
      <c r="B64" s="52">
        <v>15</v>
      </c>
      <c r="C64" s="86">
        <v>101.74470847632982</v>
      </c>
      <c r="D64" s="86">
        <v>106.73215459725184</v>
      </c>
      <c r="E64" s="86">
        <v>89.072063261382681</v>
      </c>
      <c r="F64" s="86">
        <v>109.93669870048174</v>
      </c>
      <c r="G64" s="86">
        <v>160.88960219891348</v>
      </c>
      <c r="H64" s="86">
        <v>128.17573358206079</v>
      </c>
      <c r="I64" s="86">
        <v>124.84168058140861</v>
      </c>
      <c r="K64" s="52">
        <v>15</v>
      </c>
      <c r="L64" s="85">
        <f t="shared" si="55"/>
        <v>8.5773630217843646</v>
      </c>
      <c r="M64" s="85">
        <f t="shared" si="56"/>
        <v>13.56480914270638</v>
      </c>
      <c r="N64" s="85">
        <f t="shared" si="57"/>
        <v>0</v>
      </c>
      <c r="O64" s="85">
        <f t="shared" si="58"/>
        <v>16.769353245936287</v>
      </c>
      <c r="P64" s="85">
        <f t="shared" si="59"/>
        <v>67.722256744368025</v>
      </c>
      <c r="Q64" s="85">
        <f t="shared" si="60"/>
        <v>35.008388127515332</v>
      </c>
      <c r="R64" s="85">
        <f t="shared" si="61"/>
        <v>31.674335126863156</v>
      </c>
      <c r="T64" s="52">
        <v>15</v>
      </c>
      <c r="U64" s="87">
        <f>Annual_Days*L64*T_2!J22*I91_AADT_2014</f>
        <v>1398605.5934077015</v>
      </c>
      <c r="V64" s="87">
        <f>Annual_Days*M64*T_2!K22*I91_AADT_2014</f>
        <v>1944873.5221792662</v>
      </c>
      <c r="W64" s="87">
        <f>Annual_Days*N64*T_2!L22*I91_AADT_2014</f>
        <v>0</v>
      </c>
      <c r="X64" s="87">
        <f>Annual_Days*O64*T_2!M22*I91_AADT_2014</f>
        <v>2705590.2866217969</v>
      </c>
      <c r="Y64" s="87">
        <f>Annual_Days*P64*T_2!N22*I91_AADT_2014</f>
        <v>12805587.124564489</v>
      </c>
      <c r="Z64" s="87">
        <f>Annual_Days*Q64*T_2!O22*I91_AADT_2014</f>
        <v>5397933.0569744511</v>
      </c>
      <c r="AA64" s="87">
        <f>Annual_Days*R64*T_2!P22*I91_AADT_2014</f>
        <v>5541681.9633320393</v>
      </c>
      <c r="AB64" s="44">
        <f t="shared" si="62"/>
        <v>29794271.547079742</v>
      </c>
      <c r="AD64" s="52">
        <v>15</v>
      </c>
      <c r="AE64" s="87">
        <f>Annual_Days*T_2!B22*L64*I91_AADT_2014</f>
        <v>230647.23821109463</v>
      </c>
      <c r="AF64" s="87">
        <f>Annual_Days*T_2!C22*M64*I91_AADT_2014</f>
        <v>347686.88664657273</v>
      </c>
      <c r="AG64" s="87">
        <f>Annual_Days*T_2!D22*N64*I91_AADT_2014</f>
        <v>0</v>
      </c>
      <c r="AH64" s="87">
        <f>Annual_Days*T_2!E22*O64*I91_AADT_2014</f>
        <v>472998.58556898788</v>
      </c>
      <c r="AI64" s="87">
        <f>Annual_Days*T_2!F22*P64*I91_AADT_2014</f>
        <v>1902433.6696402919</v>
      </c>
      <c r="AJ64" s="87">
        <f>Annual_Days*T_2!G22*Q64*I91_AADT_2014</f>
        <v>396582.83683893934</v>
      </c>
      <c r="AK64" s="87">
        <f>Annual_Days*T_2!H22*R64*I91_AADT_2014</f>
        <v>373311.47300405503</v>
      </c>
      <c r="AL64" s="44">
        <f t="shared" si="63"/>
        <v>3723660.6899099415</v>
      </c>
    </row>
    <row r="65" spans="1:38" x14ac:dyDescent="0.25">
      <c r="A65" s="210"/>
      <c r="B65" s="52">
        <v>16</v>
      </c>
      <c r="C65" s="86">
        <v>89.589483066810018</v>
      </c>
      <c r="D65" s="86">
        <v>94.251048952570954</v>
      </c>
      <c r="E65" s="86">
        <v>85.063901932477791</v>
      </c>
      <c r="F65" s="86">
        <v>97.427133337917965</v>
      </c>
      <c r="G65" s="86">
        <v>131.62887388051453</v>
      </c>
      <c r="H65" s="86">
        <v>97.641338302579157</v>
      </c>
      <c r="I65" s="86">
        <v>126.93329276597616</v>
      </c>
      <c r="K65" s="52">
        <v>16</v>
      </c>
      <c r="L65" s="85">
        <f t="shared" si="55"/>
        <v>0</v>
      </c>
      <c r="M65" s="85">
        <f t="shared" si="56"/>
        <v>1.0837034980254998</v>
      </c>
      <c r="N65" s="85">
        <f t="shared" si="57"/>
        <v>0</v>
      </c>
      <c r="O65" s="85">
        <f t="shared" si="58"/>
        <v>4.2597878833725105</v>
      </c>
      <c r="P65" s="85">
        <f t="shared" si="59"/>
        <v>38.461528425969078</v>
      </c>
      <c r="Q65" s="85">
        <f t="shared" si="60"/>
        <v>4.4739928480337028</v>
      </c>
      <c r="R65" s="85">
        <f t="shared" si="61"/>
        <v>33.765947311430708</v>
      </c>
      <c r="T65" s="52">
        <v>16</v>
      </c>
      <c r="U65" s="87">
        <f>Annual_Days*L65*T_2!J23*I91_AADT_2014</f>
        <v>0</v>
      </c>
      <c r="V65" s="87">
        <f>Annual_Days*M65*T_2!K23*I91_AADT_2014</f>
        <v>202065.16285664949</v>
      </c>
      <c r="W65" s="87">
        <f>Annual_Days*N65*T_2!L23*I91_AADT_2014</f>
        <v>0</v>
      </c>
      <c r="X65" s="87">
        <f>Annual_Days*O65*T_2!M23*I91_AADT_2014</f>
        <v>754301.96104064188</v>
      </c>
      <c r="Y65" s="87">
        <f>Annual_Days*P65*T_2!N23*I91_AADT_2014</f>
        <v>7549946.3634648956</v>
      </c>
      <c r="Z65" s="87">
        <f>Annual_Days*Q65*T_2!O23*I91_AADT_2014</f>
        <v>663222.58658407221</v>
      </c>
      <c r="AA65" s="87">
        <f>Annual_Days*R65*T_2!P23*I91_AADT_2014</f>
        <v>5538641.3151008626</v>
      </c>
      <c r="AB65" s="44">
        <f t="shared" si="62"/>
        <v>14708177.389047123</v>
      </c>
      <c r="AD65" s="52">
        <v>16</v>
      </c>
      <c r="AE65" s="87">
        <f>Annual_Days*T_2!B23*L65*I91_AADT_2014</f>
        <v>0</v>
      </c>
      <c r="AF65" s="87">
        <f>Annual_Days*T_2!C23*M65*I91_AADT_2014</f>
        <v>25420.901126488581</v>
      </c>
      <c r="AG65" s="87">
        <f>Annual_Days*T_2!D23*N65*I91_AADT_2014</f>
        <v>0</v>
      </c>
      <c r="AH65" s="87">
        <f>Annual_Days*T_2!E23*O65*I91_AADT_2014</f>
        <v>116740.10964086182</v>
      </c>
      <c r="AI65" s="87">
        <f>Annual_Days*T_2!F23*P65*I91_AADT_2014</f>
        <v>1113457.5517089004</v>
      </c>
      <c r="AJ65" s="87">
        <f>Annual_Days*T_2!G23*Q65*I91_AADT_2014</f>
        <v>47866.701540417409</v>
      </c>
      <c r="AK65" s="87">
        <f>Annual_Days*T_2!H23*R65*I91_AADT_2014</f>
        <v>444327.69531677652</v>
      </c>
      <c r="AL65" s="44">
        <f t="shared" si="63"/>
        <v>1747812.9593334449</v>
      </c>
    </row>
    <row r="66" spans="1:38" x14ac:dyDescent="0.25">
      <c r="A66" s="210"/>
      <c r="B66" s="52">
        <v>17</v>
      </c>
      <c r="C66" s="86">
        <v>93.617014513974354</v>
      </c>
      <c r="D66" s="86">
        <v>107.61380776717952</v>
      </c>
      <c r="E66" s="86">
        <v>90.690194486291418</v>
      </c>
      <c r="F66" s="86">
        <v>94.662233280677015</v>
      </c>
      <c r="G66" s="86">
        <v>126.40515891062985</v>
      </c>
      <c r="H66" s="86">
        <v>85.464226578862863</v>
      </c>
      <c r="I66" s="86">
        <v>115.90788409322036</v>
      </c>
      <c r="K66" s="52">
        <v>17</v>
      </c>
      <c r="L66" s="85">
        <f t="shared" si="55"/>
        <v>0.44966905942889923</v>
      </c>
      <c r="M66" s="85">
        <f t="shared" si="56"/>
        <v>14.446462312634068</v>
      </c>
      <c r="N66" s="85">
        <f t="shared" si="57"/>
        <v>0</v>
      </c>
      <c r="O66" s="85">
        <f t="shared" si="58"/>
        <v>1.4948878261315599</v>
      </c>
      <c r="P66" s="85">
        <f t="shared" si="59"/>
        <v>33.237813456084396</v>
      </c>
      <c r="Q66" s="85">
        <f t="shared" si="60"/>
        <v>0</v>
      </c>
      <c r="R66" s="85">
        <f t="shared" si="61"/>
        <v>22.740538638674906</v>
      </c>
      <c r="T66" s="52">
        <v>17</v>
      </c>
      <c r="U66" s="87">
        <f>Annual_Days*L66*T_2!J24*I91_AADT_2014</f>
        <v>82403.669977892685</v>
      </c>
      <c r="V66" s="87">
        <f>Annual_Days*M66*T_2!K24*I91_AADT_2014</f>
        <v>2785402.8739870917</v>
      </c>
      <c r="W66" s="87">
        <f>Annual_Days*N66*T_2!L24*I91_AADT_2014</f>
        <v>0</v>
      </c>
      <c r="X66" s="87">
        <f>Annual_Days*O66*T_2!M24*I91_AADT_2014</f>
        <v>251022.88712721661</v>
      </c>
      <c r="Y66" s="87">
        <f>Annual_Days*P66*T_2!N24*I91_AADT_2014</f>
        <v>6560669.354585846</v>
      </c>
      <c r="Z66" s="87">
        <f>Annual_Days*Q66*T_2!O24*I91_AADT_2014</f>
        <v>0</v>
      </c>
      <c r="AA66" s="87">
        <f>Annual_Days*R66*T_2!P24*I91_AADT_2014</f>
        <v>3412680.6297680428</v>
      </c>
      <c r="AB66" s="44">
        <f t="shared" si="62"/>
        <v>13092179.415446091</v>
      </c>
      <c r="AD66" s="52">
        <v>17</v>
      </c>
      <c r="AE66" s="87">
        <f>Annual_Days*T_2!B24*L66*I91_AADT_2014</f>
        <v>10728.170584071571</v>
      </c>
      <c r="AF66" s="87">
        <f>Annual_Days*T_2!C24*M66*I91_AADT_2014</f>
        <v>338876.90751771745</v>
      </c>
      <c r="AG66" s="87">
        <f>Annual_Days*T_2!D24*N66*I91_AADT_2014</f>
        <v>0</v>
      </c>
      <c r="AH66" s="87">
        <f>Annual_Days*T_2!E24*O66*I91_AADT_2014</f>
        <v>33526.736543055842</v>
      </c>
      <c r="AI66" s="87">
        <f>Annual_Days*T_2!F24*P66*I91_AADT_2014</f>
        <v>754952.38660016854</v>
      </c>
      <c r="AJ66" s="87">
        <f>Annual_Days*T_2!G24*Q66*I91_AADT_2014</f>
        <v>0</v>
      </c>
      <c r="AK66" s="87">
        <f>Annual_Days*T_2!H24*R66*I91_AADT_2014</f>
        <v>286233.22094890184</v>
      </c>
      <c r="AL66" s="44">
        <f t="shared" si="63"/>
        <v>1424317.4221939151</v>
      </c>
    </row>
    <row r="67" spans="1:38" x14ac:dyDescent="0.25">
      <c r="A67" s="210"/>
      <c r="B67" s="52">
        <v>18</v>
      </c>
      <c r="C67" s="86">
        <v>100.54501673411716</v>
      </c>
      <c r="D67" s="86">
        <v>101.86955068098175</v>
      </c>
      <c r="E67" s="86">
        <v>85.164812851890872</v>
      </c>
      <c r="F67" s="86">
        <v>85.316856187433672</v>
      </c>
      <c r="G67" s="86">
        <v>114.02710797007326</v>
      </c>
      <c r="H67" s="86">
        <v>83.18857302106403</v>
      </c>
      <c r="I67" s="86">
        <v>118.83636909905718</v>
      </c>
      <c r="K67" s="52">
        <v>18</v>
      </c>
      <c r="L67" s="85">
        <f t="shared" si="55"/>
        <v>7.3776712795717003</v>
      </c>
      <c r="M67" s="85">
        <f t="shared" si="56"/>
        <v>8.7022052264362912</v>
      </c>
      <c r="N67" s="85">
        <f t="shared" si="57"/>
        <v>0</v>
      </c>
      <c r="O67" s="85">
        <f t="shared" si="58"/>
        <v>0</v>
      </c>
      <c r="P67" s="85">
        <f t="shared" si="59"/>
        <v>20.859762515527805</v>
      </c>
      <c r="Q67" s="85">
        <f t="shared" si="60"/>
        <v>0</v>
      </c>
      <c r="R67" s="85">
        <f t="shared" si="61"/>
        <v>25.669023644511725</v>
      </c>
      <c r="T67" s="52">
        <v>18</v>
      </c>
      <c r="U67" s="87">
        <f>Annual_Days*L67*T_2!J25*I91_AADT_2014</f>
        <v>1129541.0518937279</v>
      </c>
      <c r="V67" s="87">
        <f>Annual_Days*M67*T_2!K25*I91_AADT_2014</f>
        <v>1424438.7793016683</v>
      </c>
      <c r="W67" s="87">
        <f>Annual_Days*N67*T_2!L25*I91_AADT_2014</f>
        <v>0</v>
      </c>
      <c r="X67" s="87">
        <f>Annual_Days*O67*T_2!M25*I91_AADT_2014</f>
        <v>0</v>
      </c>
      <c r="Y67" s="87">
        <f>Annual_Days*P67*T_2!N25*I91_AADT_2014</f>
        <v>4044618.2593550952</v>
      </c>
      <c r="Z67" s="87">
        <f>Annual_Days*Q67*T_2!O25*I91_AADT_2014</f>
        <v>0</v>
      </c>
      <c r="AA67" s="87">
        <f>Annual_Days*R67*T_2!P25*I91_AADT_2014</f>
        <v>3868314.0949394875</v>
      </c>
      <c r="AB67" s="44">
        <f t="shared" si="62"/>
        <v>10466912.185489979</v>
      </c>
      <c r="AD67" s="52">
        <v>18</v>
      </c>
      <c r="AE67" s="87">
        <f>Annual_Days*T_2!B25*L67*I91_AADT_2014</f>
        <v>114811.34757664199</v>
      </c>
      <c r="AF67" s="87">
        <f>Annual_Days*T_2!C25*M67*I91_AADT_2014</f>
        <v>196165.28453158244</v>
      </c>
      <c r="AG67" s="87">
        <f>Annual_Days*T_2!D25*N67*I91_AADT_2014</f>
        <v>0</v>
      </c>
      <c r="AH67" s="87">
        <f>Annual_Days*T_2!E25*O67*I91_AADT_2014</f>
        <v>0</v>
      </c>
      <c r="AI67" s="87">
        <f>Annual_Days*T_2!F25*P67*I91_AADT_2014</f>
        <v>430837.17663829721</v>
      </c>
      <c r="AJ67" s="87">
        <f>Annual_Days*T_2!G25*Q67*I91_AADT_2014</f>
        <v>0</v>
      </c>
      <c r="AK67" s="87">
        <f>Annual_Days*T_2!H25*R67*I91_AADT_2014</f>
        <v>273161.13198889315</v>
      </c>
      <c r="AL67" s="44">
        <f t="shared" si="63"/>
        <v>1014974.9407354147</v>
      </c>
    </row>
    <row r="68" spans="1:38" x14ac:dyDescent="0.25">
      <c r="A68" s="210"/>
      <c r="B68" s="52">
        <v>19</v>
      </c>
      <c r="C68" s="86">
        <v>86.479979097755191</v>
      </c>
      <c r="D68" s="86">
        <v>84.107222662563657</v>
      </c>
      <c r="E68" s="86">
        <v>89.464690491586055</v>
      </c>
      <c r="F68" s="86">
        <v>87.388202462599963</v>
      </c>
      <c r="G68" s="86">
        <v>103.92066374213506</v>
      </c>
      <c r="H68" s="86">
        <v>82.559883277150263</v>
      </c>
      <c r="I68" s="86">
        <v>92.43941152799627</v>
      </c>
      <c r="K68" s="52">
        <v>19</v>
      </c>
      <c r="L68" s="85">
        <f t="shared" si="55"/>
        <v>0</v>
      </c>
      <c r="M68" s="85">
        <f t="shared" si="56"/>
        <v>0</v>
      </c>
      <c r="N68" s="85">
        <f t="shared" si="57"/>
        <v>0</v>
      </c>
      <c r="O68" s="85">
        <f t="shared" si="58"/>
        <v>0</v>
      </c>
      <c r="P68" s="85">
        <f t="shared" si="59"/>
        <v>10.753318287589607</v>
      </c>
      <c r="Q68" s="85">
        <f t="shared" si="60"/>
        <v>0</v>
      </c>
      <c r="R68" s="85">
        <f t="shared" si="61"/>
        <v>0</v>
      </c>
      <c r="T68" s="52">
        <v>19</v>
      </c>
      <c r="U68" s="87">
        <f>Annual_Days*L68*T_2!J26*I91_AADT_2014</f>
        <v>0</v>
      </c>
      <c r="V68" s="87">
        <f>Annual_Days*M68*T_2!K26*I91_AADT_2014</f>
        <v>0</v>
      </c>
      <c r="W68" s="87">
        <f>Annual_Days*N68*T_2!L26*I91_AADT_2014</f>
        <v>0</v>
      </c>
      <c r="X68" s="87">
        <f>Annual_Days*O68*T_2!M26*I91_AADT_2014</f>
        <v>0</v>
      </c>
      <c r="Y68" s="87">
        <f>Annual_Days*P68*T_2!N26*I91_AADT_2014</f>
        <v>1704193.4009959376</v>
      </c>
      <c r="Z68" s="87">
        <f>Annual_Days*Q68*T_2!O26*I91_AADT_2014</f>
        <v>0</v>
      </c>
      <c r="AA68" s="87">
        <f>Annual_Days*R68*T_2!P26*I91_AADT_2014</f>
        <v>0</v>
      </c>
      <c r="AB68" s="44">
        <f t="shared" si="62"/>
        <v>1704193.4009959376</v>
      </c>
      <c r="AD68" s="52">
        <v>19</v>
      </c>
      <c r="AE68" s="87">
        <f>Annual_Days*T_2!B26*L68*I91_AADT_2014</f>
        <v>0</v>
      </c>
      <c r="AF68" s="87">
        <f>Annual_Days*T_2!C26*M68*I91_AADT_2014</f>
        <v>0</v>
      </c>
      <c r="AG68" s="87">
        <f>Annual_Days*T_2!D26*N68*I91_AADT_2014</f>
        <v>0</v>
      </c>
      <c r="AH68" s="87">
        <f>Annual_Days*T_2!E26*O68*I91_AADT_2014</f>
        <v>0</v>
      </c>
      <c r="AI68" s="87">
        <f>Annual_Days*T_2!F26*P68*I91_AADT_2014</f>
        <v>139657.72636320497</v>
      </c>
      <c r="AJ68" s="87">
        <f>Annual_Days*T_2!G26*Q68*I91_AADT_2014</f>
        <v>0</v>
      </c>
      <c r="AK68" s="87">
        <f>Annual_Days*T_2!H26*R68*I91_AADT_2014</f>
        <v>0</v>
      </c>
      <c r="AL68" s="44">
        <f t="shared" si="63"/>
        <v>139657.72636320497</v>
      </c>
    </row>
    <row r="69" spans="1:38" x14ac:dyDescent="0.25">
      <c r="A69" s="210"/>
      <c r="B69" s="52">
        <v>20</v>
      </c>
      <c r="C69" s="86">
        <v>86.839961422966326</v>
      </c>
      <c r="D69" s="86">
        <v>84.95476506616393</v>
      </c>
      <c r="E69" s="86">
        <v>87.464815870151241</v>
      </c>
      <c r="F69" s="86">
        <v>92.762308492626261</v>
      </c>
      <c r="G69" s="86">
        <v>101.52351672492699</v>
      </c>
      <c r="H69" s="86">
        <v>82.629853147988783</v>
      </c>
      <c r="I69" s="86">
        <v>107.1698191083312</v>
      </c>
      <c r="K69" s="52">
        <v>20</v>
      </c>
      <c r="L69" s="85">
        <f t="shared" si="55"/>
        <v>0</v>
      </c>
      <c r="M69" s="85">
        <f t="shared" si="56"/>
        <v>0</v>
      </c>
      <c r="N69" s="85">
        <f t="shared" si="57"/>
        <v>0</v>
      </c>
      <c r="O69" s="85">
        <f t="shared" si="58"/>
        <v>0</v>
      </c>
      <c r="P69" s="85">
        <f t="shared" si="59"/>
        <v>8.3561712703815374</v>
      </c>
      <c r="Q69" s="85">
        <f t="shared" si="60"/>
        <v>0</v>
      </c>
      <c r="R69" s="85">
        <f t="shared" si="61"/>
        <v>14.002473653785742</v>
      </c>
      <c r="T69" s="52">
        <v>20</v>
      </c>
      <c r="U69" s="87">
        <f>Annual_Days*L69*T_2!J27*I91_AADT_2014</f>
        <v>0</v>
      </c>
      <c r="V69" s="87">
        <f>Annual_Days*M69*T_2!K27*I91_AADT_2014</f>
        <v>0</v>
      </c>
      <c r="W69" s="87">
        <f>Annual_Days*N69*T_2!L27*I91_AADT_2014</f>
        <v>0</v>
      </c>
      <c r="X69" s="87">
        <f>Annual_Days*O69*T_2!M27*I91_AADT_2014</f>
        <v>0</v>
      </c>
      <c r="Y69" s="87">
        <f>Annual_Days*P69*T_2!N27*I91_AADT_2014</f>
        <v>984374.35064697335</v>
      </c>
      <c r="Z69" s="87">
        <f>Annual_Days*Q69*T_2!O27*I91_AADT_2014</f>
        <v>0</v>
      </c>
      <c r="AA69" s="87">
        <f>Annual_Days*R69*T_2!P27*I91_AADT_2014</f>
        <v>1588634.8590816925</v>
      </c>
      <c r="AB69" s="44">
        <f t="shared" si="62"/>
        <v>2573009.2097286656</v>
      </c>
      <c r="AD69" s="52">
        <v>20</v>
      </c>
      <c r="AE69" s="87">
        <f>Annual_Days*T_2!B27*L69*I91_AADT_2014</f>
        <v>0</v>
      </c>
      <c r="AF69" s="87">
        <f>Annual_Days*T_2!C27*M69*I91_AADT_2014</f>
        <v>0</v>
      </c>
      <c r="AG69" s="87">
        <f>Annual_Days*T_2!D27*N69*I91_AADT_2014</f>
        <v>0</v>
      </c>
      <c r="AH69" s="87">
        <f>Annual_Days*T_2!E27*O69*I91_AADT_2014</f>
        <v>0</v>
      </c>
      <c r="AI69" s="87">
        <f>Annual_Days*T_2!F27*P69*I91_AADT_2014</f>
        <v>84620.815961395972</v>
      </c>
      <c r="AJ69" s="87">
        <f>Annual_Days*T_2!G27*Q69*I91_AADT_2014</f>
        <v>0</v>
      </c>
      <c r="AK69" s="87">
        <f>Annual_Days*T_2!H27*R69*I91_AADT_2014</f>
        <v>139396.09958659331</v>
      </c>
      <c r="AL69" s="44">
        <f t="shared" si="63"/>
        <v>224016.91554798928</v>
      </c>
    </row>
    <row r="70" spans="1:38" x14ac:dyDescent="0.25">
      <c r="A70" s="210"/>
      <c r="B70" s="52">
        <v>21</v>
      </c>
      <c r="C70" s="86">
        <v>89.881072007477542</v>
      </c>
      <c r="D70" s="86">
        <v>93.083892231306976</v>
      </c>
      <c r="E70" s="86">
        <v>96.43169628360765</v>
      </c>
      <c r="F70" s="86">
        <v>96.162152778088029</v>
      </c>
      <c r="G70" s="86">
        <v>116.15141803880938</v>
      </c>
      <c r="H70" s="86">
        <v>84.914842925735883</v>
      </c>
      <c r="I70" s="86">
        <v>86.963268244767491</v>
      </c>
      <c r="K70" s="52">
        <v>21</v>
      </c>
      <c r="L70" s="85">
        <f t="shared" si="55"/>
        <v>0</v>
      </c>
      <c r="M70" s="85">
        <f t="shared" si="56"/>
        <v>0</v>
      </c>
      <c r="N70" s="85">
        <f t="shared" si="57"/>
        <v>3.2643508290621952</v>
      </c>
      <c r="O70" s="85">
        <f t="shared" si="58"/>
        <v>2.9948073235425738</v>
      </c>
      <c r="P70" s="85">
        <f t="shared" si="59"/>
        <v>22.984072584263927</v>
      </c>
      <c r="Q70" s="85">
        <f t="shared" si="60"/>
        <v>0</v>
      </c>
      <c r="R70" s="85">
        <f t="shared" si="61"/>
        <v>0</v>
      </c>
      <c r="T70" s="52">
        <v>21</v>
      </c>
      <c r="U70" s="87">
        <f>Annual_Days*L70*T_2!J28*I91_AADT_2014</f>
        <v>0</v>
      </c>
      <c r="V70" s="87">
        <f>Annual_Days*M70*T_2!K28*I91_AADT_2014</f>
        <v>0</v>
      </c>
      <c r="W70" s="87">
        <f>Annual_Days*N70*T_2!L28*I91_AADT_2014</f>
        <v>263524.16794172768</v>
      </c>
      <c r="X70" s="87">
        <f>Annual_Days*O70*T_2!M28*I91_AADT_2014</f>
        <v>280145.243445748</v>
      </c>
      <c r="Y70" s="87">
        <f>Annual_Days*P70*T_2!N28*I91_AADT_2014</f>
        <v>2332798.4041516073</v>
      </c>
      <c r="Z70" s="87">
        <f>Annual_Days*Q70*T_2!O28*I91_AADT_2014</f>
        <v>0</v>
      </c>
      <c r="AA70" s="87">
        <f>Annual_Days*R70*T_2!P28*I91_AADT_2014</f>
        <v>0</v>
      </c>
      <c r="AB70" s="44">
        <f t="shared" si="62"/>
        <v>2876467.815539083</v>
      </c>
      <c r="AD70" s="52">
        <v>21</v>
      </c>
      <c r="AE70" s="87">
        <f>Annual_Days*T_2!B28*L70*I91_AADT_2014</f>
        <v>0</v>
      </c>
      <c r="AF70" s="87">
        <f>Annual_Days*T_2!C28*M70*I91_AADT_2014</f>
        <v>0</v>
      </c>
      <c r="AG70" s="87">
        <f>Annual_Days*T_2!D28*N70*I91_AADT_2014</f>
        <v>43889.567304256547</v>
      </c>
      <c r="AH70" s="87">
        <f>Annual_Days*T_2!E28*O70*I91_AADT_2014</f>
        <v>31013.020834055278</v>
      </c>
      <c r="AI70" s="87">
        <f>Annual_Days*T_2!F28*P70*I91_AADT_2014</f>
        <v>178839.11102853363</v>
      </c>
      <c r="AJ70" s="87">
        <f>Annual_Days*T_2!G28*Q70*I91_AADT_2014</f>
        <v>0</v>
      </c>
      <c r="AK70" s="87">
        <f>Annual_Days*T_2!H28*R70*I91_AADT_2014</f>
        <v>0</v>
      </c>
      <c r="AL70" s="44">
        <f t="shared" si="63"/>
        <v>253741.69916684547</v>
      </c>
    </row>
    <row r="71" spans="1:38" x14ac:dyDescent="0.25">
      <c r="A71" s="210"/>
      <c r="B71" s="52">
        <v>22</v>
      </c>
      <c r="C71" s="86">
        <v>84.64906611407784</v>
      </c>
      <c r="D71" s="86">
        <v>86.173560449135152</v>
      </c>
      <c r="E71" s="86">
        <v>95.842830135072873</v>
      </c>
      <c r="F71" s="86">
        <v>88.007822693882233</v>
      </c>
      <c r="G71" s="86">
        <v>107.90856591076894</v>
      </c>
      <c r="H71" s="86">
        <v>83.785515279796172</v>
      </c>
      <c r="I71" s="86">
        <v>92.218689841819483</v>
      </c>
      <c r="K71" s="52">
        <v>22</v>
      </c>
      <c r="L71" s="85">
        <f t="shared" si="55"/>
        <v>0</v>
      </c>
      <c r="M71" s="85">
        <f t="shared" si="56"/>
        <v>0</v>
      </c>
      <c r="N71" s="85">
        <f t="shared" si="57"/>
        <v>2.6754846805274184</v>
      </c>
      <c r="O71" s="85">
        <f t="shared" si="58"/>
        <v>0</v>
      </c>
      <c r="P71" s="85">
        <f t="shared" si="59"/>
        <v>14.741220456223488</v>
      </c>
      <c r="Q71" s="85">
        <f t="shared" si="60"/>
        <v>0</v>
      </c>
      <c r="R71" s="85">
        <f t="shared" si="61"/>
        <v>0</v>
      </c>
      <c r="T71" s="52">
        <v>22</v>
      </c>
      <c r="U71" s="87">
        <f>Annual_Days*L71*T_2!J29*I91_AADT_2014</f>
        <v>0</v>
      </c>
      <c r="V71" s="87">
        <f>Annual_Days*M71*T_2!K29*I91_AADT_2014</f>
        <v>0</v>
      </c>
      <c r="W71" s="87">
        <f>Annual_Days*N71*T_2!L29*I91_AADT_2014</f>
        <v>172513.46339698546</v>
      </c>
      <c r="X71" s="87">
        <f>Annual_Days*O71*T_2!M29*I91_AADT_2014</f>
        <v>0</v>
      </c>
      <c r="Y71" s="87">
        <f>Annual_Days*P71*T_2!N29*I91_AADT_2014</f>
        <v>1421117.396642264</v>
      </c>
      <c r="Z71" s="87">
        <f>Annual_Days*Q71*T_2!O29*I91_AADT_2014</f>
        <v>0</v>
      </c>
      <c r="AA71" s="87">
        <f>Annual_Days*R71*T_2!P29*I91_AADT_2014</f>
        <v>0</v>
      </c>
      <c r="AB71" s="44">
        <f t="shared" si="62"/>
        <v>1593630.8600392495</v>
      </c>
      <c r="AD71" s="52">
        <v>22</v>
      </c>
      <c r="AE71" s="87">
        <f>Annual_Days*T_2!B29*L71*I91_AADT_2014</f>
        <v>0</v>
      </c>
      <c r="AF71" s="87">
        <f>Annual_Days*T_2!C29*M71*I91_AADT_2014</f>
        <v>0</v>
      </c>
      <c r="AG71" s="87">
        <f>Annual_Days*T_2!D29*N71*I91_AADT_2014</f>
        <v>30614.634143209489</v>
      </c>
      <c r="AH71" s="87">
        <f>Annual_Days*T_2!E29*O71*I91_AADT_2014</f>
        <v>0</v>
      </c>
      <c r="AI71" s="87">
        <f>Annual_Days*T_2!F29*P71*I91_AADT_2014</f>
        <v>153497.54669963924</v>
      </c>
      <c r="AJ71" s="87">
        <f>Annual_Days*T_2!G29*Q71*I91_AADT_2014</f>
        <v>0</v>
      </c>
      <c r="AK71" s="87">
        <f>Annual_Days*T_2!H29*R71*I91_AADT_2014</f>
        <v>0</v>
      </c>
      <c r="AL71" s="44">
        <f t="shared" si="63"/>
        <v>184112.18084284873</v>
      </c>
    </row>
    <row r="72" spans="1:38" x14ac:dyDescent="0.25">
      <c r="A72" s="210"/>
      <c r="B72" s="52">
        <v>23</v>
      </c>
      <c r="C72" s="86">
        <v>102.21483743121517</v>
      </c>
      <c r="D72" s="86">
        <v>89.731909680307879</v>
      </c>
      <c r="E72" s="86">
        <v>97.563257376422868</v>
      </c>
      <c r="F72" s="86">
        <v>91.361881176946937</v>
      </c>
      <c r="G72" s="86">
        <v>113.41710062540281</v>
      </c>
      <c r="H72" s="86">
        <v>83.225767447276823</v>
      </c>
      <c r="I72" s="86">
        <v>84.373266706424346</v>
      </c>
      <c r="K72" s="52">
        <v>23</v>
      </c>
      <c r="L72" s="85">
        <f t="shared" si="55"/>
        <v>9.0474919766697184</v>
      </c>
      <c r="M72" s="85">
        <f t="shared" si="56"/>
        <v>0</v>
      </c>
      <c r="N72" s="85">
        <f t="shared" si="57"/>
        <v>4.3959119218774134</v>
      </c>
      <c r="O72" s="85">
        <f t="shared" si="58"/>
        <v>0</v>
      </c>
      <c r="P72" s="85">
        <f t="shared" si="59"/>
        <v>20.249755170857355</v>
      </c>
      <c r="Q72" s="85">
        <f t="shared" si="60"/>
        <v>0</v>
      </c>
      <c r="R72" s="85">
        <f t="shared" si="61"/>
        <v>0</v>
      </c>
      <c r="T72" s="52">
        <v>23</v>
      </c>
      <c r="U72" s="87">
        <f>Annual_Days*L72*T_2!J30*I91_AADT_2014</f>
        <v>431191.12917463761</v>
      </c>
      <c r="V72" s="87">
        <f>Annual_Days*M72*T_2!K30*I91_AADT_2014</f>
        <v>0</v>
      </c>
      <c r="W72" s="87">
        <f>Annual_Days*N72*T_2!L30*I91_AADT_2014</f>
        <v>196424.93838061023</v>
      </c>
      <c r="X72" s="87">
        <f>Annual_Days*O72*T_2!M30*I91_AADT_2014</f>
        <v>0</v>
      </c>
      <c r="Y72" s="87">
        <f>Annual_Days*P72*T_2!N30*I91_AADT_2014</f>
        <v>1599963.461984532</v>
      </c>
      <c r="Z72" s="87">
        <f>Annual_Days*Q72*T_2!O30*I91_AADT_2014</f>
        <v>0</v>
      </c>
      <c r="AA72" s="87">
        <f>Annual_Days*R72*T_2!P30*I91_AADT_2014</f>
        <v>0</v>
      </c>
      <c r="AB72" s="44">
        <f t="shared" si="62"/>
        <v>2227579.5295397798</v>
      </c>
      <c r="AD72" s="52">
        <v>23</v>
      </c>
      <c r="AE72" s="87">
        <f>Annual_Days*T_2!B30*L72*I91_AADT_2014</f>
        <v>83857.098350889908</v>
      </c>
      <c r="AF72" s="87">
        <f>Annual_Days*T_2!C30*M72*I91_AADT_2014</f>
        <v>0</v>
      </c>
      <c r="AG72" s="87">
        <f>Annual_Days*T_2!D30*N72*I91_AADT_2014</f>
        <v>57594.508180742312</v>
      </c>
      <c r="AH72" s="87">
        <f>Annual_Days*T_2!E30*O72*I91_AADT_2014</f>
        <v>0</v>
      </c>
      <c r="AI72" s="87">
        <f>Annual_Days*T_2!F30*P72*I91_AADT_2014</f>
        <v>209698.32485097775</v>
      </c>
      <c r="AJ72" s="87">
        <f>Annual_Days*T_2!G30*Q72*I91_AADT_2014</f>
        <v>0</v>
      </c>
      <c r="AK72" s="87">
        <f>Annual_Days*T_2!H30*R72*I91_AADT_2014</f>
        <v>0</v>
      </c>
      <c r="AL72" s="44">
        <f t="shared" si="63"/>
        <v>351149.93138261</v>
      </c>
    </row>
    <row r="73" spans="1:38" x14ac:dyDescent="0.25">
      <c r="A73" s="210"/>
      <c r="B73" s="15" t="s">
        <v>12</v>
      </c>
      <c r="C73" s="12">
        <v>2185.5576475159482</v>
      </c>
      <c r="D73" s="12">
        <v>2219.7200101465032</v>
      </c>
      <c r="E73" s="12">
        <v>2247.5228826410266</v>
      </c>
      <c r="F73" s="12">
        <v>2268.0396581317541</v>
      </c>
      <c r="G73" s="12">
        <v>2596.8674019297814</v>
      </c>
      <c r="H73" s="12">
        <v>2344.1295170192143</v>
      </c>
      <c r="I73" s="12">
        <v>2270.7174131675401</v>
      </c>
      <c r="K73" s="15" t="s">
        <v>12</v>
      </c>
      <c r="L73" s="12">
        <f>SUM(L49:L72)</f>
        <v>73.625659378835763</v>
      </c>
      <c r="M73" s="12">
        <f t="shared" ref="M73:R73" si="64">SUM(M49:M72)</f>
        <v>86.158487416165798</v>
      </c>
      <c r="N73" s="12">
        <f t="shared" si="64"/>
        <v>119.06393193055948</v>
      </c>
      <c r="O73" s="12">
        <f t="shared" si="64"/>
        <v>106.2629301771138</v>
      </c>
      <c r="P73" s="12">
        <f t="shared" si="64"/>
        <v>428.21798823007009</v>
      </c>
      <c r="Q73" s="12">
        <f t="shared" si="64"/>
        <v>236.4466871511712</v>
      </c>
      <c r="R73" s="12">
        <f t="shared" si="64"/>
        <v>161.12273479385101</v>
      </c>
      <c r="T73" s="53" t="s">
        <v>97</v>
      </c>
      <c r="U73" s="44">
        <f t="shared" ref="U73:AB73" si="65">SUM(U49:U72)</f>
        <v>15111452.132803719</v>
      </c>
      <c r="V73" s="44">
        <f t="shared" si="65"/>
        <v>17427917.140961539</v>
      </c>
      <c r="W73" s="44">
        <f t="shared" si="65"/>
        <v>22604958.046534661</v>
      </c>
      <c r="X73" s="44">
        <f t="shared" si="65"/>
        <v>20334598.896511398</v>
      </c>
      <c r="Y73" s="44">
        <f t="shared" si="65"/>
        <v>69742853.392226234</v>
      </c>
      <c r="Z73" s="44">
        <f t="shared" si="65"/>
        <v>35267639.407320745</v>
      </c>
      <c r="AA73" s="44">
        <f t="shared" si="65"/>
        <v>25490347.796153355</v>
      </c>
      <c r="AB73" s="44">
        <f t="shared" si="65"/>
        <v>205979766.81251171</v>
      </c>
      <c r="AD73" s="53" t="s">
        <v>97</v>
      </c>
      <c r="AE73" s="44">
        <f t="shared" ref="AE73:AL73" si="66">SUM(AE49:AE72)</f>
        <v>1788382.1374853514</v>
      </c>
      <c r="AF73" s="44">
        <f t="shared" si="66"/>
        <v>2537165.5188521254</v>
      </c>
      <c r="AG73" s="44">
        <f t="shared" si="66"/>
        <v>3530595.7221772815</v>
      </c>
      <c r="AH73" s="44">
        <f t="shared" si="66"/>
        <v>3176108.3377362648</v>
      </c>
      <c r="AI73" s="44">
        <f t="shared" si="66"/>
        <v>9956485.2775669992</v>
      </c>
      <c r="AJ73" s="44">
        <f t="shared" si="66"/>
        <v>2830723.8998842211</v>
      </c>
      <c r="AK73" s="44">
        <f t="shared" si="66"/>
        <v>1876827.2671411408</v>
      </c>
      <c r="AL73" s="44">
        <f t="shared" si="66"/>
        <v>25696288.160843387</v>
      </c>
    </row>
    <row r="74" spans="1:38" x14ac:dyDescent="0.25">
      <c r="U74" s="44"/>
      <c r="V74" s="44"/>
      <c r="W74" s="44"/>
      <c r="X74" s="44"/>
      <c r="Y74" s="44"/>
      <c r="Z74" s="50" t="s">
        <v>102</v>
      </c>
      <c r="AA74" s="49">
        <f>SUM(U49:AA72)</f>
        <v>205979766.81251165</v>
      </c>
      <c r="AB74" s="44"/>
      <c r="AE74" s="44"/>
      <c r="AF74" s="44"/>
      <c r="AG74" s="44"/>
      <c r="AH74" s="44"/>
      <c r="AI74" s="44"/>
      <c r="AJ74" s="50" t="s">
        <v>102</v>
      </c>
      <c r="AK74" s="49">
        <f>SUM(AE49:AK72)</f>
        <v>25696288.160843372</v>
      </c>
      <c r="AL74" s="44"/>
    </row>
    <row r="75" spans="1:38" x14ac:dyDescent="0.25">
      <c r="AK75" s="14"/>
    </row>
    <row r="77" spans="1:38" x14ac:dyDescent="0.25">
      <c r="K77" s="201" t="s">
        <v>100</v>
      </c>
      <c r="L77" s="201"/>
      <c r="M77" s="201"/>
      <c r="N77" s="201"/>
      <c r="O77" s="201"/>
      <c r="P77" s="201"/>
      <c r="Q77" s="201"/>
      <c r="R77" s="201"/>
      <c r="T77" s="201" t="s">
        <v>98</v>
      </c>
      <c r="U77" s="201"/>
      <c r="V77" s="201"/>
      <c r="W77" s="201"/>
      <c r="X77" s="201"/>
      <c r="Y77" s="201"/>
      <c r="Z77" s="201"/>
      <c r="AA77" s="201"/>
      <c r="AB77" s="201"/>
      <c r="AD77" s="201" t="s">
        <v>99</v>
      </c>
      <c r="AE77" s="201"/>
      <c r="AF77" s="201"/>
      <c r="AG77" s="201"/>
      <c r="AH77" s="201"/>
      <c r="AI77" s="201"/>
      <c r="AJ77" s="201"/>
      <c r="AK77" s="201"/>
      <c r="AL77" s="201"/>
    </row>
    <row r="78" spans="1:38" x14ac:dyDescent="0.25">
      <c r="A78" s="210">
        <v>5633</v>
      </c>
      <c r="B78" s="201" t="s">
        <v>73</v>
      </c>
      <c r="C78" s="201"/>
      <c r="D78" s="201"/>
      <c r="E78" s="201"/>
      <c r="F78" s="201"/>
      <c r="G78" s="201"/>
      <c r="H78" s="201"/>
      <c r="I78" s="201"/>
      <c r="K78" s="201" t="s">
        <v>101</v>
      </c>
      <c r="L78" s="201"/>
      <c r="M78" s="201"/>
      <c r="N78" s="201"/>
      <c r="O78" s="201"/>
      <c r="P78" s="201"/>
      <c r="Q78" s="201"/>
      <c r="R78" s="201"/>
      <c r="T78" s="201" t="s">
        <v>103</v>
      </c>
      <c r="U78" s="201"/>
      <c r="V78" s="201"/>
      <c r="W78" s="201"/>
      <c r="X78" s="201"/>
      <c r="Y78" s="201"/>
      <c r="Z78" s="201"/>
      <c r="AA78" s="201"/>
      <c r="AB78" s="201"/>
      <c r="AD78" s="201" t="s">
        <v>104</v>
      </c>
      <c r="AE78" s="201"/>
      <c r="AF78" s="201"/>
      <c r="AG78" s="201"/>
      <c r="AH78" s="201"/>
      <c r="AI78" s="201"/>
      <c r="AJ78" s="201"/>
      <c r="AK78" s="201"/>
      <c r="AL78" s="201"/>
    </row>
    <row r="79" spans="1:38" x14ac:dyDescent="0.25">
      <c r="A79" s="210"/>
      <c r="B79" s="51" t="s">
        <v>48</v>
      </c>
      <c r="C79" s="51" t="s">
        <v>7</v>
      </c>
      <c r="D79" s="51" t="s">
        <v>8</v>
      </c>
      <c r="E79" s="51" t="s">
        <v>2</v>
      </c>
      <c r="F79" s="51" t="s">
        <v>3</v>
      </c>
      <c r="G79" s="51" t="s">
        <v>4</v>
      </c>
      <c r="H79" s="51" t="s">
        <v>5</v>
      </c>
      <c r="I79" s="51" t="s">
        <v>6</v>
      </c>
      <c r="K79" s="51" t="s">
        <v>48</v>
      </c>
      <c r="L79" s="51" t="s">
        <v>7</v>
      </c>
      <c r="M79" s="51" t="s">
        <v>8</v>
      </c>
      <c r="N79" s="51" t="s">
        <v>2</v>
      </c>
      <c r="O79" s="51" t="s">
        <v>3</v>
      </c>
      <c r="P79" s="51" t="s">
        <v>4</v>
      </c>
      <c r="Q79" s="51" t="s">
        <v>5</v>
      </c>
      <c r="R79" s="51" t="s">
        <v>6</v>
      </c>
      <c r="T79" s="16" t="s">
        <v>48</v>
      </c>
      <c r="U79" s="16" t="s">
        <v>7</v>
      </c>
      <c r="V79" s="16" t="s">
        <v>8</v>
      </c>
      <c r="W79" s="16" t="s">
        <v>2</v>
      </c>
      <c r="X79" s="16" t="s">
        <v>3</v>
      </c>
      <c r="Y79" s="16" t="s">
        <v>4</v>
      </c>
      <c r="Z79" s="16" t="s">
        <v>5</v>
      </c>
      <c r="AA79" s="16" t="s">
        <v>6</v>
      </c>
      <c r="AB79" s="16" t="s">
        <v>30</v>
      </c>
      <c r="AD79" s="16" t="s">
        <v>48</v>
      </c>
      <c r="AE79" s="16" t="s">
        <v>7</v>
      </c>
      <c r="AF79" s="16" t="s">
        <v>8</v>
      </c>
      <c r="AG79" s="16" t="s">
        <v>2</v>
      </c>
      <c r="AH79" s="16" t="s">
        <v>3</v>
      </c>
      <c r="AI79" s="16" t="s">
        <v>4</v>
      </c>
      <c r="AJ79" s="16" t="s">
        <v>5</v>
      </c>
      <c r="AK79" s="16" t="s">
        <v>6</v>
      </c>
      <c r="AL79" s="16" t="s">
        <v>30</v>
      </c>
    </row>
    <row r="80" spans="1:38" x14ac:dyDescent="0.25">
      <c r="A80" s="210"/>
      <c r="B80" s="52">
        <v>0</v>
      </c>
      <c r="C80" s="86">
        <v>26.161021609839089</v>
      </c>
      <c r="D80" s="86">
        <v>26.403106090664924</v>
      </c>
      <c r="E80" s="86">
        <v>26.38635996290428</v>
      </c>
      <c r="F80" s="86">
        <v>26.562648499243497</v>
      </c>
      <c r="G80" s="86">
        <v>26.664463089200545</v>
      </c>
      <c r="H80" s="86">
        <v>29.311993362156109</v>
      </c>
      <c r="I80" s="86">
        <v>25.785766536064198</v>
      </c>
      <c r="K80" s="52">
        <v>0</v>
      </c>
      <c r="L80" s="85">
        <f t="shared" ref="L80:L103" si="67">IF(C80-$D$7&gt;0,C80-$D$7,0)</f>
        <v>0</v>
      </c>
      <c r="M80" s="85">
        <f t="shared" ref="M80:M103" si="68">IF(D80-$D$7&gt;0,D80-$D$7,0)</f>
        <v>0</v>
      </c>
      <c r="N80" s="85">
        <f t="shared" ref="N80:N103" si="69">IF(E80-$D$7&gt;0,E80-$D$7,0)</f>
        <v>0</v>
      </c>
      <c r="O80" s="85">
        <f t="shared" ref="O80:O103" si="70">IF(F80-$D$7&gt;0,F80-$D$7,0)</f>
        <v>0</v>
      </c>
      <c r="P80" s="85">
        <f t="shared" ref="P80:P103" si="71">IF(G80-$D$7&gt;0,G80-$D$7,0)</f>
        <v>0</v>
      </c>
      <c r="Q80" s="85">
        <f t="shared" ref="Q80:Q103" si="72">IF(H80-$D$7&gt;0,H80-$D$7,0)</f>
        <v>1.3871206348833809</v>
      </c>
      <c r="R80" s="85">
        <f t="shared" ref="R80:R103" si="73">IF(I80-$D$7&gt;0,I80-$D$7,0)</f>
        <v>0</v>
      </c>
      <c r="T80" s="52">
        <v>0</v>
      </c>
      <c r="U80" s="87">
        <f>Annual_Days*L80*T_2!J7*I91_AADT_2014</f>
        <v>0</v>
      </c>
      <c r="V80" s="87">
        <f>Annual_Days*M80*T_2!K7*I91_AADT_2014</f>
        <v>0</v>
      </c>
      <c r="W80" s="87">
        <f>Annual_Days*N80*T_2!L7*I91_AADT_2014</f>
        <v>0</v>
      </c>
      <c r="X80" s="87">
        <f>Annual_Days*O80*T_2!M7*I91_AADT_2014</f>
        <v>0</v>
      </c>
      <c r="Y80" s="87">
        <f>Annual_Days*P80*T_2!N7*I91_AADT_2014</f>
        <v>0</v>
      </c>
      <c r="Z80" s="87">
        <f>Annual_Days*Q80*T_2!O7*I91_AADT_2014</f>
        <v>82298.060100459537</v>
      </c>
      <c r="AA80" s="87">
        <f>Annual_Days*R80*T_2!P7*I91_AADT_2014</f>
        <v>0</v>
      </c>
      <c r="AB80" s="44">
        <f t="shared" ref="AB80:AB103" si="74">SUM(U80:AA80)</f>
        <v>82298.060100459537</v>
      </c>
      <c r="AD80" s="52">
        <v>0</v>
      </c>
      <c r="AE80" s="87">
        <f>Annual_Days*T_2!B7*L80*I91_AADT_2014</f>
        <v>0</v>
      </c>
      <c r="AF80" s="87">
        <f>Annual_Days*T_2!C7*M80*I91_AADT_2014</f>
        <v>0</v>
      </c>
      <c r="AG80" s="87">
        <f>Annual_Days*T_2!D7*N80*I91_AADT_2014</f>
        <v>0</v>
      </c>
      <c r="AH80" s="87">
        <f>Annual_Days*T_2!E7*O80*I91_AADT_2014</f>
        <v>0</v>
      </c>
      <c r="AI80" s="87">
        <f>Annual_Days*T_2!F7*P80*I91_AADT_2014</f>
        <v>0</v>
      </c>
      <c r="AJ80" s="87">
        <f>Annual_Days*T_2!G7*Q80*I91_AADT_2014</f>
        <v>10078.933107770841</v>
      </c>
      <c r="AK80" s="87">
        <f>Annual_Days*T_2!H7*R80*I91_AADT_2014</f>
        <v>0</v>
      </c>
      <c r="AL80" s="44">
        <f t="shared" ref="AL80:AL103" si="75">SUM(AE80:AK80)</f>
        <v>10078.933107770841</v>
      </c>
    </row>
    <row r="81" spans="1:38" x14ac:dyDescent="0.25">
      <c r="A81" s="210"/>
      <c r="B81" s="52">
        <v>1</v>
      </c>
      <c r="C81" s="86">
        <v>26.090307597887318</v>
      </c>
      <c r="D81" s="86">
        <v>27.847894779578215</v>
      </c>
      <c r="E81" s="86">
        <v>26.294506483339823</v>
      </c>
      <c r="F81" s="86">
        <v>27.446779891466289</v>
      </c>
      <c r="G81" s="86">
        <v>26.451068931435341</v>
      </c>
      <c r="H81" s="86">
        <v>27.947035659038523</v>
      </c>
      <c r="I81" s="86">
        <v>26.098389277713018</v>
      </c>
      <c r="K81" s="52">
        <v>1</v>
      </c>
      <c r="L81" s="85">
        <f t="shared" si="67"/>
        <v>0</v>
      </c>
      <c r="M81" s="85">
        <f t="shared" si="68"/>
        <v>0</v>
      </c>
      <c r="N81" s="85">
        <f t="shared" si="69"/>
        <v>0</v>
      </c>
      <c r="O81" s="85">
        <f t="shared" si="70"/>
        <v>0</v>
      </c>
      <c r="P81" s="85">
        <f t="shared" si="71"/>
        <v>0</v>
      </c>
      <c r="Q81" s="85">
        <f t="shared" si="72"/>
        <v>2.216293176579498E-2</v>
      </c>
      <c r="R81" s="85">
        <f t="shared" si="73"/>
        <v>0</v>
      </c>
      <c r="T81" s="52">
        <v>1</v>
      </c>
      <c r="U81" s="87">
        <f>Annual_Days*L81*T_2!J8*I91_AADT_2014</f>
        <v>0</v>
      </c>
      <c r="V81" s="87">
        <f>Annual_Days*M81*T_2!K8*I91_AADT_2014</f>
        <v>0</v>
      </c>
      <c r="W81" s="87">
        <f>Annual_Days*N81*T_2!L8*I91_AADT_2014</f>
        <v>0</v>
      </c>
      <c r="X81" s="87">
        <f>Annual_Days*O81*T_2!M8*I91_AADT_2014</f>
        <v>0</v>
      </c>
      <c r="Y81" s="87">
        <f>Annual_Days*P81*T_2!N8*I91_AADT_2014</f>
        <v>0</v>
      </c>
      <c r="Z81" s="87">
        <f>Annual_Days*Q81*T_2!O8*I91_AADT_2014</f>
        <v>759.53998436419306</v>
      </c>
      <c r="AA81" s="87">
        <f>Annual_Days*R81*T_2!P8*I91_AADT_2014</f>
        <v>0</v>
      </c>
      <c r="AB81" s="44">
        <f t="shared" si="74"/>
        <v>759.53998436419306</v>
      </c>
      <c r="AD81" s="52">
        <v>1</v>
      </c>
      <c r="AE81" s="87">
        <f>Annual_Days*T_2!B8*L81*I91_AADT_2014</f>
        <v>0</v>
      </c>
      <c r="AF81" s="87">
        <f>Annual_Days*T_2!C8*M81*I91_AADT_2014</f>
        <v>0</v>
      </c>
      <c r="AG81" s="87">
        <f>Annual_Days*T_2!D8*N81*I91_AADT_2014</f>
        <v>0</v>
      </c>
      <c r="AH81" s="87">
        <f>Annual_Days*T_2!E8*O81*I91_AADT_2014</f>
        <v>0</v>
      </c>
      <c r="AI81" s="87">
        <f>Annual_Days*T_2!F8*P81*I91_AADT_2014</f>
        <v>0</v>
      </c>
      <c r="AJ81" s="87">
        <f>Annual_Days*T_2!G8*Q81*I91_AADT_2014</f>
        <v>174.98583946954699</v>
      </c>
      <c r="AK81" s="87">
        <f>Annual_Days*T_2!H8*R81*I91_AADT_2014</f>
        <v>0</v>
      </c>
      <c r="AL81" s="44">
        <f t="shared" si="75"/>
        <v>174.98583946954699</v>
      </c>
    </row>
    <row r="82" spans="1:38" x14ac:dyDescent="0.25">
      <c r="A82" s="210"/>
      <c r="B82" s="52">
        <v>2</v>
      </c>
      <c r="C82" s="86">
        <v>26.551935137728933</v>
      </c>
      <c r="D82" s="86">
        <v>28.134056662886096</v>
      </c>
      <c r="E82" s="86">
        <v>26.760228087076708</v>
      </c>
      <c r="F82" s="86">
        <v>26.693659319643086</v>
      </c>
      <c r="G82" s="86">
        <v>27.840078439751494</v>
      </c>
      <c r="H82" s="86">
        <v>26.172830328124089</v>
      </c>
      <c r="I82" s="86">
        <v>31.275791797718927</v>
      </c>
      <c r="K82" s="52">
        <v>2</v>
      </c>
      <c r="L82" s="85">
        <f t="shared" si="67"/>
        <v>0</v>
      </c>
      <c r="M82" s="85">
        <f t="shared" si="68"/>
        <v>0.20918393561336757</v>
      </c>
      <c r="N82" s="85">
        <f t="shared" si="69"/>
        <v>0</v>
      </c>
      <c r="O82" s="85">
        <f t="shared" si="70"/>
        <v>0</v>
      </c>
      <c r="P82" s="85">
        <f t="shared" si="71"/>
        <v>0</v>
      </c>
      <c r="Q82" s="85">
        <f t="shared" si="72"/>
        <v>0</v>
      </c>
      <c r="R82" s="85">
        <f t="shared" si="73"/>
        <v>3.3509190704461993</v>
      </c>
      <c r="T82" s="52">
        <v>2</v>
      </c>
      <c r="U82" s="87">
        <f>Annual_Days*L82*T_2!J9*I91_AADT_2014</f>
        <v>0</v>
      </c>
      <c r="V82" s="87">
        <f>Annual_Days*M82*T_2!K9*I91_AADT_2014</f>
        <v>2441.4908813086713</v>
      </c>
      <c r="W82" s="87">
        <f>Annual_Days*N82*T_2!L9*I91_AADT_2014</f>
        <v>0</v>
      </c>
      <c r="X82" s="87">
        <f>Annual_Days*O82*T_2!M9*I91_AADT_2014</f>
        <v>0</v>
      </c>
      <c r="Y82" s="87">
        <f>Annual_Days*P82*T_2!N9*I91_AADT_2014</f>
        <v>0</v>
      </c>
      <c r="Z82" s="87">
        <f>Annual_Days*Q82*T_2!O9*I91_AADT_2014</f>
        <v>0</v>
      </c>
      <c r="AA82" s="87">
        <f>Annual_Days*R82*T_2!P9*I91_AADT_2014</f>
        <v>80712.842905647296</v>
      </c>
      <c r="AB82" s="44">
        <f t="shared" si="74"/>
        <v>83154.333786955962</v>
      </c>
      <c r="AD82" s="52">
        <v>2</v>
      </c>
      <c r="AE82" s="87">
        <f>Annual_Days*T_2!B9*L82*I91_AADT_2014</f>
        <v>0</v>
      </c>
      <c r="AF82" s="87">
        <f>Annual_Days*T_2!C9*M82*I91_AADT_2014</f>
        <v>2166.2247525336743</v>
      </c>
      <c r="AG82" s="87">
        <f>Annual_Days*T_2!D9*N82*I91_AADT_2014</f>
        <v>0</v>
      </c>
      <c r="AH82" s="87">
        <f>Annual_Days*T_2!E9*O82*I91_AADT_2014</f>
        <v>0</v>
      </c>
      <c r="AI82" s="87">
        <f>Annual_Days*T_2!F9*P82*I91_AADT_2014</f>
        <v>0</v>
      </c>
      <c r="AJ82" s="87">
        <f>Annual_Days*T_2!G9*Q82*I91_AADT_2014</f>
        <v>0</v>
      </c>
      <c r="AK82" s="87">
        <f>Annual_Days*T_2!H9*R82*I91_AADT_2014</f>
        <v>10352.71619217329</v>
      </c>
      <c r="AL82" s="44">
        <f t="shared" si="75"/>
        <v>12518.940944706963</v>
      </c>
    </row>
    <row r="83" spans="1:38" x14ac:dyDescent="0.25">
      <c r="A83" s="210"/>
      <c r="B83" s="52">
        <v>3</v>
      </c>
      <c r="C83" s="86">
        <v>26.301115728023731</v>
      </c>
      <c r="D83" s="86">
        <v>27.298447369884943</v>
      </c>
      <c r="E83" s="86">
        <v>26.522310987456137</v>
      </c>
      <c r="F83" s="86">
        <v>26.372018191107628</v>
      </c>
      <c r="G83" s="86">
        <v>26.731541584989333</v>
      </c>
      <c r="H83" s="86">
        <v>27.674457391651082</v>
      </c>
      <c r="I83" s="86">
        <v>26.579853628643892</v>
      </c>
      <c r="K83" s="52">
        <v>3</v>
      </c>
      <c r="L83" s="85">
        <f t="shared" si="67"/>
        <v>0</v>
      </c>
      <c r="M83" s="85">
        <f t="shared" si="68"/>
        <v>0</v>
      </c>
      <c r="N83" s="85">
        <f t="shared" si="69"/>
        <v>0</v>
      </c>
      <c r="O83" s="85">
        <f t="shared" si="70"/>
        <v>0</v>
      </c>
      <c r="P83" s="85">
        <f t="shared" si="71"/>
        <v>0</v>
      </c>
      <c r="Q83" s="85">
        <f t="shared" si="72"/>
        <v>0</v>
      </c>
      <c r="R83" s="85">
        <f t="shared" si="73"/>
        <v>0</v>
      </c>
      <c r="T83" s="52">
        <v>3</v>
      </c>
      <c r="U83" s="87">
        <f>Annual_Days*L83*T_2!J10*I91_AADT_2014</f>
        <v>0</v>
      </c>
      <c r="V83" s="87">
        <f>Annual_Days*M83*T_2!K10*I91_AADT_2014</f>
        <v>0</v>
      </c>
      <c r="W83" s="87">
        <f>Annual_Days*N83*T_2!L10*I91_AADT_2014</f>
        <v>0</v>
      </c>
      <c r="X83" s="87">
        <f>Annual_Days*O83*T_2!M10*I91_AADT_2014</f>
        <v>0</v>
      </c>
      <c r="Y83" s="87">
        <f>Annual_Days*P83*T_2!N10*I91_AADT_2014</f>
        <v>0</v>
      </c>
      <c r="Z83" s="87">
        <f>Annual_Days*Q83*T_2!O10*I91_AADT_2014</f>
        <v>0</v>
      </c>
      <c r="AA83" s="87">
        <f>Annual_Days*R83*T_2!P10*I91_AADT_2014</f>
        <v>0</v>
      </c>
      <c r="AB83" s="44">
        <f t="shared" si="74"/>
        <v>0</v>
      </c>
      <c r="AD83" s="52">
        <v>3</v>
      </c>
      <c r="AE83" s="87">
        <f>Annual_Days*T_2!B10*L83*I91_AADT_2014</f>
        <v>0</v>
      </c>
      <c r="AF83" s="87">
        <f>Annual_Days*T_2!C10*M83*I91_AADT_2014</f>
        <v>0</v>
      </c>
      <c r="AG83" s="87">
        <f>Annual_Days*T_2!D10*N83*I91_AADT_2014</f>
        <v>0</v>
      </c>
      <c r="AH83" s="87">
        <f>Annual_Days*T_2!E10*O83*I91_AADT_2014</f>
        <v>0</v>
      </c>
      <c r="AI83" s="87">
        <f>Annual_Days*T_2!F10*P83*I91_AADT_2014</f>
        <v>0</v>
      </c>
      <c r="AJ83" s="87">
        <f>Annual_Days*T_2!G10*Q83*I91_AADT_2014</f>
        <v>0</v>
      </c>
      <c r="AK83" s="87">
        <f>Annual_Days*T_2!H10*R83*I91_AADT_2014</f>
        <v>0</v>
      </c>
      <c r="AL83" s="44">
        <f t="shared" si="75"/>
        <v>0</v>
      </c>
    </row>
    <row r="84" spans="1:38" x14ac:dyDescent="0.25">
      <c r="A84" s="210"/>
      <c r="B84" s="52">
        <v>4</v>
      </c>
      <c r="C84" s="86">
        <v>26.093483502831802</v>
      </c>
      <c r="D84" s="86">
        <v>25.892022484148622</v>
      </c>
      <c r="E84" s="86">
        <v>26.51794623980658</v>
      </c>
      <c r="F84" s="86">
        <v>27.802850236373509</v>
      </c>
      <c r="G84" s="86">
        <v>26.183888780916536</v>
      </c>
      <c r="H84" s="86">
        <v>26.163350740704782</v>
      </c>
      <c r="I84" s="86">
        <v>38.626735646910284</v>
      </c>
      <c r="K84" s="52">
        <v>4</v>
      </c>
      <c r="L84" s="85">
        <f t="shared" si="67"/>
        <v>0</v>
      </c>
      <c r="M84" s="85">
        <f t="shared" si="68"/>
        <v>0</v>
      </c>
      <c r="N84" s="85">
        <f t="shared" si="69"/>
        <v>0</v>
      </c>
      <c r="O84" s="85">
        <f t="shared" si="70"/>
        <v>0</v>
      </c>
      <c r="P84" s="85">
        <f t="shared" si="71"/>
        <v>0</v>
      </c>
      <c r="Q84" s="85">
        <f t="shared" si="72"/>
        <v>0</v>
      </c>
      <c r="R84" s="85">
        <f t="shared" si="73"/>
        <v>10.701862919637556</v>
      </c>
      <c r="T84" s="52">
        <v>4</v>
      </c>
      <c r="U84" s="87">
        <f>Annual_Days*L84*T_2!J11*I91_AADT_2014</f>
        <v>0</v>
      </c>
      <c r="V84" s="87">
        <f>Annual_Days*M84*T_2!K11*I91_AADT_2014</f>
        <v>0</v>
      </c>
      <c r="W84" s="87">
        <f>Annual_Days*N84*T_2!L11*I91_AADT_2014</f>
        <v>0</v>
      </c>
      <c r="X84" s="87">
        <f>Annual_Days*O84*T_2!M11*I91_AADT_2014</f>
        <v>0</v>
      </c>
      <c r="Y84" s="87">
        <f>Annual_Days*P84*T_2!N11*I91_AADT_2014</f>
        <v>0</v>
      </c>
      <c r="Z84" s="87">
        <f>Annual_Days*Q84*T_2!O11*I91_AADT_2014</f>
        <v>0</v>
      </c>
      <c r="AA84" s="87">
        <f>Annual_Days*R84*T_2!P11*I91_AADT_2014</f>
        <v>116947.07407807196</v>
      </c>
      <c r="AB84" s="44">
        <f t="shared" si="74"/>
        <v>116947.07407807196</v>
      </c>
      <c r="AD84" s="52">
        <v>4</v>
      </c>
      <c r="AE84" s="87">
        <f>Annual_Days*T_2!B11*L84*I91_AADT_2014</f>
        <v>0</v>
      </c>
      <c r="AF84" s="87">
        <f>Annual_Days*T_2!C11*M84*I91_AADT_2014</f>
        <v>0</v>
      </c>
      <c r="AG84" s="87">
        <f>Annual_Days*T_2!D11*N84*I91_AADT_2014</f>
        <v>0</v>
      </c>
      <c r="AH84" s="87">
        <f>Annual_Days*T_2!E11*O84*I91_AADT_2014</f>
        <v>0</v>
      </c>
      <c r="AI84" s="87">
        <f>Annual_Days*T_2!F11*P84*I91_AADT_2014</f>
        <v>0</v>
      </c>
      <c r="AJ84" s="87">
        <f>Annual_Days*T_2!G11*Q84*I91_AADT_2014</f>
        <v>0</v>
      </c>
      <c r="AK84" s="87">
        <f>Annual_Days*T_2!H11*R84*I91_AADT_2014</f>
        <v>38574.165795384994</v>
      </c>
      <c r="AL84" s="44">
        <f t="shared" si="75"/>
        <v>38574.165795384994</v>
      </c>
    </row>
    <row r="85" spans="1:38" x14ac:dyDescent="0.25">
      <c r="A85" s="210"/>
      <c r="B85" s="52">
        <v>5</v>
      </c>
      <c r="C85" s="86">
        <v>25.784128516039427</v>
      </c>
      <c r="D85" s="86">
        <v>25.688983691475073</v>
      </c>
      <c r="E85" s="86">
        <v>26.070689714852666</v>
      </c>
      <c r="F85" s="86">
        <v>26.061148276903261</v>
      </c>
      <c r="G85" s="86">
        <v>32.007473677870685</v>
      </c>
      <c r="H85" s="86">
        <v>25.520565000981112</v>
      </c>
      <c r="I85" s="86">
        <v>25.962825480672276</v>
      </c>
      <c r="K85" s="52">
        <v>5</v>
      </c>
      <c r="L85" s="85">
        <f t="shared" si="67"/>
        <v>0</v>
      </c>
      <c r="M85" s="85">
        <f t="shared" si="68"/>
        <v>0</v>
      </c>
      <c r="N85" s="85">
        <f t="shared" si="69"/>
        <v>0</v>
      </c>
      <c r="O85" s="85">
        <f t="shared" si="70"/>
        <v>0</v>
      </c>
      <c r="P85" s="85">
        <f t="shared" si="71"/>
        <v>4.082600950597957</v>
      </c>
      <c r="Q85" s="85">
        <f t="shared" si="72"/>
        <v>0</v>
      </c>
      <c r="R85" s="85">
        <f t="shared" si="73"/>
        <v>0</v>
      </c>
      <c r="T85" s="52">
        <v>5</v>
      </c>
      <c r="U85" s="87">
        <f>Annual_Days*L85*T_2!J12*I91_AADT_2014</f>
        <v>0</v>
      </c>
      <c r="V85" s="87">
        <f>Annual_Days*M85*T_2!K12*I91_AADT_2014</f>
        <v>0</v>
      </c>
      <c r="W85" s="87">
        <f>Annual_Days*N85*T_2!L12*I91_AADT_2014</f>
        <v>0</v>
      </c>
      <c r="X85" s="87">
        <f>Annual_Days*O85*T_2!M12*I91_AADT_2014</f>
        <v>0</v>
      </c>
      <c r="Y85" s="87">
        <f>Annual_Days*P85*T_2!N12*I91_AADT_2014</f>
        <v>85022.70648911332</v>
      </c>
      <c r="Z85" s="87">
        <f>Annual_Days*Q85*T_2!O12*I91_AADT_2014</f>
        <v>0</v>
      </c>
      <c r="AA85" s="87">
        <f>Annual_Days*R85*T_2!P12*I91_AADT_2014</f>
        <v>0</v>
      </c>
      <c r="AB85" s="44">
        <f t="shared" si="74"/>
        <v>85022.70648911332</v>
      </c>
      <c r="AD85" s="52">
        <v>5</v>
      </c>
      <c r="AE85" s="87">
        <f>Annual_Days*T_2!B12*L85*I91_AADT_2014</f>
        <v>0</v>
      </c>
      <c r="AF85" s="87">
        <f>Annual_Days*T_2!C12*M85*I91_AADT_2014</f>
        <v>0</v>
      </c>
      <c r="AG85" s="87">
        <f>Annual_Days*T_2!D12*N85*I91_AADT_2014</f>
        <v>0</v>
      </c>
      <c r="AH85" s="87">
        <f>Annual_Days*T_2!E12*O85*I91_AADT_2014</f>
        <v>0</v>
      </c>
      <c r="AI85" s="87">
        <f>Annual_Days*T_2!F12*P85*I91_AADT_2014</f>
        <v>70540.816922286322</v>
      </c>
      <c r="AJ85" s="87">
        <f>Annual_Days*T_2!G12*Q85*I91_AADT_2014</f>
        <v>0</v>
      </c>
      <c r="AK85" s="87">
        <f>Annual_Days*T_2!H12*R85*I91_AADT_2014</f>
        <v>0</v>
      </c>
      <c r="AL85" s="44">
        <f t="shared" si="75"/>
        <v>70540.816922286322</v>
      </c>
    </row>
    <row r="86" spans="1:38" x14ac:dyDescent="0.25">
      <c r="A86" s="210"/>
      <c r="B86" s="52">
        <v>6</v>
      </c>
      <c r="C86" s="86">
        <v>26.281189236938143</v>
      </c>
      <c r="D86" s="86">
        <v>26.081835279622915</v>
      </c>
      <c r="E86" s="86">
        <v>26.970979019258401</v>
      </c>
      <c r="F86" s="86">
        <v>26.46607611097787</v>
      </c>
      <c r="G86" s="86">
        <v>26.258026346716431</v>
      </c>
      <c r="H86" s="86">
        <v>24.909220100345348</v>
      </c>
      <c r="I86" s="86">
        <v>25.518308182981539</v>
      </c>
      <c r="K86" s="52">
        <v>6</v>
      </c>
      <c r="L86" s="85">
        <f t="shared" si="67"/>
        <v>0</v>
      </c>
      <c r="M86" s="85">
        <f t="shared" si="68"/>
        <v>0</v>
      </c>
      <c r="N86" s="85">
        <f t="shared" si="69"/>
        <v>0</v>
      </c>
      <c r="O86" s="85">
        <f t="shared" si="70"/>
        <v>0</v>
      </c>
      <c r="P86" s="85">
        <f t="shared" si="71"/>
        <v>0</v>
      </c>
      <c r="Q86" s="85">
        <f t="shared" si="72"/>
        <v>0</v>
      </c>
      <c r="R86" s="85">
        <f t="shared" si="73"/>
        <v>0</v>
      </c>
      <c r="T86" s="52">
        <v>6</v>
      </c>
      <c r="U86" s="87">
        <f>Annual_Days*L86*T_2!J13*I91_AADT_2014</f>
        <v>0</v>
      </c>
      <c r="V86" s="87">
        <f>Annual_Days*M86*T_2!K13*I91_AADT_2014</f>
        <v>0</v>
      </c>
      <c r="W86" s="87">
        <f>Annual_Days*N86*T_2!L13*I91_AADT_2014</f>
        <v>0</v>
      </c>
      <c r="X86" s="87">
        <f>Annual_Days*O86*T_2!M13*I91_AADT_2014</f>
        <v>0</v>
      </c>
      <c r="Y86" s="87">
        <f>Annual_Days*P86*T_2!N13*I91_AADT_2014</f>
        <v>0</v>
      </c>
      <c r="Z86" s="87">
        <f>Annual_Days*Q86*T_2!O13*I91_AADT_2014</f>
        <v>0</v>
      </c>
      <c r="AA86" s="87">
        <f>Annual_Days*R86*T_2!P13*I91_AADT_2014</f>
        <v>0</v>
      </c>
      <c r="AB86" s="44">
        <f t="shared" si="74"/>
        <v>0</v>
      </c>
      <c r="AD86" s="52">
        <v>6</v>
      </c>
      <c r="AE86" s="87">
        <f>Annual_Days*T_2!B13*L86*I91_AADT_2014</f>
        <v>0</v>
      </c>
      <c r="AF86" s="87">
        <f>Annual_Days*T_2!C13*M86*I91_AADT_2014</f>
        <v>0</v>
      </c>
      <c r="AG86" s="87">
        <f>Annual_Days*T_2!D13*N86*I91_AADT_2014</f>
        <v>0</v>
      </c>
      <c r="AH86" s="87">
        <f>Annual_Days*T_2!E13*O86*I91_AADT_2014</f>
        <v>0</v>
      </c>
      <c r="AI86" s="87">
        <f>Annual_Days*T_2!F13*P86*I91_AADT_2014</f>
        <v>0</v>
      </c>
      <c r="AJ86" s="87">
        <f>Annual_Days*T_2!G13*Q86*I91_AADT_2014</f>
        <v>0</v>
      </c>
      <c r="AK86" s="87">
        <f>Annual_Days*T_2!H13*R86*I91_AADT_2014</f>
        <v>0</v>
      </c>
      <c r="AL86" s="44">
        <f t="shared" si="75"/>
        <v>0</v>
      </c>
    </row>
    <row r="87" spans="1:38" x14ac:dyDescent="0.25">
      <c r="A87" s="210"/>
      <c r="B87" s="52">
        <v>7</v>
      </c>
      <c r="C87" s="86">
        <v>35.134121199781454</v>
      </c>
      <c r="D87" s="86">
        <v>32.985983354243665</v>
      </c>
      <c r="E87" s="86">
        <v>38.906922495711456</v>
      </c>
      <c r="F87" s="86">
        <v>37.588512402628098</v>
      </c>
      <c r="G87" s="86">
        <v>30.204885202659991</v>
      </c>
      <c r="H87" s="86">
        <v>24.473457809456875</v>
      </c>
      <c r="I87" s="86">
        <v>25.204483851287108</v>
      </c>
      <c r="K87" s="52">
        <v>7</v>
      </c>
      <c r="L87" s="85">
        <f t="shared" si="67"/>
        <v>7.209248472508726</v>
      </c>
      <c r="M87" s="85">
        <f t="shared" si="68"/>
        <v>5.0611106269709367</v>
      </c>
      <c r="N87" s="85">
        <f t="shared" si="69"/>
        <v>10.982049768438728</v>
      </c>
      <c r="O87" s="85">
        <f t="shared" si="70"/>
        <v>9.6636396753553697</v>
      </c>
      <c r="P87" s="85">
        <f t="shared" si="71"/>
        <v>2.280012475387263</v>
      </c>
      <c r="Q87" s="85">
        <f t="shared" si="72"/>
        <v>0</v>
      </c>
      <c r="R87" s="85">
        <f t="shared" si="73"/>
        <v>0</v>
      </c>
      <c r="T87" s="52">
        <v>7</v>
      </c>
      <c r="U87" s="87">
        <f>Annual_Days*L87*T_2!J14*I91_AADT_2014</f>
        <v>1356595.8279719581</v>
      </c>
      <c r="V87" s="87">
        <f>Annual_Days*M87*T_2!K14*I91_AADT_2014</f>
        <v>881138.93568409199</v>
      </c>
      <c r="W87" s="87">
        <f>Annual_Days*N87*T_2!L14*I91_AADT_2014</f>
        <v>1813327.900530085</v>
      </c>
      <c r="X87" s="87">
        <f>Annual_Days*O87*T_2!M14*I91_AADT_2014</f>
        <v>1635996.246419525</v>
      </c>
      <c r="Y87" s="87">
        <f>Annual_Days*P87*T_2!N14*I91_AADT_2014</f>
        <v>364860.03816475213</v>
      </c>
      <c r="Z87" s="87">
        <f>Annual_Days*Q87*T_2!O14*I91_AADT_2014</f>
        <v>0</v>
      </c>
      <c r="AA87" s="87">
        <f>Annual_Days*R87*T_2!P14*I91_AADT_2014</f>
        <v>0</v>
      </c>
      <c r="AB87" s="44">
        <f t="shared" si="74"/>
        <v>6051918.9487704122</v>
      </c>
      <c r="AD87" s="52">
        <v>7</v>
      </c>
      <c r="AE87" s="87">
        <f>Annual_Days*T_2!B14*L87*I91_AADT_2014</f>
        <v>178597.14001576704</v>
      </c>
      <c r="AF87" s="87">
        <f>Annual_Days*T_2!C14*M87*I91_AADT_2014</f>
        <v>159259.41985745993</v>
      </c>
      <c r="AG87" s="87">
        <f>Annual_Days*T_2!D14*N87*I91_AADT_2014</f>
        <v>337407.16652274964</v>
      </c>
      <c r="AH87" s="87">
        <f>Annual_Days*T_2!E14*O87*I91_AADT_2014</f>
        <v>294689.42187955626</v>
      </c>
      <c r="AI87" s="87">
        <f>Annual_Days*T_2!F14*P87*I91_AADT_2014</f>
        <v>69397.761996298941</v>
      </c>
      <c r="AJ87" s="87">
        <f>Annual_Days*T_2!G14*Q87*I91_AADT_2014</f>
        <v>0</v>
      </c>
      <c r="AK87" s="87">
        <f>Annual_Days*T_2!H14*R87*I91_AADT_2014</f>
        <v>0</v>
      </c>
      <c r="AL87" s="44">
        <f t="shared" si="75"/>
        <v>1039350.9102718318</v>
      </c>
    </row>
    <row r="88" spans="1:38" x14ac:dyDescent="0.25">
      <c r="A88" s="210"/>
      <c r="B88" s="52">
        <v>8</v>
      </c>
      <c r="C88" s="86">
        <v>37.694077220327017</v>
      </c>
      <c r="D88" s="86">
        <v>36.387330290613747</v>
      </c>
      <c r="E88" s="86">
        <v>41.81642103940068</v>
      </c>
      <c r="F88" s="86">
        <v>38.23403848993587</v>
      </c>
      <c r="G88" s="86">
        <v>28.410758980706625</v>
      </c>
      <c r="H88" s="86">
        <v>26.677001530107372</v>
      </c>
      <c r="I88" s="86">
        <v>24.344072408384918</v>
      </c>
      <c r="K88" s="52">
        <v>8</v>
      </c>
      <c r="L88" s="85">
        <f t="shared" si="67"/>
        <v>9.7692044930542892</v>
      </c>
      <c r="M88" s="85">
        <f t="shared" si="68"/>
        <v>8.4624575633410188</v>
      </c>
      <c r="N88" s="85">
        <f t="shared" si="69"/>
        <v>13.891548312127952</v>
      </c>
      <c r="O88" s="85">
        <f t="shared" si="70"/>
        <v>10.309165762663142</v>
      </c>
      <c r="P88" s="85">
        <f t="shared" si="71"/>
        <v>0.4858862534338968</v>
      </c>
      <c r="Q88" s="85">
        <f t="shared" si="72"/>
        <v>0</v>
      </c>
      <c r="R88" s="85">
        <f t="shared" si="73"/>
        <v>0</v>
      </c>
      <c r="T88" s="52">
        <v>8</v>
      </c>
      <c r="U88" s="87">
        <f>Annual_Days*L88*T_2!J15*I91_AADT_2014</f>
        <v>2716389.7268872308</v>
      </c>
      <c r="V88" s="87">
        <f>Annual_Days*M88*T_2!K15*I91_AADT_2014</f>
        <v>2324474.6772701428</v>
      </c>
      <c r="W88" s="87">
        <f>Annual_Days*N88*T_2!L15*I91_AADT_2014</f>
        <v>3630557.8262364389</v>
      </c>
      <c r="X88" s="87">
        <f>Annual_Days*O88*T_2!M15*I91_AADT_2014</f>
        <v>2867709.0495647546</v>
      </c>
      <c r="Y88" s="87">
        <f>Annual_Days*P88*T_2!N15*I91_AADT_2014</f>
        <v>132991.04323683697</v>
      </c>
      <c r="Z88" s="87">
        <f>Annual_Days*Q88*T_2!O15*I91_AADT_2014</f>
        <v>0</v>
      </c>
      <c r="AA88" s="87">
        <f>Annual_Days*R88*T_2!P15*I91_AADT_2014</f>
        <v>0</v>
      </c>
      <c r="AB88" s="44">
        <f t="shared" si="74"/>
        <v>11672122.323195403</v>
      </c>
      <c r="AD88" s="52">
        <v>8</v>
      </c>
      <c r="AE88" s="87">
        <f>Annual_Days*T_2!B15*L88*I91_AADT_2014</f>
        <v>287288.95465432858</v>
      </c>
      <c r="AF88" s="87">
        <f>Annual_Days*T_2!C15*M88*I91_AADT_2014</f>
        <v>302118.76663540286</v>
      </c>
      <c r="AG88" s="87">
        <f>Annual_Days*T_2!D15*N88*I91_AADT_2014</f>
        <v>498327.44243656896</v>
      </c>
      <c r="AH88" s="87">
        <f>Annual_Days*T_2!E15*O88*I91_AADT_2014</f>
        <v>385153.02537346462</v>
      </c>
      <c r="AI88" s="87">
        <f>Annual_Days*T_2!F15*P88*I91_AADT_2014</f>
        <v>18764.413500180799</v>
      </c>
      <c r="AJ88" s="87">
        <f>Annual_Days*T_2!G15*Q88*I91_AADT_2014</f>
        <v>0</v>
      </c>
      <c r="AK88" s="87">
        <f>Annual_Days*T_2!H15*R88*I91_AADT_2014</f>
        <v>0</v>
      </c>
      <c r="AL88" s="44">
        <f t="shared" si="75"/>
        <v>1491652.6025999459</v>
      </c>
    </row>
    <row r="89" spans="1:38" x14ac:dyDescent="0.25">
      <c r="A89" s="210"/>
      <c r="B89" s="52">
        <v>9</v>
      </c>
      <c r="C89" s="86">
        <v>29.219571726808386</v>
      </c>
      <c r="D89" s="86">
        <v>26.879038020457092</v>
      </c>
      <c r="E89" s="86">
        <v>30.207854051682514</v>
      </c>
      <c r="F89" s="86">
        <v>33.871888396074247</v>
      </c>
      <c r="G89" s="86">
        <v>26.082603409283973</v>
      </c>
      <c r="H89" s="86">
        <v>37.107694229986294</v>
      </c>
      <c r="I89" s="86">
        <v>25.626321958164212</v>
      </c>
      <c r="K89" s="52">
        <v>9</v>
      </c>
      <c r="L89" s="85">
        <f t="shared" si="67"/>
        <v>1.2946989995356581</v>
      </c>
      <c r="M89" s="85">
        <f t="shared" si="68"/>
        <v>0</v>
      </c>
      <c r="N89" s="85">
        <f t="shared" si="69"/>
        <v>2.2829813244097856</v>
      </c>
      <c r="O89" s="85">
        <f t="shared" si="70"/>
        <v>5.9470156688015194</v>
      </c>
      <c r="P89" s="85">
        <f t="shared" si="71"/>
        <v>0</v>
      </c>
      <c r="Q89" s="85">
        <f t="shared" si="72"/>
        <v>9.1828215027135656</v>
      </c>
      <c r="R89" s="85">
        <f t="shared" si="73"/>
        <v>0</v>
      </c>
      <c r="T89" s="52">
        <v>9</v>
      </c>
      <c r="U89" s="87">
        <f>Annual_Days*L89*T_2!J16*I91_AADT_2014</f>
        <v>328147.53645921865</v>
      </c>
      <c r="V89" s="87">
        <f>Annual_Days*M89*T_2!K16*I91_AADT_2014</f>
        <v>0</v>
      </c>
      <c r="W89" s="87">
        <f>Annual_Days*N89*T_2!L16*I91_AADT_2014</f>
        <v>508621.73564831691</v>
      </c>
      <c r="X89" s="87">
        <f>Annual_Days*O89*T_2!M16*I91_AADT_2014</f>
        <v>1510701.5069009955</v>
      </c>
      <c r="Y89" s="87">
        <f>Annual_Days*P89*T_2!N16*I91_AADT_2014</f>
        <v>0</v>
      </c>
      <c r="Z89" s="87">
        <f>Annual_Days*Q89*T_2!O16*I91_AADT_2014</f>
        <v>983509.58425518102</v>
      </c>
      <c r="AA89" s="87">
        <f>Annual_Days*R89*T_2!P16*I91_AADT_2014</f>
        <v>0</v>
      </c>
      <c r="AB89" s="44">
        <f t="shared" si="74"/>
        <v>3330980.3632637123</v>
      </c>
      <c r="AD89" s="52">
        <v>9</v>
      </c>
      <c r="AE89" s="87">
        <f>Annual_Days*T_2!B16*L89*I91_AADT_2014</f>
        <v>43036.956813274504</v>
      </c>
      <c r="AF89" s="87">
        <f>Annual_Days*T_2!C16*M89*I91_AADT_2014</f>
        <v>0</v>
      </c>
      <c r="AG89" s="87">
        <f>Annual_Days*T_2!D16*N89*I91_AADT_2014</f>
        <v>91039.894644806598</v>
      </c>
      <c r="AH89" s="87">
        <f>Annual_Days*T_2!E16*O89*I91_AADT_2014</f>
        <v>190198.68071118387</v>
      </c>
      <c r="AI89" s="87">
        <f>Annual_Days*T_2!F16*P89*I91_AADT_2014</f>
        <v>0</v>
      </c>
      <c r="AJ89" s="87">
        <f>Annual_Days*T_2!G16*Q89*I91_AADT_2014</f>
        <v>108228.08459218337</v>
      </c>
      <c r="AK89" s="87">
        <f>Annual_Days*T_2!H16*R89*I91_AADT_2014</f>
        <v>0</v>
      </c>
      <c r="AL89" s="44">
        <f t="shared" si="75"/>
        <v>432503.61676144833</v>
      </c>
    </row>
    <row r="90" spans="1:38" x14ac:dyDescent="0.25">
      <c r="A90" s="210"/>
      <c r="B90" s="52">
        <v>10</v>
      </c>
      <c r="C90" s="86">
        <v>25.836295128057095</v>
      </c>
      <c r="D90" s="86">
        <v>29.032767691291454</v>
      </c>
      <c r="E90" s="86">
        <v>31.59239272141853</v>
      </c>
      <c r="F90" s="86">
        <v>36.194025968753245</v>
      </c>
      <c r="G90" s="86">
        <v>27.679159438289489</v>
      </c>
      <c r="H90" s="86">
        <v>65.527744802900543</v>
      </c>
      <c r="I90" s="86">
        <v>27.758085982231943</v>
      </c>
      <c r="K90" s="52">
        <v>10</v>
      </c>
      <c r="L90" s="85">
        <f t="shared" si="67"/>
        <v>0</v>
      </c>
      <c r="M90" s="85">
        <f t="shared" si="68"/>
        <v>1.1078949640187261</v>
      </c>
      <c r="N90" s="85">
        <f t="shared" si="69"/>
        <v>3.6675199941458025</v>
      </c>
      <c r="O90" s="85">
        <f t="shared" si="70"/>
        <v>8.2691532414805167</v>
      </c>
      <c r="P90" s="85">
        <f t="shared" si="71"/>
        <v>0</v>
      </c>
      <c r="Q90" s="85">
        <f t="shared" si="72"/>
        <v>37.602872075627815</v>
      </c>
      <c r="R90" s="85">
        <f t="shared" si="73"/>
        <v>0</v>
      </c>
      <c r="T90" s="52">
        <v>10</v>
      </c>
      <c r="U90" s="87">
        <f>Annual_Days*L90*T_2!J17*I91_AADT_2014</f>
        <v>0</v>
      </c>
      <c r="V90" s="87">
        <f>Annual_Days*M90*T_2!K17*I91_AADT_2014</f>
        <v>185278.06788944762</v>
      </c>
      <c r="W90" s="87">
        <f>Annual_Days*N90*T_2!L17*I91_AADT_2014</f>
        <v>651104.76742521801</v>
      </c>
      <c r="X90" s="87">
        <f>Annual_Days*O90*T_2!M17*I91_AADT_2014</f>
        <v>1430196.7833769233</v>
      </c>
      <c r="Y90" s="87">
        <f>Annual_Days*P90*T_2!N17*I91_AADT_2014</f>
        <v>0</v>
      </c>
      <c r="Z90" s="87">
        <f>Annual_Days*Q90*T_2!O17*I91_AADT_2014</f>
        <v>4840610.5711287716</v>
      </c>
      <c r="AA90" s="87">
        <f>Annual_Days*R90*T_2!P17*I91_AADT_2014</f>
        <v>0</v>
      </c>
      <c r="AB90" s="44">
        <f t="shared" si="74"/>
        <v>7107190.1898203604</v>
      </c>
      <c r="AD90" s="52">
        <v>10</v>
      </c>
      <c r="AE90" s="87">
        <f>Annual_Days*T_2!B17*L90*I91_AADT_2014</f>
        <v>0</v>
      </c>
      <c r="AF90" s="87">
        <f>Annual_Days*T_2!C17*M90*I91_AADT_2014</f>
        <v>25544.666903676833</v>
      </c>
      <c r="AG90" s="87">
        <f>Annual_Days*T_2!D17*N90*I91_AADT_2014</f>
        <v>90227.215595502304</v>
      </c>
      <c r="AH90" s="87">
        <f>Annual_Days*T_2!E17*O90*I91_AADT_2014</f>
        <v>184984.10264650252</v>
      </c>
      <c r="AI90" s="87">
        <f>Annual_Days*T_2!F17*P90*I91_AADT_2014</f>
        <v>0</v>
      </c>
      <c r="AJ90" s="87">
        <f>Annual_Days*T_2!G17*Q90*I91_AADT_2014</f>
        <v>490515.20454104879</v>
      </c>
      <c r="AK90" s="87">
        <f>Annual_Days*T_2!H17*R90*I91_AADT_2014</f>
        <v>0</v>
      </c>
      <c r="AL90" s="44">
        <f t="shared" si="75"/>
        <v>791271.1896867305</v>
      </c>
    </row>
    <row r="91" spans="1:38" x14ac:dyDescent="0.25">
      <c r="A91" s="210"/>
      <c r="B91" s="52">
        <v>11</v>
      </c>
      <c r="C91" s="86">
        <v>29.751917204054489</v>
      </c>
      <c r="D91" s="86">
        <v>28.144043389184134</v>
      </c>
      <c r="E91" s="86">
        <v>27.790480533779554</v>
      </c>
      <c r="F91" s="86">
        <v>30.837182471224626</v>
      </c>
      <c r="G91" s="86">
        <v>45.397161877482262</v>
      </c>
      <c r="H91" s="86">
        <v>77.796334547213291</v>
      </c>
      <c r="I91" s="86">
        <v>41.599412908605949</v>
      </c>
      <c r="K91" s="52">
        <v>11</v>
      </c>
      <c r="L91" s="85">
        <f t="shared" si="67"/>
        <v>1.8270444767817615</v>
      </c>
      <c r="M91" s="85">
        <f t="shared" si="68"/>
        <v>0.21917066191140577</v>
      </c>
      <c r="N91" s="85">
        <f t="shared" si="69"/>
        <v>0</v>
      </c>
      <c r="O91" s="85">
        <f t="shared" si="70"/>
        <v>2.9123097439518979</v>
      </c>
      <c r="P91" s="85">
        <f t="shared" si="71"/>
        <v>17.472289150209534</v>
      </c>
      <c r="Q91" s="85">
        <f t="shared" si="72"/>
        <v>49.871461819940563</v>
      </c>
      <c r="R91" s="85">
        <f t="shared" si="73"/>
        <v>13.674540181333221</v>
      </c>
      <c r="T91" s="52">
        <v>11</v>
      </c>
      <c r="U91" s="87">
        <f>Annual_Days*L91*T_2!J18*I91_AADT_2014</f>
        <v>270735.67911694961</v>
      </c>
      <c r="V91" s="87">
        <f>Annual_Days*M91*T_2!K18*I91_AADT_2014</f>
        <v>29668.375637821646</v>
      </c>
      <c r="W91" s="87">
        <f>Annual_Days*N91*T_2!L18*I91_AADT_2014</f>
        <v>0</v>
      </c>
      <c r="X91" s="87">
        <f>Annual_Days*O91*T_2!M18*I91_AADT_2014</f>
        <v>391396.72698471794</v>
      </c>
      <c r="Y91" s="87">
        <f>Annual_Days*P91*T_2!N18*I91_AADT_2014</f>
        <v>2555096.265986342</v>
      </c>
      <c r="Z91" s="87">
        <f>Annual_Days*Q91*T_2!O18*I91_AADT_2014</f>
        <v>7823771.5057196943</v>
      </c>
      <c r="AA91" s="87">
        <f>Annual_Days*R91*T_2!P18*I91_AADT_2014</f>
        <v>1790050.8220236744</v>
      </c>
      <c r="AB91" s="44">
        <f t="shared" si="74"/>
        <v>12860719.3754692</v>
      </c>
      <c r="AD91" s="52">
        <v>11</v>
      </c>
      <c r="AE91" s="87">
        <f>Annual_Days*T_2!B18*L91*I91_AADT_2014</f>
        <v>40035.430541232323</v>
      </c>
      <c r="AF91" s="87">
        <f>Annual_Days*T_2!C18*M91*I91_AADT_2014</f>
        <v>5116.1019696666235</v>
      </c>
      <c r="AG91" s="87">
        <f>Annual_Days*T_2!D18*N91*I91_AADT_2014</f>
        <v>0</v>
      </c>
      <c r="AH91" s="87">
        <f>Annual_Days*T_2!E18*O91*I91_AADT_2014</f>
        <v>68981.79862565911</v>
      </c>
      <c r="AI91" s="87">
        <f>Annual_Days*T_2!F18*P91*I91_AADT_2014</f>
        <v>401857.8634297768</v>
      </c>
      <c r="AJ91" s="87">
        <f>Annual_Days*T_2!G18*Q91*I91_AADT_2014</f>
        <v>641994.37957218499</v>
      </c>
      <c r="AK91" s="87">
        <f>Annual_Days*T_2!H18*R91*I91_AADT_2014</f>
        <v>111095.81150671406</v>
      </c>
      <c r="AL91" s="44">
        <f t="shared" si="75"/>
        <v>1269081.3856452338</v>
      </c>
    </row>
    <row r="92" spans="1:38" x14ac:dyDescent="0.25">
      <c r="A92" s="210"/>
      <c r="B92" s="52">
        <v>12</v>
      </c>
      <c r="C92" s="86">
        <v>32.011859669179621</v>
      </c>
      <c r="D92" s="86">
        <v>30.218258856580597</v>
      </c>
      <c r="E92" s="86">
        <v>32.171641743670101</v>
      </c>
      <c r="F92" s="86">
        <v>40.658614915640456</v>
      </c>
      <c r="G92" s="86">
        <v>74.593654453029615</v>
      </c>
      <c r="H92" s="86">
        <v>86.916998028659037</v>
      </c>
      <c r="I92" s="86">
        <v>52.060551586172295</v>
      </c>
      <c r="K92" s="52">
        <v>12</v>
      </c>
      <c r="L92" s="85">
        <f t="shared" si="67"/>
        <v>4.0869869419068934</v>
      </c>
      <c r="M92" s="85">
        <f t="shared" si="68"/>
        <v>2.2933861293078692</v>
      </c>
      <c r="N92" s="85">
        <f t="shared" si="69"/>
        <v>4.2467690163973728</v>
      </c>
      <c r="O92" s="85">
        <f t="shared" si="70"/>
        <v>12.733742188367728</v>
      </c>
      <c r="P92" s="85">
        <f t="shared" si="71"/>
        <v>46.668781725756887</v>
      </c>
      <c r="Q92" s="85">
        <f t="shared" si="72"/>
        <v>58.992125301386309</v>
      </c>
      <c r="R92" s="85">
        <f t="shared" si="73"/>
        <v>24.135678858899567</v>
      </c>
      <c r="T92" s="52">
        <v>12</v>
      </c>
      <c r="U92" s="87">
        <f>Annual_Days*L92*T_2!J19*I91_AADT_2014</f>
        <v>622221.09991049231</v>
      </c>
      <c r="V92" s="87">
        <f>Annual_Days*M92*T_2!K19*I91_AADT_2014</f>
        <v>298245.0379170223</v>
      </c>
      <c r="W92" s="87">
        <f>Annual_Days*N92*T_2!L19*I91_AADT_2014</f>
        <v>523117.53696643782</v>
      </c>
      <c r="X92" s="87">
        <f>Annual_Days*O92*T_2!M19*I91_AADT_2014</f>
        <v>1748493.0242724358</v>
      </c>
      <c r="Y92" s="87">
        <f>Annual_Days*P92*T_2!N19*I91_AADT_2014</f>
        <v>7113073.4611845454</v>
      </c>
      <c r="Z92" s="87">
        <f>Annual_Days*Q92*T_2!O19*I91_AADT_2014</f>
        <v>9170231.3148141168</v>
      </c>
      <c r="AA92" s="87">
        <f>Annual_Days*R92*T_2!P19*I91_AADT_2014</f>
        <v>3668999.7535828138</v>
      </c>
      <c r="AB92" s="44">
        <f t="shared" si="74"/>
        <v>23144381.228647865</v>
      </c>
      <c r="AD92" s="52">
        <v>12</v>
      </c>
      <c r="AE92" s="87">
        <f>Annual_Days*T_2!B19*L92*I91_AADT_2014</f>
        <v>104989.58055611086</v>
      </c>
      <c r="AF92" s="87">
        <f>Annual_Days*T_2!C19*M92*I91_AADT_2014</f>
        <v>56158.766488555018</v>
      </c>
      <c r="AG92" s="87">
        <f>Annual_Days*T_2!D19*N92*I91_AADT_2014</f>
        <v>123672.46925959906</v>
      </c>
      <c r="AH92" s="87">
        <f>Annual_Days*T_2!E19*O92*I91_AADT_2014</f>
        <v>351884.22113482771</v>
      </c>
      <c r="AI92" s="87">
        <f>Annual_Days*T_2!F19*P92*I91_AADT_2014</f>
        <v>1153471.3720839804</v>
      </c>
      <c r="AJ92" s="87">
        <f>Annual_Days*T_2!G19*Q92*I91_AADT_2014</f>
        <v>745903.98254468909</v>
      </c>
      <c r="AK92" s="87">
        <f>Annual_Days*T_2!H19*R92*I91_AADT_2014</f>
        <v>240273.22435958209</v>
      </c>
      <c r="AL92" s="44">
        <f t="shared" si="75"/>
        <v>2776353.6164273443</v>
      </c>
    </row>
    <row r="93" spans="1:38" x14ac:dyDescent="0.25">
      <c r="A93" s="210"/>
      <c r="B93" s="52">
        <v>13</v>
      </c>
      <c r="C93" s="86">
        <v>35.873942440624724</v>
      </c>
      <c r="D93" s="86">
        <v>33.209262508620213</v>
      </c>
      <c r="E93" s="86">
        <v>34.023052356088378</v>
      </c>
      <c r="F93" s="86">
        <v>54.128964020078399</v>
      </c>
      <c r="G93" s="86">
        <v>78.67067879193975</v>
      </c>
      <c r="H93" s="86">
        <v>76.416759797765167</v>
      </c>
      <c r="I93" s="86">
        <v>60.973013384352512</v>
      </c>
      <c r="K93" s="52">
        <v>13</v>
      </c>
      <c r="L93" s="85">
        <f t="shared" si="67"/>
        <v>7.9490697133519959</v>
      </c>
      <c r="M93" s="85">
        <f t="shared" si="68"/>
        <v>5.2843897813474854</v>
      </c>
      <c r="N93" s="85">
        <f t="shared" si="69"/>
        <v>6.0981796288156502</v>
      </c>
      <c r="O93" s="85">
        <f t="shared" si="70"/>
        <v>26.204091292805671</v>
      </c>
      <c r="P93" s="85">
        <f t="shared" si="71"/>
        <v>50.745806064667022</v>
      </c>
      <c r="Q93" s="85">
        <f t="shared" si="72"/>
        <v>48.491887070492439</v>
      </c>
      <c r="R93" s="85">
        <f t="shared" si="73"/>
        <v>33.048140657079784</v>
      </c>
      <c r="T93" s="52">
        <v>13</v>
      </c>
      <c r="U93" s="87">
        <f>Annual_Days*L93*T_2!J20*I91_AADT_2014</f>
        <v>1254771.413068325</v>
      </c>
      <c r="V93" s="87">
        <f>Annual_Days*M93*T_2!K20*I91_AADT_2014</f>
        <v>699910.40356754791</v>
      </c>
      <c r="W93" s="87">
        <f>Annual_Days*N93*T_2!L20*I91_AADT_2014</f>
        <v>825838.41409179976</v>
      </c>
      <c r="X93" s="87">
        <f>Annual_Days*O93*T_2!M20*I91_AADT_2014</f>
        <v>3811020.2776691215</v>
      </c>
      <c r="Y93" s="87">
        <f>Annual_Days*P93*T_2!N20*I91_AADT_2014</f>
        <v>8071264.151157259</v>
      </c>
      <c r="Z93" s="87">
        <f>Annual_Days*Q93*T_2!O20*I91_AADT_2014</f>
        <v>7587924.9247141508</v>
      </c>
      <c r="AA93" s="87">
        <f>Annual_Days*R93*T_2!P20*I91_AADT_2014</f>
        <v>5318796.4730221322</v>
      </c>
      <c r="AB93" s="44">
        <f t="shared" si="74"/>
        <v>27569526.057290338</v>
      </c>
      <c r="AD93" s="52">
        <v>13</v>
      </c>
      <c r="AE93" s="87">
        <f>Annual_Days*T_2!B20*L93*I91_AADT_2014</f>
        <v>204656.44649537743</v>
      </c>
      <c r="AF93" s="87">
        <f>Annual_Days*T_2!C20*M93*I91_AADT_2014</f>
        <v>152075.56500841322</v>
      </c>
      <c r="AG93" s="87">
        <f>Annual_Days*T_2!D20*N93*I91_AADT_2014</f>
        <v>204104.55101128129</v>
      </c>
      <c r="AH93" s="87">
        <f>Annual_Days*T_2!E20*O93*I91_AADT_2014</f>
        <v>767601.25183579489</v>
      </c>
      <c r="AI93" s="87">
        <f>Annual_Days*T_2!F20*P93*I91_AADT_2014</f>
        <v>1315209.5900986467</v>
      </c>
      <c r="AJ93" s="87">
        <f>Annual_Days*T_2!G20*Q93*I91_AADT_2014</f>
        <v>549326.92325170082</v>
      </c>
      <c r="AK93" s="87">
        <f>Annual_Days*T_2!H20*R93*I91_AADT_2014</f>
        <v>328997.71998075047</v>
      </c>
      <c r="AL93" s="44">
        <f t="shared" si="75"/>
        <v>3521972.047681964</v>
      </c>
    </row>
    <row r="94" spans="1:38" x14ac:dyDescent="0.25">
      <c r="A94" s="210"/>
      <c r="B94" s="52">
        <v>14</v>
      </c>
      <c r="C94" s="86">
        <v>46.697138118261705</v>
      </c>
      <c r="D94" s="86">
        <v>42.285364293780233</v>
      </c>
      <c r="E94" s="86">
        <v>37.618526607261472</v>
      </c>
      <c r="F94" s="86">
        <v>60.9230243931028</v>
      </c>
      <c r="G94" s="86">
        <v>87.942662493115961</v>
      </c>
      <c r="H94" s="86">
        <v>81.665964207301514</v>
      </c>
      <c r="I94" s="86">
        <v>87.612567383197003</v>
      </c>
      <c r="K94" s="52">
        <v>14</v>
      </c>
      <c r="L94" s="85">
        <f t="shared" si="67"/>
        <v>18.772265390988977</v>
      </c>
      <c r="M94" s="85">
        <f t="shared" si="68"/>
        <v>14.360491566507505</v>
      </c>
      <c r="N94" s="85">
        <f t="shared" si="69"/>
        <v>9.6936538799887444</v>
      </c>
      <c r="O94" s="85">
        <f t="shared" si="70"/>
        <v>32.998151665830072</v>
      </c>
      <c r="P94" s="85">
        <f t="shared" si="71"/>
        <v>60.017789765843233</v>
      </c>
      <c r="Q94" s="85">
        <f t="shared" si="72"/>
        <v>53.741091480028786</v>
      </c>
      <c r="R94" s="85">
        <f t="shared" si="73"/>
        <v>59.687694655924275</v>
      </c>
      <c r="T94" s="52">
        <v>14</v>
      </c>
      <c r="U94" s="87">
        <f>Annual_Days*L94*T_2!J21*I91_AADT_2014</f>
        <v>2915970.5188537142</v>
      </c>
      <c r="V94" s="87">
        <f>Annual_Days*M94*T_2!K21*I91_AADT_2014</f>
        <v>1941465.3209397669</v>
      </c>
      <c r="W94" s="87">
        <f>Annual_Days*N94*T_2!L21*I91_AADT_2014</f>
        <v>1387622.7891624824</v>
      </c>
      <c r="X94" s="87">
        <f>Annual_Days*O94*T_2!M21*I91_AADT_2014</f>
        <v>5004906.3045639638</v>
      </c>
      <c r="Y94" s="87">
        <f>Annual_Days*P94*T_2!N21*I91_AADT_2014</f>
        <v>10133181.392604107</v>
      </c>
      <c r="Z94" s="87">
        <f>Annual_Days*Q94*T_2!O21*I91_AADT_2014</f>
        <v>7625262.0467404174</v>
      </c>
      <c r="AA94" s="87">
        <f>Annual_Days*R94*T_2!P21*I91_AADT_2014</f>
        <v>10500900.295243317</v>
      </c>
      <c r="AB94" s="44">
        <f t="shared" si="74"/>
        <v>39509308.66810777</v>
      </c>
      <c r="AD94" s="52">
        <v>14</v>
      </c>
      <c r="AE94" s="87">
        <f>Annual_Days*T_2!B21*L94*I91_AADT_2014</f>
        <v>510160.58801308076</v>
      </c>
      <c r="AF94" s="87">
        <f>Annual_Days*T_2!C21*M94*I91_AADT_2014</f>
        <v>419842.90266619599</v>
      </c>
      <c r="AG94" s="87">
        <f>Annual_Days*T_2!D21*N94*I91_AADT_2014</f>
        <v>260664.55272037035</v>
      </c>
      <c r="AH94" s="87">
        <f>Annual_Days*T_2!E21*O94*I91_AADT_2014</f>
        <v>832577.77454270399</v>
      </c>
      <c r="AI94" s="87">
        <f>Annual_Days*T_2!F21*P94*I91_AADT_2014</f>
        <v>1637928.6764731139</v>
      </c>
      <c r="AJ94" s="87">
        <f>Annual_Days*T_2!G21*Q94*I91_AADT_2014</f>
        <v>611865.78520215454</v>
      </c>
      <c r="AK94" s="87">
        <f>Annual_Days*T_2!H21*R94*I91_AADT_2014</f>
        <v>700060.01968288794</v>
      </c>
      <c r="AL94" s="44">
        <f t="shared" si="75"/>
        <v>4973100.2993005076</v>
      </c>
    </row>
    <row r="95" spans="1:38" x14ac:dyDescent="0.25">
      <c r="A95" s="210"/>
      <c r="B95" s="52">
        <v>15</v>
      </c>
      <c r="C95" s="86">
        <v>57.092669352804883</v>
      </c>
      <c r="D95" s="86">
        <v>45.296129205013237</v>
      </c>
      <c r="E95" s="86">
        <v>42.694768575087224</v>
      </c>
      <c r="F95" s="86">
        <v>58.135595704618865</v>
      </c>
      <c r="G95" s="86">
        <v>79.829406715730784</v>
      </c>
      <c r="H95" s="86">
        <v>78.873708533675867</v>
      </c>
      <c r="I95" s="86">
        <v>95.482784445735788</v>
      </c>
      <c r="K95" s="52">
        <v>15</v>
      </c>
      <c r="L95" s="85">
        <f t="shared" si="67"/>
        <v>29.167796625532155</v>
      </c>
      <c r="M95" s="85">
        <f t="shared" si="68"/>
        <v>17.371256477740509</v>
      </c>
      <c r="N95" s="85">
        <f t="shared" si="69"/>
        <v>14.769895847814496</v>
      </c>
      <c r="O95" s="85">
        <f t="shared" si="70"/>
        <v>30.210722977346137</v>
      </c>
      <c r="P95" s="85">
        <f t="shared" si="71"/>
        <v>51.904533988458056</v>
      </c>
      <c r="Q95" s="85">
        <f t="shared" si="72"/>
        <v>50.948835806403139</v>
      </c>
      <c r="R95" s="85">
        <f t="shared" si="73"/>
        <v>67.55791171846306</v>
      </c>
      <c r="T95" s="52">
        <v>15</v>
      </c>
      <c r="U95" s="87">
        <f>Annual_Days*L95*T_2!J22*I91_AADT_2014</f>
        <v>4756035.5559442155</v>
      </c>
      <c r="V95" s="87">
        <f>Annual_Days*M95*T_2!K22*I91_AADT_2014</f>
        <v>2490628.2436497291</v>
      </c>
      <c r="W95" s="87">
        <f>Annual_Days*N95*T_2!L22*I91_AADT_2014</f>
        <v>2190327.4179167268</v>
      </c>
      <c r="X95" s="87">
        <f>Annual_Days*O95*T_2!M22*I91_AADT_2014</f>
        <v>4874239.1814745236</v>
      </c>
      <c r="Y95" s="87">
        <f>Annual_Days*P95*T_2!N22*I91_AADT_2014</f>
        <v>9814617.2927764114</v>
      </c>
      <c r="Z95" s="87">
        <f>Annual_Days*Q95*T_2!O22*I91_AADT_2014</f>
        <v>7855785.9908320811</v>
      </c>
      <c r="AA95" s="87">
        <f>Annual_Days*R95*T_2!P22*I91_AADT_2014</f>
        <v>11819804.878337216</v>
      </c>
      <c r="AB95" s="44">
        <f t="shared" si="74"/>
        <v>43801438.560930908</v>
      </c>
      <c r="AD95" s="52">
        <v>15</v>
      </c>
      <c r="AE95" s="87">
        <f>Annual_Days*T_2!B22*L95*I91_AADT_2014</f>
        <v>784328.6706293968</v>
      </c>
      <c r="AF95" s="87">
        <f>Annual_Days*T_2!C22*M95*I91_AADT_2014</f>
        <v>445251.97651838738</v>
      </c>
      <c r="AG95" s="87">
        <f>Annual_Days*T_2!D22*N95*I91_AADT_2014</f>
        <v>411531.42458543449</v>
      </c>
      <c r="AH95" s="87">
        <f>Annual_Days*T_2!E22*O95*I91_AADT_2014</f>
        <v>852127.62995281571</v>
      </c>
      <c r="AI95" s="87">
        <f>Annual_Days*T_2!F22*P95*I91_AADT_2014</f>
        <v>1458086.8655834249</v>
      </c>
      <c r="AJ95" s="87">
        <f>Annual_Days*T_2!G22*Q95*I91_AADT_2014</f>
        <v>577159.78708154056</v>
      </c>
      <c r="AK95" s="87">
        <f>Annual_Days*T_2!H22*R95*I91_AADT_2014</f>
        <v>796232.76812866796</v>
      </c>
      <c r="AL95" s="44">
        <f t="shared" si="75"/>
        <v>5324719.1224796679</v>
      </c>
    </row>
    <row r="96" spans="1:38" x14ac:dyDescent="0.25">
      <c r="A96" s="210"/>
      <c r="B96" s="52">
        <v>16</v>
      </c>
      <c r="C96" s="86">
        <v>45.264648149971755</v>
      </c>
      <c r="D96" s="86">
        <v>40.700136414617099</v>
      </c>
      <c r="E96" s="86">
        <v>39.035280372265596</v>
      </c>
      <c r="F96" s="86">
        <v>66.515298768062877</v>
      </c>
      <c r="G96" s="86">
        <v>74.503144661664138</v>
      </c>
      <c r="H96" s="86">
        <v>66.391482753962165</v>
      </c>
      <c r="I96" s="86">
        <v>100.59742100021484</v>
      </c>
      <c r="K96" s="52">
        <v>16</v>
      </c>
      <c r="L96" s="85">
        <f t="shared" si="67"/>
        <v>17.339775422699027</v>
      </c>
      <c r="M96" s="85">
        <f t="shared" si="68"/>
        <v>12.775263687344371</v>
      </c>
      <c r="N96" s="85">
        <f t="shared" si="69"/>
        <v>11.110407644992868</v>
      </c>
      <c r="O96" s="85">
        <f t="shared" si="70"/>
        <v>38.590426040790149</v>
      </c>
      <c r="P96" s="85">
        <f t="shared" si="71"/>
        <v>46.57827193439141</v>
      </c>
      <c r="Q96" s="85">
        <f t="shared" si="72"/>
        <v>38.466610026689438</v>
      </c>
      <c r="R96" s="85">
        <f t="shared" si="73"/>
        <v>72.672548272942109</v>
      </c>
      <c r="T96" s="52">
        <v>16</v>
      </c>
      <c r="U96" s="87">
        <f>Annual_Days*L96*T_2!J23*I91_AADT_2014</f>
        <v>3182544.152938548</v>
      </c>
      <c r="V96" s="87">
        <f>Annual_Days*M96*T_2!K23*I91_AADT_2014</f>
        <v>2382049.8339474206</v>
      </c>
      <c r="W96" s="87">
        <f>Annual_Days*N96*T_2!L23*I91_AADT_2014</f>
        <v>1952119.5896471664</v>
      </c>
      <c r="X96" s="87">
        <f>Annual_Days*O96*T_2!M23*I91_AADT_2014</f>
        <v>6833399.8867840683</v>
      </c>
      <c r="Y96" s="87">
        <f>Annual_Days*P96*T_2!N23*I91_AADT_2014</f>
        <v>9143252.2106972635</v>
      </c>
      <c r="Z96" s="87">
        <f>Annual_Days*Q96*T_2!O23*I91_AADT_2014</f>
        <v>5702272.1013588877</v>
      </c>
      <c r="AA96" s="87">
        <f>Annual_Days*R96*T_2!P23*I91_AADT_2014</f>
        <v>11920506.024183694</v>
      </c>
      <c r="AB96" s="44">
        <f t="shared" si="74"/>
        <v>41116143.799557045</v>
      </c>
      <c r="AD96" s="52">
        <v>16</v>
      </c>
      <c r="AE96" s="87">
        <f>Annual_Days*T_2!B23*L96*I91_AADT_2014</f>
        <v>394841.82446058048</v>
      </c>
      <c r="AF96" s="87">
        <f>Annual_Days*T_2!C23*M96*I91_AADT_2014</f>
        <v>299674.87938583689</v>
      </c>
      <c r="AG96" s="87">
        <f>Annual_Days*T_2!D23*N96*I91_AADT_2014</f>
        <v>313381.62087139464</v>
      </c>
      <c r="AH96" s="87">
        <f>Annual_Days*T_2!E23*O96*I91_AADT_2014</f>
        <v>1057576.2668076148</v>
      </c>
      <c r="AI96" s="87">
        <f>Annual_Days*T_2!F23*P96*I91_AADT_2014</f>
        <v>1348436.4962438983</v>
      </c>
      <c r="AJ96" s="87">
        <f>Annual_Days*T_2!G23*Q96*I91_AADT_2014</f>
        <v>411549.54957704054</v>
      </c>
      <c r="AK96" s="87">
        <f>Annual_Days*T_2!H23*R96*I91_AADT_2014</f>
        <v>956301.49478976277</v>
      </c>
      <c r="AL96" s="44">
        <f t="shared" si="75"/>
        <v>4781762.1321361279</v>
      </c>
    </row>
    <row r="97" spans="1:38" x14ac:dyDescent="0.25">
      <c r="A97" s="210"/>
      <c r="B97" s="52">
        <v>17</v>
      </c>
      <c r="C97" s="86">
        <v>52.640152238614796</v>
      </c>
      <c r="D97" s="86">
        <v>50.136702705829563</v>
      </c>
      <c r="E97" s="86">
        <v>46.528323461038696</v>
      </c>
      <c r="F97" s="86">
        <v>57.798836045424437</v>
      </c>
      <c r="G97" s="86">
        <v>74.868993885563327</v>
      </c>
      <c r="H97" s="86">
        <v>40.228261239205487</v>
      </c>
      <c r="I97" s="86">
        <v>102.04422644261267</v>
      </c>
      <c r="K97" s="52">
        <v>17</v>
      </c>
      <c r="L97" s="85">
        <f t="shared" si="67"/>
        <v>24.715279511342068</v>
      </c>
      <c r="M97" s="85">
        <f t="shared" si="68"/>
        <v>22.211829978556835</v>
      </c>
      <c r="N97" s="85">
        <f t="shared" si="69"/>
        <v>18.603450733765968</v>
      </c>
      <c r="O97" s="85">
        <f t="shared" si="70"/>
        <v>29.873963318151709</v>
      </c>
      <c r="P97" s="85">
        <f t="shared" si="71"/>
        <v>46.944121158290599</v>
      </c>
      <c r="Q97" s="85">
        <f t="shared" si="72"/>
        <v>12.303388511932759</v>
      </c>
      <c r="R97" s="85">
        <f t="shared" si="73"/>
        <v>74.11935371533994</v>
      </c>
      <c r="T97" s="52">
        <v>17</v>
      </c>
      <c r="U97" s="87">
        <f>Annual_Days*L97*T_2!J24*I91_AADT_2014</f>
        <v>4529174.7198497923</v>
      </c>
      <c r="V97" s="87">
        <f>Annual_Days*M97*T_2!K24*I91_AADT_2014</f>
        <v>4282632.9186957963</v>
      </c>
      <c r="W97" s="87">
        <f>Annual_Days*N97*T_2!L24*I91_AADT_2014</f>
        <v>3415543.6125153773</v>
      </c>
      <c r="X97" s="87">
        <f>Annual_Days*O97*T_2!M24*I91_AADT_2014</f>
        <v>5016462.3665849837</v>
      </c>
      <c r="Y97" s="87">
        <f>Annual_Days*P97*T_2!N24*I91_AADT_2014</f>
        <v>9266098.6098886579</v>
      </c>
      <c r="Z97" s="87">
        <f>Annual_Days*Q97*T_2!O24*I91_AADT_2014</f>
        <v>1690808.2212092644</v>
      </c>
      <c r="AA97" s="87">
        <f>Annual_Days*R97*T_2!P24*I91_AADT_2014</f>
        <v>11123117.474670591</v>
      </c>
      <c r="AB97" s="44">
        <f t="shared" si="74"/>
        <v>39323837.923414461</v>
      </c>
      <c r="AD97" s="52">
        <v>17</v>
      </c>
      <c r="AE97" s="87">
        <f>Annual_Days*T_2!B24*L97*I91_AADT_2014</f>
        <v>589655.27885649819</v>
      </c>
      <c r="AF97" s="87">
        <f>Annual_Days*T_2!C24*M97*I91_AADT_2014</f>
        <v>521032.49159207015</v>
      </c>
      <c r="AG97" s="87">
        <f>Annual_Days*T_2!D24*N97*I91_AADT_2014</f>
        <v>481092.4627164072</v>
      </c>
      <c r="AH97" s="87">
        <f>Annual_Days*T_2!E24*O97*I91_AADT_2014</f>
        <v>670001.10654218518</v>
      </c>
      <c r="AI97" s="87">
        <f>Annual_Days*T_2!F24*P97*I91_AADT_2014</f>
        <v>1066272.7965582022</v>
      </c>
      <c r="AJ97" s="87">
        <f>Annual_Days*T_2!G24*Q97*I91_AADT_2014</f>
        <v>126705.02906647278</v>
      </c>
      <c r="AK97" s="87">
        <f>Annual_Days*T_2!H24*R97*I91_AADT_2014</f>
        <v>932933.98567576439</v>
      </c>
      <c r="AL97" s="44">
        <f t="shared" si="75"/>
        <v>4387693.1510076001</v>
      </c>
    </row>
    <row r="98" spans="1:38" x14ac:dyDescent="0.25">
      <c r="A98" s="210"/>
      <c r="B98" s="52">
        <v>18</v>
      </c>
      <c r="C98" s="86">
        <v>34.048077557674638</v>
      </c>
      <c r="D98" s="86">
        <v>40.371177774960913</v>
      </c>
      <c r="E98" s="86">
        <v>34.973579734308586</v>
      </c>
      <c r="F98" s="86">
        <v>39.286479856429807</v>
      </c>
      <c r="G98" s="86">
        <v>62.030728944151527</v>
      </c>
      <c r="H98" s="86">
        <v>31.297613603938661</v>
      </c>
      <c r="I98" s="86">
        <v>76.716732534681569</v>
      </c>
      <c r="K98" s="52">
        <v>18</v>
      </c>
      <c r="L98" s="85">
        <f t="shared" si="67"/>
        <v>6.1232048304019102</v>
      </c>
      <c r="M98" s="85">
        <f t="shared" si="68"/>
        <v>12.446305047688185</v>
      </c>
      <c r="N98" s="85">
        <f t="shared" si="69"/>
        <v>7.0487070070358584</v>
      </c>
      <c r="O98" s="85">
        <f t="shared" si="70"/>
        <v>11.361607129157079</v>
      </c>
      <c r="P98" s="85">
        <f t="shared" si="71"/>
        <v>34.105856216878799</v>
      </c>
      <c r="Q98" s="85">
        <f t="shared" si="72"/>
        <v>3.372740876665933</v>
      </c>
      <c r="R98" s="85">
        <f t="shared" si="73"/>
        <v>48.791859807408841</v>
      </c>
      <c r="T98" s="52">
        <v>18</v>
      </c>
      <c r="U98" s="87">
        <f>Annual_Days*L98*T_2!J25*I91_AADT_2014</f>
        <v>937478.90940113156</v>
      </c>
      <c r="V98" s="87">
        <f>Annual_Days*M98*T_2!K25*I91_AADT_2014</f>
        <v>2037299.6393013699</v>
      </c>
      <c r="W98" s="87">
        <f>Annual_Days*N98*T_2!L25*I91_AADT_2014</f>
        <v>1275169.5506618058</v>
      </c>
      <c r="X98" s="87">
        <f>Annual_Days*O98*T_2!M25*I91_AADT_2014</f>
        <v>2058009.0863317887</v>
      </c>
      <c r="Y98" s="87">
        <f>Annual_Days*P98*T_2!N25*I91_AADT_2014</f>
        <v>6612978.8727480685</v>
      </c>
      <c r="Z98" s="87">
        <f>Annual_Days*Q98*T_2!O25*I91_AADT_2014</f>
        <v>466976.42034014844</v>
      </c>
      <c r="AA98" s="87">
        <f>Annual_Days*R98*T_2!P25*I91_AADT_2014</f>
        <v>7352918.5069594933</v>
      </c>
      <c r="AB98" s="44">
        <f t="shared" si="74"/>
        <v>20740830.985743806</v>
      </c>
      <c r="AD98" s="52">
        <v>18</v>
      </c>
      <c r="AE98" s="87">
        <f>Annual_Days*T_2!B25*L98*I91_AADT_2014</f>
        <v>95289.336082626236</v>
      </c>
      <c r="AF98" s="87">
        <f>Annual_Days*T_2!C25*M98*I91_AADT_2014</f>
        <v>280564.85770176147</v>
      </c>
      <c r="AG98" s="87">
        <f>Annual_Days*T_2!D25*N98*I91_AADT_2014</f>
        <v>164134.72710922043</v>
      </c>
      <c r="AH98" s="87">
        <f>Annual_Days*T_2!E25*O98*I91_AADT_2014</f>
        <v>280814.88480585365</v>
      </c>
      <c r="AI98" s="87">
        <f>Annual_Days*T_2!F25*P98*I91_AADT_2014</f>
        <v>704421.76838656026</v>
      </c>
      <c r="AJ98" s="87">
        <f>Annual_Days*T_2!G25*Q98*I91_AADT_2014</f>
        <v>27401.095738967386</v>
      </c>
      <c r="AK98" s="87">
        <f>Annual_Days*T_2!H25*R98*I91_AADT_2014</f>
        <v>519226.59160761797</v>
      </c>
      <c r="AL98" s="44">
        <f t="shared" si="75"/>
        <v>2071853.2614326074</v>
      </c>
    </row>
    <row r="99" spans="1:38" x14ac:dyDescent="0.25">
      <c r="A99" s="210"/>
      <c r="B99" s="52">
        <v>19</v>
      </c>
      <c r="C99" s="86">
        <v>26.287532939702213</v>
      </c>
      <c r="D99" s="86">
        <v>26.943949619177129</v>
      </c>
      <c r="E99" s="86">
        <v>26.805517816903006</v>
      </c>
      <c r="F99" s="86">
        <v>29.440450057643858</v>
      </c>
      <c r="G99" s="86">
        <v>53.790688590711717</v>
      </c>
      <c r="H99" s="86">
        <v>28.262961201566139</v>
      </c>
      <c r="I99" s="86">
        <v>55.368558666006741</v>
      </c>
      <c r="K99" s="52">
        <v>19</v>
      </c>
      <c r="L99" s="85">
        <f t="shared" si="67"/>
        <v>0</v>
      </c>
      <c r="M99" s="85">
        <f t="shared" si="68"/>
        <v>0</v>
      </c>
      <c r="N99" s="85">
        <f t="shared" si="69"/>
        <v>0</v>
      </c>
      <c r="O99" s="85">
        <f t="shared" si="70"/>
        <v>1.51557733037113</v>
      </c>
      <c r="P99" s="85">
        <f t="shared" si="71"/>
        <v>25.865815863438989</v>
      </c>
      <c r="Q99" s="85">
        <f t="shared" si="72"/>
        <v>0.33808847429341071</v>
      </c>
      <c r="R99" s="85">
        <f t="shared" si="73"/>
        <v>27.443685938734014</v>
      </c>
      <c r="T99" s="52">
        <v>19</v>
      </c>
      <c r="U99" s="87">
        <f>Annual_Days*L99*T_2!J26*I91_AADT_2014</f>
        <v>0</v>
      </c>
      <c r="V99" s="87">
        <f>Annual_Days*M99*T_2!K26*I91_AADT_2014</f>
        <v>0</v>
      </c>
      <c r="W99" s="87">
        <f>Annual_Days*N99*T_2!L26*I91_AADT_2014</f>
        <v>0</v>
      </c>
      <c r="X99" s="87">
        <f>Annual_Days*O99*T_2!M26*I91_AADT_2014</f>
        <v>229177.44494957072</v>
      </c>
      <c r="Y99" s="87">
        <f>Annual_Days*P99*T_2!N26*I91_AADT_2014</f>
        <v>4099232.5835571941</v>
      </c>
      <c r="Z99" s="87">
        <f>Annual_Days*Q99*T_2!O26*I91_AADT_2014</f>
        <v>45649.810399423244</v>
      </c>
      <c r="AA99" s="87">
        <f>Annual_Days*R99*T_2!P26*I91_AADT_2014</f>
        <v>3639590.1571293902</v>
      </c>
      <c r="AB99" s="44">
        <f t="shared" si="74"/>
        <v>8013649.9960355787</v>
      </c>
      <c r="AD99" s="52">
        <v>19</v>
      </c>
      <c r="AE99" s="87">
        <f>Annual_Days*T_2!B26*L99*I91_AADT_2014</f>
        <v>0</v>
      </c>
      <c r="AF99" s="87">
        <f>Annual_Days*T_2!C26*M99*I91_AADT_2014</f>
        <v>0</v>
      </c>
      <c r="AG99" s="87">
        <f>Annual_Days*T_2!D26*N99*I91_AADT_2014</f>
        <v>0</v>
      </c>
      <c r="AH99" s="87">
        <f>Annual_Days*T_2!E26*O99*I91_AADT_2014</f>
        <v>26620.308588542641</v>
      </c>
      <c r="AI99" s="87">
        <f>Annual_Days*T_2!F26*P99*I91_AADT_2014</f>
        <v>335929.89042147395</v>
      </c>
      <c r="AJ99" s="87">
        <f>Annual_Days*T_2!G26*Q99*I91_AADT_2014</f>
        <v>2185.7748199723842</v>
      </c>
      <c r="AK99" s="87">
        <f>Annual_Days*T_2!H26*R99*I91_AADT_2014</f>
        <v>290476.34990031808</v>
      </c>
      <c r="AL99" s="44">
        <f t="shared" si="75"/>
        <v>655212.32373030705</v>
      </c>
    </row>
    <row r="100" spans="1:38" x14ac:dyDescent="0.25">
      <c r="A100" s="210"/>
      <c r="B100" s="52">
        <v>20</v>
      </c>
      <c r="C100" s="86">
        <v>26.690387826372881</v>
      </c>
      <c r="D100" s="86">
        <v>26.00546755844125</v>
      </c>
      <c r="E100" s="86">
        <v>27.132317905313887</v>
      </c>
      <c r="F100" s="86">
        <v>29.618815800632625</v>
      </c>
      <c r="G100" s="86">
        <v>53.614942390496921</v>
      </c>
      <c r="H100" s="86">
        <v>25.821742961519242</v>
      </c>
      <c r="I100" s="86">
        <v>50.920646137390655</v>
      </c>
      <c r="K100" s="52">
        <v>20</v>
      </c>
      <c r="L100" s="85">
        <f t="shared" si="67"/>
        <v>0</v>
      </c>
      <c r="M100" s="85">
        <f t="shared" si="68"/>
        <v>0</v>
      </c>
      <c r="N100" s="85">
        <f t="shared" si="69"/>
        <v>0</v>
      </c>
      <c r="O100" s="85">
        <f t="shared" si="70"/>
        <v>1.6939430733598968</v>
      </c>
      <c r="P100" s="85">
        <f t="shared" si="71"/>
        <v>25.690069663224193</v>
      </c>
      <c r="Q100" s="85">
        <f t="shared" si="72"/>
        <v>0</v>
      </c>
      <c r="R100" s="85">
        <f t="shared" si="73"/>
        <v>22.995773410117927</v>
      </c>
      <c r="T100" s="52">
        <v>20</v>
      </c>
      <c r="U100" s="87">
        <f>Annual_Days*L100*T_2!J27*I91_AADT_2014</f>
        <v>0</v>
      </c>
      <c r="V100" s="87">
        <f>Annual_Days*M100*T_2!K27*I91_AADT_2014</f>
        <v>0</v>
      </c>
      <c r="W100" s="87">
        <f>Annual_Days*N100*T_2!L27*I91_AADT_2014</f>
        <v>0</v>
      </c>
      <c r="X100" s="87">
        <f>Annual_Days*O100*T_2!M27*I91_AADT_2014</f>
        <v>161171.28559470893</v>
      </c>
      <c r="Y100" s="87">
        <f>Annual_Days*P100*T_2!N27*I91_AADT_2014</f>
        <v>3026343.6237176554</v>
      </c>
      <c r="Z100" s="87">
        <f>Annual_Days*Q100*T_2!O27*I91_AADT_2014</f>
        <v>0</v>
      </c>
      <c r="AA100" s="87">
        <f>Annual_Days*R100*T_2!P27*I91_AADT_2014</f>
        <v>2608959.5420149481</v>
      </c>
      <c r="AB100" s="44">
        <f t="shared" si="74"/>
        <v>5796474.4513273127</v>
      </c>
      <c r="AD100" s="52">
        <v>20</v>
      </c>
      <c r="AE100" s="87">
        <f>Annual_Days*T_2!B27*L100*I91_AADT_2014</f>
        <v>0</v>
      </c>
      <c r="AF100" s="87">
        <f>Annual_Days*T_2!C27*M100*I91_AADT_2014</f>
        <v>0</v>
      </c>
      <c r="AG100" s="87">
        <f>Annual_Days*T_2!D27*N100*I91_AADT_2014</f>
        <v>0</v>
      </c>
      <c r="AH100" s="87">
        <f>Annual_Days*T_2!E27*O100*I91_AADT_2014</f>
        <v>22096.84492819821</v>
      </c>
      <c r="AI100" s="87">
        <f>Annual_Days*T_2!F27*P100*I91_AADT_2014</f>
        <v>260156.78552599566</v>
      </c>
      <c r="AJ100" s="87">
        <f>Annual_Days*T_2!G27*Q100*I91_AADT_2014</f>
        <v>0</v>
      </c>
      <c r="AK100" s="87">
        <f>Annual_Days*T_2!H27*R100*I91_AADT_2014</f>
        <v>228925.34559283961</v>
      </c>
      <c r="AL100" s="44">
        <f t="shared" si="75"/>
        <v>511178.97604703344</v>
      </c>
    </row>
    <row r="101" spans="1:38" x14ac:dyDescent="0.25">
      <c r="A101" s="210"/>
      <c r="B101" s="52">
        <v>21</v>
      </c>
      <c r="C101" s="86">
        <v>26.964257875753415</v>
      </c>
      <c r="D101" s="86">
        <v>27.074273871772082</v>
      </c>
      <c r="E101" s="86">
        <v>28.865136135824272</v>
      </c>
      <c r="F101" s="86">
        <v>30.312311362373176</v>
      </c>
      <c r="G101" s="86">
        <v>41.896202245765821</v>
      </c>
      <c r="H101" s="86">
        <v>27.424115260398771</v>
      </c>
      <c r="I101" s="86">
        <v>37.571723895347866</v>
      </c>
      <c r="K101" s="52">
        <v>21</v>
      </c>
      <c r="L101" s="85">
        <f t="shared" si="67"/>
        <v>0</v>
      </c>
      <c r="M101" s="85">
        <f t="shared" si="68"/>
        <v>0</v>
      </c>
      <c r="N101" s="85">
        <f t="shared" si="69"/>
        <v>0.94026340855154444</v>
      </c>
      <c r="O101" s="85">
        <f t="shared" si="70"/>
        <v>2.3874386351004482</v>
      </c>
      <c r="P101" s="85">
        <f t="shared" si="71"/>
        <v>13.971329518493093</v>
      </c>
      <c r="Q101" s="85">
        <f t="shared" si="72"/>
        <v>0</v>
      </c>
      <c r="R101" s="85">
        <f t="shared" si="73"/>
        <v>9.6468511680751377</v>
      </c>
      <c r="T101" s="52">
        <v>21</v>
      </c>
      <c r="U101" s="87">
        <f>Annual_Days*L101*T_2!J28*I91_AADT_2014</f>
        <v>0</v>
      </c>
      <c r="V101" s="87">
        <f>Annual_Days*M101*T_2!K28*I91_AADT_2014</f>
        <v>0</v>
      </c>
      <c r="W101" s="87">
        <f>Annual_Days*N101*T_2!L28*I91_AADT_2014</f>
        <v>75905.484845139334</v>
      </c>
      <c r="X101" s="87">
        <f>Annual_Days*O101*T_2!M28*I91_AADT_2014</f>
        <v>223329.75226293929</v>
      </c>
      <c r="Y101" s="87">
        <f>Annual_Days*P101*T_2!N28*I91_AADT_2014</f>
        <v>1418038.2995714732</v>
      </c>
      <c r="Z101" s="87">
        <f>Annual_Days*Q101*T_2!O28*I91_AADT_2014</f>
        <v>0</v>
      </c>
      <c r="AA101" s="87">
        <f>Annual_Days*R101*T_2!P28*I91_AADT_2014</f>
        <v>890811.30153479322</v>
      </c>
      <c r="AB101" s="44">
        <f t="shared" si="74"/>
        <v>2608084.8382143448</v>
      </c>
      <c r="AD101" s="52">
        <v>21</v>
      </c>
      <c r="AE101" s="87">
        <f>Annual_Days*T_2!B28*L101*I91_AADT_2014</f>
        <v>0</v>
      </c>
      <c r="AF101" s="87">
        <f>Annual_Days*T_2!C28*M101*I91_AADT_2014</f>
        <v>0</v>
      </c>
      <c r="AG101" s="87">
        <f>Annual_Days*T_2!D28*N101*I91_AADT_2014</f>
        <v>12641.948220133054</v>
      </c>
      <c r="AH101" s="87">
        <f>Annual_Days*T_2!E28*O101*I91_AADT_2014</f>
        <v>24723.354837670955</v>
      </c>
      <c r="AI101" s="87">
        <f>Annual_Days*T_2!F28*P101*I91_AADT_2014</f>
        <v>108710.94066613325</v>
      </c>
      <c r="AJ101" s="87">
        <f>Annual_Days*T_2!G28*Q101*I91_AADT_2014</f>
        <v>0</v>
      </c>
      <c r="AK101" s="87">
        <f>Annual_Days*T_2!H28*R101*I91_AADT_2014</f>
        <v>108729.75613528765</v>
      </c>
      <c r="AL101" s="44">
        <f t="shared" si="75"/>
        <v>254805.99985922489</v>
      </c>
    </row>
    <row r="102" spans="1:38" x14ac:dyDescent="0.25">
      <c r="A102" s="210"/>
      <c r="B102" s="52">
        <v>22</v>
      </c>
      <c r="C102" s="86">
        <v>27.697690378107531</v>
      </c>
      <c r="D102" s="86">
        <v>26.688440828322364</v>
      </c>
      <c r="E102" s="86">
        <v>28.463472854151689</v>
      </c>
      <c r="F102" s="86">
        <v>27.121711865884276</v>
      </c>
      <c r="G102" s="86">
        <v>30.752487791040505</v>
      </c>
      <c r="H102" s="86">
        <v>25.796428975339232</v>
      </c>
      <c r="I102" s="86">
        <v>34.51827915552186</v>
      </c>
      <c r="K102" s="52">
        <v>22</v>
      </c>
      <c r="L102" s="85">
        <f t="shared" si="67"/>
        <v>0</v>
      </c>
      <c r="M102" s="85">
        <f t="shared" si="68"/>
        <v>0</v>
      </c>
      <c r="N102" s="85">
        <f t="shared" si="69"/>
        <v>0.53860012687896131</v>
      </c>
      <c r="O102" s="85">
        <f t="shared" si="70"/>
        <v>0</v>
      </c>
      <c r="P102" s="85">
        <f t="shared" si="71"/>
        <v>2.8276150637677766</v>
      </c>
      <c r="Q102" s="85">
        <f t="shared" si="72"/>
        <v>0</v>
      </c>
      <c r="R102" s="85">
        <f t="shared" si="73"/>
        <v>6.593406428249132</v>
      </c>
      <c r="T102" s="52">
        <v>22</v>
      </c>
      <c r="U102" s="87">
        <f>Annual_Days*L102*T_2!J29*I91_AADT_2014</f>
        <v>0</v>
      </c>
      <c r="V102" s="87">
        <f>Annual_Days*M102*T_2!K29*I91_AADT_2014</f>
        <v>0</v>
      </c>
      <c r="W102" s="87">
        <f>Annual_Days*N102*T_2!L29*I91_AADT_2014</f>
        <v>34728.576078271151</v>
      </c>
      <c r="X102" s="87">
        <f>Annual_Days*O102*T_2!M29*I91_AADT_2014</f>
        <v>0</v>
      </c>
      <c r="Y102" s="87">
        <f>Annual_Days*P102*T_2!N29*I91_AADT_2014</f>
        <v>272594.3194500985</v>
      </c>
      <c r="Z102" s="87">
        <f>Annual_Days*Q102*T_2!O29*I91_AADT_2014</f>
        <v>0</v>
      </c>
      <c r="AA102" s="87">
        <f>Annual_Days*R102*T_2!P29*I91_AADT_2014</f>
        <v>466633.76047893392</v>
      </c>
      <c r="AB102" s="44">
        <f t="shared" si="74"/>
        <v>773956.65600730362</v>
      </c>
      <c r="AD102" s="52">
        <v>22</v>
      </c>
      <c r="AE102" s="87">
        <f>Annual_Days*T_2!B29*L102*I91_AADT_2014</f>
        <v>0</v>
      </c>
      <c r="AF102" s="87">
        <f>Annual_Days*T_2!C29*M102*I91_AADT_2014</f>
        <v>0</v>
      </c>
      <c r="AG102" s="87">
        <f>Annual_Days*T_2!D29*N102*I91_AADT_2014</f>
        <v>6163.0126137127145</v>
      </c>
      <c r="AH102" s="87">
        <f>Annual_Days*T_2!E29*O102*I91_AADT_2014</f>
        <v>0</v>
      </c>
      <c r="AI102" s="87">
        <f>Annual_Days*T_2!F29*P102*I91_AADT_2014</f>
        <v>29443.422041494327</v>
      </c>
      <c r="AJ102" s="87">
        <f>Annual_Days*T_2!G29*Q102*I91_AADT_2014</f>
        <v>0</v>
      </c>
      <c r="AK102" s="87">
        <f>Annual_Days*T_2!H29*R102*I91_AADT_2014</f>
        <v>56961.760575843982</v>
      </c>
      <c r="AL102" s="44">
        <f t="shared" si="75"/>
        <v>92568.195231051024</v>
      </c>
    </row>
    <row r="103" spans="1:38" x14ac:dyDescent="0.25">
      <c r="A103" s="210"/>
      <c r="B103" s="52">
        <v>23</v>
      </c>
      <c r="C103" s="86">
        <v>26.447117993976477</v>
      </c>
      <c r="D103" s="86">
        <v>30.74299424566426</v>
      </c>
      <c r="E103" s="86">
        <v>30.401497193750657</v>
      </c>
      <c r="F103" s="86">
        <v>26.731566939208751</v>
      </c>
      <c r="G103" s="86">
        <v>30.473471660202549</v>
      </c>
      <c r="H103" s="86">
        <v>25.537131355693234</v>
      </c>
      <c r="I103" s="86">
        <v>26.114142371666922</v>
      </c>
      <c r="K103" s="52">
        <v>23</v>
      </c>
      <c r="L103" s="85">
        <f t="shared" si="67"/>
        <v>0</v>
      </c>
      <c r="M103" s="85">
        <f t="shared" si="68"/>
        <v>2.818121518391532</v>
      </c>
      <c r="N103" s="85">
        <f t="shared" si="69"/>
        <v>2.4766244664779293</v>
      </c>
      <c r="O103" s="85">
        <f t="shared" si="70"/>
        <v>0</v>
      </c>
      <c r="P103" s="85">
        <f t="shared" si="71"/>
        <v>2.5485989329298206</v>
      </c>
      <c r="Q103" s="85">
        <f t="shared" si="72"/>
        <v>0</v>
      </c>
      <c r="R103" s="85">
        <f t="shared" si="73"/>
        <v>0</v>
      </c>
      <c r="T103" s="52">
        <v>23</v>
      </c>
      <c r="U103" s="87">
        <f>Annual_Days*L103*T_2!J30*I91_AADT_2014</f>
        <v>0</v>
      </c>
      <c r="V103" s="87">
        <f>Annual_Days*M103*T_2!K30*I91_AADT_2014</f>
        <v>123505.15790951172</v>
      </c>
      <c r="W103" s="87">
        <f>Annual_Days*N103*T_2!L30*I91_AADT_2014</f>
        <v>110664.36654446802</v>
      </c>
      <c r="X103" s="87">
        <f>Annual_Days*O103*T_2!M30*I91_AADT_2014</f>
        <v>0</v>
      </c>
      <c r="Y103" s="87">
        <f>Annual_Days*P103*T_2!N30*I91_AADT_2014</f>
        <v>201368.61594301614</v>
      </c>
      <c r="Z103" s="87">
        <f>Annual_Days*Q103*T_2!O30*I91_AADT_2014</f>
        <v>0</v>
      </c>
      <c r="AA103" s="87">
        <f>Annual_Days*R103*T_2!P30*I91_AADT_2014</f>
        <v>0</v>
      </c>
      <c r="AB103" s="44">
        <f t="shared" si="74"/>
        <v>435538.14039699588</v>
      </c>
      <c r="AD103" s="52">
        <v>23</v>
      </c>
      <c r="AE103" s="87">
        <f>Annual_Days*T_2!B30*L103*I91_AADT_2014</f>
        <v>0</v>
      </c>
      <c r="AF103" s="87">
        <f>Annual_Days*T_2!C30*M103*I91_AADT_2014</f>
        <v>29828.269207910802</v>
      </c>
      <c r="AG103" s="87">
        <f>Annual_Days*T_2!D30*N103*I91_AADT_2014</f>
        <v>32448.322584741578</v>
      </c>
      <c r="AH103" s="87">
        <f>Annual_Days*T_2!E30*O103*I91_AADT_2014</f>
        <v>0</v>
      </c>
      <c r="AI103" s="87">
        <f>Annual_Days*T_2!F30*P103*I91_AADT_2014</f>
        <v>26392.266101148383</v>
      </c>
      <c r="AJ103" s="87">
        <f>Annual_Days*T_2!G30*Q103*I91_AADT_2014</f>
        <v>0</v>
      </c>
      <c r="AK103" s="87">
        <f>Annual_Days*T_2!H30*R103*I91_AADT_2014</f>
        <v>0</v>
      </c>
      <c r="AL103" s="44">
        <f t="shared" si="75"/>
        <v>88668.85789380077</v>
      </c>
    </row>
    <row r="104" spans="1:38" x14ac:dyDescent="0.25">
      <c r="A104" s="210"/>
      <c r="B104" s="15" t="s">
        <v>12</v>
      </c>
      <c r="C104" s="12">
        <v>2185.5576475159482</v>
      </c>
      <c r="D104" s="12">
        <v>2219.7200101465032</v>
      </c>
      <c r="E104" s="12">
        <v>2247.5228826410266</v>
      </c>
      <c r="F104" s="12">
        <v>2268.0396581317541</v>
      </c>
      <c r="G104" s="12">
        <v>2596.8674019297814</v>
      </c>
      <c r="H104" s="12">
        <v>2344.1295170192143</v>
      </c>
      <c r="I104" s="12">
        <v>2270.7174131675401</v>
      </c>
      <c r="K104" s="15" t="s">
        <v>12</v>
      </c>
      <c r="L104" s="12">
        <f t="shared" ref="L104:R104" si="76">SUM(L80:L103)</f>
        <v>128.25457487810345</v>
      </c>
      <c r="M104" s="12">
        <f t="shared" si="76"/>
        <v>104.62086193873975</v>
      </c>
      <c r="N104" s="12">
        <f t="shared" si="76"/>
        <v>106.35065115984166</v>
      </c>
      <c r="O104" s="12">
        <f t="shared" si="76"/>
        <v>224.67094774353248</v>
      </c>
      <c r="P104" s="12">
        <f t="shared" si="76"/>
        <v>432.18937872576862</v>
      </c>
      <c r="Q104" s="12">
        <f t="shared" si="76"/>
        <v>364.7212065128233</v>
      </c>
      <c r="R104" s="12">
        <f t="shared" si="76"/>
        <v>474.42022680265075</v>
      </c>
      <c r="T104" s="53" t="s">
        <v>97</v>
      </c>
      <c r="U104" s="44">
        <f t="shared" ref="U104:AB104" si="77">SUM(U80:U103)</f>
        <v>22870065.140401572</v>
      </c>
      <c r="V104" s="44">
        <f t="shared" si="77"/>
        <v>17678738.103290979</v>
      </c>
      <c r="W104" s="44">
        <f t="shared" si="77"/>
        <v>18394649.56826973</v>
      </c>
      <c r="X104" s="44">
        <f t="shared" si="77"/>
        <v>37796208.923735023</v>
      </c>
      <c r="Y104" s="44">
        <f t="shared" si="77"/>
        <v>72310013.487172782</v>
      </c>
      <c r="Z104" s="44">
        <f t="shared" si="77"/>
        <v>53875860.091596968</v>
      </c>
      <c r="AA104" s="44">
        <f t="shared" si="77"/>
        <v>71298748.906164691</v>
      </c>
      <c r="AB104" s="44">
        <f t="shared" si="77"/>
        <v>294224284.22063184</v>
      </c>
      <c r="AD104" s="53" t="s">
        <v>97</v>
      </c>
      <c r="AE104" s="44">
        <f t="shared" ref="AE104:AL104" si="78">SUM(AE80:AE103)</f>
        <v>3232880.2071182732</v>
      </c>
      <c r="AF104" s="44">
        <f t="shared" si="78"/>
        <v>2698634.8886878709</v>
      </c>
      <c r="AG104" s="44">
        <f t="shared" si="78"/>
        <v>3026836.8108919221</v>
      </c>
      <c r="AH104" s="44">
        <f t="shared" si="78"/>
        <v>6010030.6732125739</v>
      </c>
      <c r="AI104" s="44">
        <f t="shared" si="78"/>
        <v>10005021.726032617</v>
      </c>
      <c r="AJ104" s="44">
        <f t="shared" si="78"/>
        <v>4303089.5149351945</v>
      </c>
      <c r="AK104" s="44">
        <f t="shared" si="78"/>
        <v>5319141.7099235952</v>
      </c>
      <c r="AL104" s="44">
        <f t="shared" si="78"/>
        <v>34595635.530802041</v>
      </c>
    </row>
    <row r="105" spans="1:38" x14ac:dyDescent="0.25">
      <c r="U105" s="44"/>
      <c r="V105" s="44"/>
      <c r="W105" s="44"/>
      <c r="X105" s="44"/>
      <c r="Y105" s="44"/>
      <c r="Z105" s="50" t="s">
        <v>102</v>
      </c>
      <c r="AA105" s="49">
        <f>SUM(U80:AA103)</f>
        <v>294224284.22063172</v>
      </c>
      <c r="AB105" s="44"/>
      <c r="AE105" s="44"/>
      <c r="AF105" s="44"/>
      <c r="AG105" s="44"/>
      <c r="AH105" s="44"/>
      <c r="AI105" s="44"/>
      <c r="AJ105" s="50" t="s">
        <v>102</v>
      </c>
      <c r="AK105" s="49">
        <f>SUM(AE80:AK103)</f>
        <v>34595635.530802041</v>
      </c>
      <c r="AL105" s="44"/>
    </row>
    <row r="108" spans="1:38" x14ac:dyDescent="0.25">
      <c r="K108" s="201" t="s">
        <v>100</v>
      </c>
      <c r="L108" s="201"/>
      <c r="M108" s="201"/>
      <c r="N108" s="201"/>
      <c r="O108" s="201"/>
      <c r="P108" s="201"/>
      <c r="Q108" s="201"/>
      <c r="R108" s="201"/>
      <c r="T108" s="201" t="s">
        <v>98</v>
      </c>
      <c r="U108" s="201"/>
      <c r="V108" s="201"/>
      <c r="W108" s="201"/>
      <c r="X108" s="201"/>
      <c r="Y108" s="201"/>
      <c r="Z108" s="201"/>
      <c r="AA108" s="201"/>
      <c r="AB108" s="201"/>
      <c r="AD108" s="201" t="s">
        <v>99</v>
      </c>
      <c r="AE108" s="201"/>
      <c r="AF108" s="201"/>
      <c r="AG108" s="201"/>
      <c r="AH108" s="201"/>
      <c r="AI108" s="201"/>
      <c r="AJ108" s="201"/>
      <c r="AK108" s="201"/>
      <c r="AL108" s="201"/>
    </row>
    <row r="109" spans="1:38" x14ac:dyDescent="0.25">
      <c r="A109" s="210">
        <v>5634</v>
      </c>
      <c r="B109" s="201" t="s">
        <v>73</v>
      </c>
      <c r="C109" s="201"/>
      <c r="D109" s="201"/>
      <c r="E109" s="201"/>
      <c r="F109" s="201"/>
      <c r="G109" s="201"/>
      <c r="H109" s="201"/>
      <c r="I109" s="201"/>
      <c r="K109" s="201" t="s">
        <v>101</v>
      </c>
      <c r="L109" s="201"/>
      <c r="M109" s="201"/>
      <c r="N109" s="201"/>
      <c r="O109" s="201"/>
      <c r="P109" s="201"/>
      <c r="Q109" s="201"/>
      <c r="R109" s="201"/>
      <c r="T109" s="201" t="s">
        <v>103</v>
      </c>
      <c r="U109" s="201"/>
      <c r="V109" s="201"/>
      <c r="W109" s="201"/>
      <c r="X109" s="201"/>
      <c r="Y109" s="201"/>
      <c r="Z109" s="201"/>
      <c r="AA109" s="201"/>
      <c r="AB109" s="201"/>
      <c r="AD109" s="201" t="s">
        <v>104</v>
      </c>
      <c r="AE109" s="201"/>
      <c r="AF109" s="201"/>
      <c r="AG109" s="201"/>
      <c r="AH109" s="201"/>
      <c r="AI109" s="201"/>
      <c r="AJ109" s="201"/>
      <c r="AK109" s="201"/>
      <c r="AL109" s="201"/>
    </row>
    <row r="110" spans="1:38" x14ac:dyDescent="0.25">
      <c r="A110" s="210"/>
      <c r="B110" s="51" t="s">
        <v>48</v>
      </c>
      <c r="C110" s="51" t="s">
        <v>7</v>
      </c>
      <c r="D110" s="51" t="s">
        <v>8</v>
      </c>
      <c r="E110" s="51" t="s">
        <v>2</v>
      </c>
      <c r="F110" s="51" t="s">
        <v>3</v>
      </c>
      <c r="G110" s="51" t="s">
        <v>4</v>
      </c>
      <c r="H110" s="51" t="s">
        <v>5</v>
      </c>
      <c r="I110" s="51" t="s">
        <v>6</v>
      </c>
      <c r="K110" s="51" t="s">
        <v>48</v>
      </c>
      <c r="L110" s="51" t="s">
        <v>7</v>
      </c>
      <c r="M110" s="51" t="s">
        <v>8</v>
      </c>
      <c r="N110" s="51" t="s">
        <v>2</v>
      </c>
      <c r="O110" s="51" t="s">
        <v>3</v>
      </c>
      <c r="P110" s="51" t="s">
        <v>4</v>
      </c>
      <c r="Q110" s="51" t="s">
        <v>5</v>
      </c>
      <c r="R110" s="51" t="s">
        <v>6</v>
      </c>
      <c r="T110" s="16" t="s">
        <v>48</v>
      </c>
      <c r="U110" s="16" t="s">
        <v>7</v>
      </c>
      <c r="V110" s="16" t="s">
        <v>8</v>
      </c>
      <c r="W110" s="16" t="s">
        <v>2</v>
      </c>
      <c r="X110" s="16" t="s">
        <v>3</v>
      </c>
      <c r="Y110" s="16" t="s">
        <v>4</v>
      </c>
      <c r="Z110" s="16" t="s">
        <v>5</v>
      </c>
      <c r="AA110" s="16" t="s">
        <v>6</v>
      </c>
      <c r="AB110" s="16" t="s">
        <v>30</v>
      </c>
      <c r="AD110" s="16" t="s">
        <v>48</v>
      </c>
      <c r="AE110" s="16" t="s">
        <v>7</v>
      </c>
      <c r="AF110" s="16" t="s">
        <v>8</v>
      </c>
      <c r="AG110" s="16" t="s">
        <v>2</v>
      </c>
      <c r="AH110" s="16" t="s">
        <v>3</v>
      </c>
      <c r="AI110" s="16" t="s">
        <v>4</v>
      </c>
      <c r="AJ110" s="16" t="s">
        <v>5</v>
      </c>
      <c r="AK110" s="16" t="s">
        <v>6</v>
      </c>
      <c r="AL110" s="16" t="s">
        <v>30</v>
      </c>
    </row>
    <row r="111" spans="1:38" x14ac:dyDescent="0.25">
      <c r="A111" s="210"/>
      <c r="B111" s="52">
        <v>0</v>
      </c>
      <c r="C111" s="86">
        <v>29.967762776189787</v>
      </c>
      <c r="D111" s="86">
        <v>30.623171963507954</v>
      </c>
      <c r="E111" s="86">
        <v>30.297012772572398</v>
      </c>
      <c r="F111" s="86">
        <v>30.403449560021627</v>
      </c>
      <c r="G111" s="86">
        <v>30.277056556395795</v>
      </c>
      <c r="H111" s="86">
        <v>30.279032448072364</v>
      </c>
      <c r="I111" s="86">
        <v>29.152599115918388</v>
      </c>
      <c r="K111" s="52">
        <v>0</v>
      </c>
      <c r="L111" s="85">
        <f t="shared" ref="L111:L134" si="79">IF(C111-$E$7&gt;0,C111-$E$7,0)</f>
        <v>0</v>
      </c>
      <c r="M111" s="85">
        <f t="shared" ref="M111:M134" si="80">IF(D111-$E$7&gt;0,D111-$E$7,0)</f>
        <v>0</v>
      </c>
      <c r="N111" s="85">
        <f t="shared" ref="N111:N134" si="81">IF(E111-$E$7&gt;0,E111-$E$7,0)</f>
        <v>0</v>
      </c>
      <c r="O111" s="85">
        <f t="shared" ref="O111:O134" si="82">IF(F111-$E$7&gt;0,F111-$E$7,0)</f>
        <v>0</v>
      </c>
      <c r="P111" s="85">
        <f t="shared" ref="P111:P134" si="83">IF(G111-$E$7&gt;0,G111-$E$7,0)</f>
        <v>0</v>
      </c>
      <c r="Q111" s="85">
        <f t="shared" ref="Q111:Q134" si="84">IF(H111-$E$7&gt;0,H111-$E$7,0)</f>
        <v>0</v>
      </c>
      <c r="R111" s="85">
        <f t="shared" ref="R111:R134" si="85">IF(I111-$E$7&gt;0,I111-$E$7,0)</f>
        <v>0</v>
      </c>
      <c r="T111" s="52">
        <v>0</v>
      </c>
      <c r="U111" s="87">
        <f>Annual_Days*L111*T_2!J7*I91_AADT_2014</f>
        <v>0</v>
      </c>
      <c r="V111" s="87">
        <f>Annual_Days*M111*T_2!K7*I91_AADT_2014</f>
        <v>0</v>
      </c>
      <c r="W111" s="87">
        <f>Annual_Days*N111*T_2!L7*I91_AADT_2014</f>
        <v>0</v>
      </c>
      <c r="X111" s="87">
        <f>Annual_Days*O111*T_2!M7*I91_AADT_2014</f>
        <v>0</v>
      </c>
      <c r="Y111" s="87">
        <f>Annual_Days*P111*T_2!N7*I91_AADT_2014</f>
        <v>0</v>
      </c>
      <c r="Z111" s="87">
        <f>Annual_Days*Q111*T_2!O7*I91_AADT_2014</f>
        <v>0</v>
      </c>
      <c r="AA111" s="87">
        <f>Annual_Days*R111*T_2!P7*I91_AADT_2014</f>
        <v>0</v>
      </c>
      <c r="AB111" s="44">
        <f t="shared" ref="AB111:AB134" si="86">SUM(U111:AA111)</f>
        <v>0</v>
      </c>
      <c r="AD111" s="52">
        <v>0</v>
      </c>
      <c r="AE111" s="87">
        <f>Annual_Days*T_2!B7*L111*I91_AADT_2014</f>
        <v>0</v>
      </c>
      <c r="AF111" s="87">
        <f>Annual_Days*T_2!C7*M111*I91_AADT_2014</f>
        <v>0</v>
      </c>
      <c r="AG111" s="87">
        <f>Annual_Days*T_2!D7*N111*I91_AADT_2014</f>
        <v>0</v>
      </c>
      <c r="AH111" s="87">
        <f>Annual_Days*T_2!E7*O111*I91_AADT_2014</f>
        <v>0</v>
      </c>
      <c r="AI111" s="87">
        <f>Annual_Days*T_2!F7*P111*I91_AADT_2014</f>
        <v>0</v>
      </c>
      <c r="AJ111" s="87">
        <f>Annual_Days*T_2!G7*Q111*I91_AADT_2014</f>
        <v>0</v>
      </c>
      <c r="AK111" s="87">
        <f>Annual_Days*T_2!H7*R111*I91_AADT_2014</f>
        <v>0</v>
      </c>
      <c r="AL111" s="44">
        <f t="shared" ref="AL111:AL134" si="87">SUM(AE111:AK111)</f>
        <v>0</v>
      </c>
    </row>
    <row r="112" spans="1:38" x14ac:dyDescent="0.25">
      <c r="A112" s="210"/>
      <c r="B112" s="52">
        <v>1</v>
      </c>
      <c r="C112" s="86">
        <v>30.080047528250052</v>
      </c>
      <c r="D112" s="86">
        <v>33.895403627677553</v>
      </c>
      <c r="E112" s="86">
        <v>30.334726581307468</v>
      </c>
      <c r="F112" s="86">
        <v>30.431914965836285</v>
      </c>
      <c r="G112" s="86">
        <v>30.411619311268741</v>
      </c>
      <c r="H112" s="86">
        <v>30.925892589830653</v>
      </c>
      <c r="I112" s="86">
        <v>29.254277717310103</v>
      </c>
      <c r="K112" s="52">
        <v>1</v>
      </c>
      <c r="L112" s="85">
        <f t="shared" si="79"/>
        <v>0</v>
      </c>
      <c r="M112" s="85">
        <f t="shared" si="80"/>
        <v>2.748203627677551</v>
      </c>
      <c r="N112" s="85">
        <f t="shared" si="81"/>
        <v>0</v>
      </c>
      <c r="O112" s="85">
        <f t="shared" si="82"/>
        <v>0</v>
      </c>
      <c r="P112" s="85">
        <f t="shared" si="83"/>
        <v>0</v>
      </c>
      <c r="Q112" s="85">
        <f t="shared" si="84"/>
        <v>0</v>
      </c>
      <c r="R112" s="85">
        <f t="shared" si="85"/>
        <v>0</v>
      </c>
      <c r="T112" s="52">
        <v>1</v>
      </c>
      <c r="U112" s="87">
        <f>Annual_Days*L112*T_2!J8*I91_AADT_2014</f>
        <v>0</v>
      </c>
      <c r="V112" s="87">
        <f>Annual_Days*M112*T_2!K8*I91_AADT_2014</f>
        <v>54088.378328812723</v>
      </c>
      <c r="W112" s="87">
        <f>Annual_Days*N112*T_2!L8*I91_AADT_2014</f>
        <v>0</v>
      </c>
      <c r="X112" s="87">
        <f>Annual_Days*O112*T_2!M8*I91_AADT_2014</f>
        <v>0</v>
      </c>
      <c r="Y112" s="87">
        <f>Annual_Days*P112*T_2!N8*I91_AADT_2014</f>
        <v>0</v>
      </c>
      <c r="Z112" s="87">
        <f>Annual_Days*Q112*T_2!O8*I91_AADT_2014</f>
        <v>0</v>
      </c>
      <c r="AA112" s="87">
        <f>Annual_Days*R112*T_2!P8*I91_AADT_2014</f>
        <v>0</v>
      </c>
      <c r="AB112" s="44">
        <f t="shared" si="86"/>
        <v>54088.378328812723</v>
      </c>
      <c r="AD112" s="52">
        <v>1</v>
      </c>
      <c r="AE112" s="87">
        <f>Annual_Days*T_2!B8*L112*I91_AADT_2014</f>
        <v>0</v>
      </c>
      <c r="AF112" s="87">
        <f>Annual_Days*T_2!C8*M112*I91_AADT_2014</f>
        <v>25786.319900945597</v>
      </c>
      <c r="AG112" s="87">
        <f>Annual_Days*T_2!D8*N112*I91_AADT_2014</f>
        <v>0</v>
      </c>
      <c r="AH112" s="87">
        <f>Annual_Days*T_2!E8*O112*I91_AADT_2014</f>
        <v>0</v>
      </c>
      <c r="AI112" s="87">
        <f>Annual_Days*T_2!F8*P112*I91_AADT_2014</f>
        <v>0</v>
      </c>
      <c r="AJ112" s="87">
        <f>Annual_Days*T_2!G8*Q112*I91_AADT_2014</f>
        <v>0</v>
      </c>
      <c r="AK112" s="87">
        <f>Annual_Days*T_2!H8*R112*I91_AADT_2014</f>
        <v>0</v>
      </c>
      <c r="AL112" s="44">
        <f t="shared" si="87"/>
        <v>25786.319900945597</v>
      </c>
    </row>
    <row r="113" spans="1:38" x14ac:dyDescent="0.25">
      <c r="A113" s="210"/>
      <c r="B113" s="52">
        <v>2</v>
      </c>
      <c r="C113" s="86">
        <v>30.55533884015513</v>
      </c>
      <c r="D113" s="86">
        <v>32.168809162683907</v>
      </c>
      <c r="E113" s="86">
        <v>30.697228405394089</v>
      </c>
      <c r="F113" s="86">
        <v>31.07495573298953</v>
      </c>
      <c r="G113" s="86">
        <v>30.528993483159372</v>
      </c>
      <c r="H113" s="86">
        <v>29.873980131001915</v>
      </c>
      <c r="I113" s="86">
        <v>30.503836111769683</v>
      </c>
      <c r="K113" s="52">
        <v>2</v>
      </c>
      <c r="L113" s="85">
        <f t="shared" si="79"/>
        <v>0</v>
      </c>
      <c r="M113" s="85">
        <f t="shared" si="80"/>
        <v>1.0216091626839052</v>
      </c>
      <c r="N113" s="85">
        <f t="shared" si="81"/>
        <v>0</v>
      </c>
      <c r="O113" s="85">
        <f t="shared" si="82"/>
        <v>0</v>
      </c>
      <c r="P113" s="85">
        <f t="shared" si="83"/>
        <v>0</v>
      </c>
      <c r="Q113" s="85">
        <f t="shared" si="84"/>
        <v>0</v>
      </c>
      <c r="R113" s="85">
        <f t="shared" si="85"/>
        <v>0</v>
      </c>
      <c r="T113" s="52">
        <v>2</v>
      </c>
      <c r="U113" s="87">
        <f>Annual_Days*L113*T_2!J9*I91_AADT_2014</f>
        <v>0</v>
      </c>
      <c r="V113" s="87">
        <f>Annual_Days*M113*T_2!K9*I91_AADT_2014</f>
        <v>11923.714159218403</v>
      </c>
      <c r="W113" s="87">
        <f>Annual_Days*N113*T_2!L9*I91_AADT_2014</f>
        <v>0</v>
      </c>
      <c r="X113" s="87">
        <f>Annual_Days*O113*T_2!M9*I91_AADT_2014</f>
        <v>0</v>
      </c>
      <c r="Y113" s="87">
        <f>Annual_Days*P113*T_2!N9*I91_AADT_2014</f>
        <v>0</v>
      </c>
      <c r="Z113" s="87">
        <f>Annual_Days*Q113*T_2!O9*I91_AADT_2014</f>
        <v>0</v>
      </c>
      <c r="AA113" s="87">
        <f>Annual_Days*R113*T_2!P9*I91_AADT_2014</f>
        <v>0</v>
      </c>
      <c r="AB113" s="44">
        <f t="shared" si="86"/>
        <v>11923.714159218403</v>
      </c>
      <c r="AD113" s="52">
        <v>2</v>
      </c>
      <c r="AE113" s="87">
        <f>Annual_Days*T_2!B9*L113*I91_AADT_2014</f>
        <v>0</v>
      </c>
      <c r="AF113" s="87">
        <f>Annual_Days*T_2!C9*M113*I91_AADT_2014</f>
        <v>10579.37383734574</v>
      </c>
      <c r="AG113" s="87">
        <f>Annual_Days*T_2!D9*N113*I91_AADT_2014</f>
        <v>0</v>
      </c>
      <c r="AH113" s="87">
        <f>Annual_Days*T_2!E9*O113*I91_AADT_2014</f>
        <v>0</v>
      </c>
      <c r="AI113" s="87">
        <f>Annual_Days*T_2!F9*P113*I91_AADT_2014</f>
        <v>0</v>
      </c>
      <c r="AJ113" s="87">
        <f>Annual_Days*T_2!G9*Q113*I91_AADT_2014</f>
        <v>0</v>
      </c>
      <c r="AK113" s="87">
        <f>Annual_Days*T_2!H9*R113*I91_AADT_2014</f>
        <v>0</v>
      </c>
      <c r="AL113" s="44">
        <f t="shared" si="87"/>
        <v>10579.37383734574</v>
      </c>
    </row>
    <row r="114" spans="1:38" x14ac:dyDescent="0.25">
      <c r="A114" s="210"/>
      <c r="B114" s="52">
        <v>3</v>
      </c>
      <c r="C114" s="86">
        <v>30.189013291290866</v>
      </c>
      <c r="D114" s="86">
        <v>31.64378621133649</v>
      </c>
      <c r="E114" s="86">
        <v>30.290005553664052</v>
      </c>
      <c r="F114" s="86">
        <v>30.347960513536297</v>
      </c>
      <c r="G114" s="86">
        <v>30.328757833404936</v>
      </c>
      <c r="H114" s="86">
        <v>30.424300810990388</v>
      </c>
      <c r="I114" s="86">
        <v>29.90968271237373</v>
      </c>
      <c r="K114" s="52">
        <v>3</v>
      </c>
      <c r="L114" s="85">
        <f t="shared" si="79"/>
        <v>0</v>
      </c>
      <c r="M114" s="85">
        <f t="shared" si="80"/>
        <v>0.4965862113364885</v>
      </c>
      <c r="N114" s="85">
        <f t="shared" si="81"/>
        <v>0</v>
      </c>
      <c r="O114" s="85">
        <f t="shared" si="82"/>
        <v>0</v>
      </c>
      <c r="P114" s="85">
        <f t="shared" si="83"/>
        <v>0</v>
      </c>
      <c r="Q114" s="85">
        <f t="shared" si="84"/>
        <v>0</v>
      </c>
      <c r="R114" s="85">
        <f t="shared" si="85"/>
        <v>0</v>
      </c>
      <c r="T114" s="52">
        <v>3</v>
      </c>
      <c r="U114" s="87">
        <f>Annual_Days*L114*T_2!J10*I91_AADT_2014</f>
        <v>0</v>
      </c>
      <c r="V114" s="87">
        <f>Annual_Days*M114*T_2!K10*I91_AADT_2014</f>
        <v>4432.1644325592242</v>
      </c>
      <c r="W114" s="87">
        <f>Annual_Days*N114*T_2!L10*I91_AADT_2014</f>
        <v>0</v>
      </c>
      <c r="X114" s="87">
        <f>Annual_Days*O114*T_2!M10*I91_AADT_2014</f>
        <v>0</v>
      </c>
      <c r="Y114" s="87">
        <f>Annual_Days*P114*T_2!N10*I91_AADT_2014</f>
        <v>0</v>
      </c>
      <c r="Z114" s="87">
        <f>Annual_Days*Q114*T_2!O10*I91_AADT_2014</f>
        <v>0</v>
      </c>
      <c r="AA114" s="87">
        <f>Annual_Days*R114*T_2!P10*I91_AADT_2014</f>
        <v>0</v>
      </c>
      <c r="AB114" s="44">
        <f t="shared" si="86"/>
        <v>4432.1644325592242</v>
      </c>
      <c r="AD114" s="52">
        <v>3</v>
      </c>
      <c r="AE114" s="87">
        <f>Annual_Days*T_2!B10*L114*I91_AADT_2014</f>
        <v>0</v>
      </c>
      <c r="AF114" s="87">
        <f>Annual_Days*T_2!C10*M114*I91_AADT_2014</f>
        <v>4716.2775372104552</v>
      </c>
      <c r="AG114" s="87">
        <f>Annual_Days*T_2!D10*N114*I91_AADT_2014</f>
        <v>0</v>
      </c>
      <c r="AH114" s="87">
        <f>Annual_Days*T_2!E10*O114*I91_AADT_2014</f>
        <v>0</v>
      </c>
      <c r="AI114" s="87">
        <f>Annual_Days*T_2!F10*P114*I91_AADT_2014</f>
        <v>0</v>
      </c>
      <c r="AJ114" s="87">
        <f>Annual_Days*T_2!G10*Q114*I91_AADT_2014</f>
        <v>0</v>
      </c>
      <c r="AK114" s="87">
        <f>Annual_Days*T_2!H10*R114*I91_AADT_2014</f>
        <v>0</v>
      </c>
      <c r="AL114" s="44">
        <f t="shared" si="87"/>
        <v>4716.2775372104552</v>
      </c>
    </row>
    <row r="115" spans="1:38" x14ac:dyDescent="0.25">
      <c r="A115" s="210"/>
      <c r="B115" s="52">
        <v>4</v>
      </c>
      <c r="C115" s="86">
        <v>29.825870082873998</v>
      </c>
      <c r="D115" s="86">
        <v>29.874777347617631</v>
      </c>
      <c r="E115" s="86">
        <v>30.02535884880756</v>
      </c>
      <c r="F115" s="86">
        <v>30.257144055494301</v>
      </c>
      <c r="G115" s="86">
        <v>30.346932137718426</v>
      </c>
      <c r="H115" s="86">
        <v>29.509364976126534</v>
      </c>
      <c r="I115" s="86">
        <v>29.574478688786208</v>
      </c>
      <c r="K115" s="52">
        <v>4</v>
      </c>
      <c r="L115" s="85">
        <f t="shared" si="79"/>
        <v>0</v>
      </c>
      <c r="M115" s="85">
        <f t="shared" si="80"/>
        <v>0</v>
      </c>
      <c r="N115" s="85">
        <f t="shared" si="81"/>
        <v>0</v>
      </c>
      <c r="O115" s="85">
        <f t="shared" si="82"/>
        <v>0</v>
      </c>
      <c r="P115" s="85">
        <f t="shared" si="83"/>
        <v>0</v>
      </c>
      <c r="Q115" s="85">
        <f t="shared" si="84"/>
        <v>0</v>
      </c>
      <c r="R115" s="85">
        <f t="shared" si="85"/>
        <v>0</v>
      </c>
      <c r="T115" s="52">
        <v>4</v>
      </c>
      <c r="U115" s="87">
        <f>Annual_Days*L115*T_2!J11*I91_AADT_2014</f>
        <v>0</v>
      </c>
      <c r="V115" s="87">
        <f>Annual_Days*M115*T_2!K11*I91_AADT_2014</f>
        <v>0</v>
      </c>
      <c r="W115" s="87">
        <f>Annual_Days*N115*T_2!L11*I91_AADT_2014</f>
        <v>0</v>
      </c>
      <c r="X115" s="87">
        <f>Annual_Days*O115*T_2!M11*I91_AADT_2014</f>
        <v>0</v>
      </c>
      <c r="Y115" s="87">
        <f>Annual_Days*P115*T_2!N11*I91_AADT_2014</f>
        <v>0</v>
      </c>
      <c r="Z115" s="87">
        <f>Annual_Days*Q115*T_2!O11*I91_AADT_2014</f>
        <v>0</v>
      </c>
      <c r="AA115" s="87">
        <f>Annual_Days*R115*T_2!P11*I91_AADT_2014</f>
        <v>0</v>
      </c>
      <c r="AB115" s="44">
        <f t="shared" si="86"/>
        <v>0</v>
      </c>
      <c r="AD115" s="52">
        <v>4</v>
      </c>
      <c r="AE115" s="87">
        <f>Annual_Days*T_2!B11*L115*I91_AADT_2014</f>
        <v>0</v>
      </c>
      <c r="AF115" s="87">
        <f>Annual_Days*T_2!C11*M115*I91_AADT_2014</f>
        <v>0</v>
      </c>
      <c r="AG115" s="87">
        <f>Annual_Days*T_2!D11*N115*I91_AADT_2014</f>
        <v>0</v>
      </c>
      <c r="AH115" s="87">
        <f>Annual_Days*T_2!E11*O115*I91_AADT_2014</f>
        <v>0</v>
      </c>
      <c r="AI115" s="87">
        <f>Annual_Days*T_2!F11*P115*I91_AADT_2014</f>
        <v>0</v>
      </c>
      <c r="AJ115" s="87">
        <f>Annual_Days*T_2!G11*Q115*I91_AADT_2014</f>
        <v>0</v>
      </c>
      <c r="AK115" s="87">
        <f>Annual_Days*T_2!H11*R115*I91_AADT_2014</f>
        <v>0</v>
      </c>
      <c r="AL115" s="44">
        <f t="shared" si="87"/>
        <v>0</v>
      </c>
    </row>
    <row r="116" spans="1:38" x14ac:dyDescent="0.25">
      <c r="A116" s="210"/>
      <c r="B116" s="52">
        <v>5</v>
      </c>
      <c r="C116" s="86">
        <v>29.010410550784648</v>
      </c>
      <c r="D116" s="86">
        <v>29.228301612710666</v>
      </c>
      <c r="E116" s="86">
        <v>29.470125179702812</v>
      </c>
      <c r="F116" s="86">
        <v>29.698806750341532</v>
      </c>
      <c r="G116" s="86">
        <v>29.391813063346078</v>
      </c>
      <c r="H116" s="86">
        <v>29.131406046751692</v>
      </c>
      <c r="I116" s="86">
        <v>29.534780170800868</v>
      </c>
      <c r="K116" s="52">
        <v>5</v>
      </c>
      <c r="L116" s="85">
        <f t="shared" si="79"/>
        <v>0</v>
      </c>
      <c r="M116" s="85">
        <f t="shared" si="80"/>
        <v>0</v>
      </c>
      <c r="N116" s="85">
        <f t="shared" si="81"/>
        <v>0</v>
      </c>
      <c r="O116" s="85">
        <f t="shared" si="82"/>
        <v>0</v>
      </c>
      <c r="P116" s="85">
        <f t="shared" si="83"/>
        <v>0</v>
      </c>
      <c r="Q116" s="85">
        <f t="shared" si="84"/>
        <v>0</v>
      </c>
      <c r="R116" s="85">
        <f t="shared" si="85"/>
        <v>0</v>
      </c>
      <c r="T116" s="52">
        <v>5</v>
      </c>
      <c r="U116" s="87">
        <f>Annual_Days*L116*T_2!J12*I91_AADT_2014</f>
        <v>0</v>
      </c>
      <c r="V116" s="87">
        <f>Annual_Days*M116*T_2!K12*I91_AADT_2014</f>
        <v>0</v>
      </c>
      <c r="W116" s="87">
        <f>Annual_Days*N116*T_2!L12*I91_AADT_2014</f>
        <v>0</v>
      </c>
      <c r="X116" s="87">
        <f>Annual_Days*O116*T_2!M12*I91_AADT_2014</f>
        <v>0</v>
      </c>
      <c r="Y116" s="87">
        <f>Annual_Days*P116*T_2!N12*I91_AADT_2014</f>
        <v>0</v>
      </c>
      <c r="Z116" s="87">
        <f>Annual_Days*Q116*T_2!O12*I91_AADT_2014</f>
        <v>0</v>
      </c>
      <c r="AA116" s="87">
        <f>Annual_Days*R116*T_2!P12*I91_AADT_2014</f>
        <v>0</v>
      </c>
      <c r="AB116" s="44">
        <f t="shared" si="86"/>
        <v>0</v>
      </c>
      <c r="AD116" s="52">
        <v>5</v>
      </c>
      <c r="AE116" s="87">
        <f>Annual_Days*T_2!B12*L116*I91_AADT_2014</f>
        <v>0</v>
      </c>
      <c r="AF116" s="87">
        <f>Annual_Days*T_2!C12*M116*I91_AADT_2014</f>
        <v>0</v>
      </c>
      <c r="AG116" s="87">
        <f>Annual_Days*T_2!D12*N116*I91_AADT_2014</f>
        <v>0</v>
      </c>
      <c r="AH116" s="87">
        <f>Annual_Days*T_2!E12*O116*I91_AADT_2014</f>
        <v>0</v>
      </c>
      <c r="AI116" s="87">
        <f>Annual_Days*T_2!F12*P116*I91_AADT_2014</f>
        <v>0</v>
      </c>
      <c r="AJ116" s="87">
        <f>Annual_Days*T_2!G12*Q116*I91_AADT_2014</f>
        <v>0</v>
      </c>
      <c r="AK116" s="87">
        <f>Annual_Days*T_2!H12*R116*I91_AADT_2014</f>
        <v>0</v>
      </c>
      <c r="AL116" s="44">
        <f t="shared" si="87"/>
        <v>0</v>
      </c>
    </row>
    <row r="117" spans="1:38" x14ac:dyDescent="0.25">
      <c r="A117" s="210"/>
      <c r="B117" s="52">
        <v>6</v>
      </c>
      <c r="C117" s="86">
        <v>29.547128887671263</v>
      </c>
      <c r="D117" s="86">
        <v>29.619086127880323</v>
      </c>
      <c r="E117" s="86">
        <v>30.344681440337677</v>
      </c>
      <c r="F117" s="86">
        <v>30.182422138306983</v>
      </c>
      <c r="G117" s="86">
        <v>29.701932701923813</v>
      </c>
      <c r="H117" s="86">
        <v>27.699081212296111</v>
      </c>
      <c r="I117" s="86">
        <v>29.224162565731081</v>
      </c>
      <c r="K117" s="52">
        <v>6</v>
      </c>
      <c r="L117" s="85">
        <f t="shared" si="79"/>
        <v>0</v>
      </c>
      <c r="M117" s="85">
        <f t="shared" si="80"/>
        <v>0</v>
      </c>
      <c r="N117" s="85">
        <f t="shared" si="81"/>
        <v>0</v>
      </c>
      <c r="O117" s="85">
        <f t="shared" si="82"/>
        <v>0</v>
      </c>
      <c r="P117" s="85">
        <f t="shared" si="83"/>
        <v>0</v>
      </c>
      <c r="Q117" s="85">
        <f t="shared" si="84"/>
        <v>0</v>
      </c>
      <c r="R117" s="85">
        <f t="shared" si="85"/>
        <v>0</v>
      </c>
      <c r="T117" s="52">
        <v>6</v>
      </c>
      <c r="U117" s="87">
        <f>Annual_Days*L117*T_2!J13*I91_AADT_2014</f>
        <v>0</v>
      </c>
      <c r="V117" s="87">
        <f>Annual_Days*M117*T_2!K13*I91_AADT_2014</f>
        <v>0</v>
      </c>
      <c r="W117" s="87">
        <f>Annual_Days*N117*T_2!L13*I91_AADT_2014</f>
        <v>0</v>
      </c>
      <c r="X117" s="87">
        <f>Annual_Days*O117*T_2!M13*I91_AADT_2014</f>
        <v>0</v>
      </c>
      <c r="Y117" s="87">
        <f>Annual_Days*P117*T_2!N13*I91_AADT_2014</f>
        <v>0</v>
      </c>
      <c r="Z117" s="87">
        <f>Annual_Days*Q117*T_2!O13*I91_AADT_2014</f>
        <v>0</v>
      </c>
      <c r="AA117" s="87">
        <f>Annual_Days*R117*T_2!P13*I91_AADT_2014</f>
        <v>0</v>
      </c>
      <c r="AB117" s="44">
        <f t="shared" si="86"/>
        <v>0</v>
      </c>
      <c r="AD117" s="52">
        <v>6</v>
      </c>
      <c r="AE117" s="87">
        <f>Annual_Days*T_2!B13*L117*I91_AADT_2014</f>
        <v>0</v>
      </c>
      <c r="AF117" s="87">
        <f>Annual_Days*T_2!C13*M117*I91_AADT_2014</f>
        <v>0</v>
      </c>
      <c r="AG117" s="87">
        <f>Annual_Days*T_2!D13*N117*I91_AADT_2014</f>
        <v>0</v>
      </c>
      <c r="AH117" s="87">
        <f>Annual_Days*T_2!E13*O117*I91_AADT_2014</f>
        <v>0</v>
      </c>
      <c r="AI117" s="87">
        <f>Annual_Days*T_2!F13*P117*I91_AADT_2014</f>
        <v>0</v>
      </c>
      <c r="AJ117" s="87">
        <f>Annual_Days*T_2!G13*Q117*I91_AADT_2014</f>
        <v>0</v>
      </c>
      <c r="AK117" s="87">
        <f>Annual_Days*T_2!H13*R117*I91_AADT_2014</f>
        <v>0</v>
      </c>
      <c r="AL117" s="44">
        <f t="shared" si="87"/>
        <v>0</v>
      </c>
    </row>
    <row r="118" spans="1:38" x14ac:dyDescent="0.25">
      <c r="A118" s="210"/>
      <c r="B118" s="52">
        <v>7</v>
      </c>
      <c r="C118" s="86">
        <v>38.912787104942602</v>
      </c>
      <c r="D118" s="86">
        <v>37.724807001728848</v>
      </c>
      <c r="E118" s="86">
        <v>42.37069691648589</v>
      </c>
      <c r="F118" s="86">
        <v>37.743899093583764</v>
      </c>
      <c r="G118" s="86">
        <v>34.139498242403548</v>
      </c>
      <c r="H118" s="86">
        <v>27.840756046484774</v>
      </c>
      <c r="I118" s="86">
        <v>28.063773968320795</v>
      </c>
      <c r="K118" s="52">
        <v>7</v>
      </c>
      <c r="L118" s="85">
        <f t="shared" si="79"/>
        <v>7.7655871049426004</v>
      </c>
      <c r="M118" s="85">
        <f t="shared" si="80"/>
        <v>6.5776070017288468</v>
      </c>
      <c r="N118" s="85">
        <f t="shared" si="81"/>
        <v>11.223496916485889</v>
      </c>
      <c r="O118" s="85">
        <f t="shared" si="82"/>
        <v>6.5966990935837622</v>
      </c>
      <c r="P118" s="85">
        <f t="shared" si="83"/>
        <v>2.992298242403546</v>
      </c>
      <c r="Q118" s="85">
        <f t="shared" si="84"/>
        <v>0</v>
      </c>
      <c r="R118" s="85">
        <f t="shared" si="85"/>
        <v>0</v>
      </c>
      <c r="T118" s="52">
        <v>7</v>
      </c>
      <c r="U118" s="87">
        <f>Annual_Days*L118*T_2!J14*I91_AADT_2014</f>
        <v>1461284.502606692</v>
      </c>
      <c r="V118" s="87">
        <f>Annual_Days*M118*T_2!K14*I91_AADT_2014</f>
        <v>1145160.8273420318</v>
      </c>
      <c r="W118" s="87">
        <f>Annual_Days*N118*T_2!L14*I91_AADT_2014</f>
        <v>1853195.0345614373</v>
      </c>
      <c r="X118" s="87">
        <f>Annual_Days*O118*T_2!M14*I91_AADT_2014</f>
        <v>1116781.597660847</v>
      </c>
      <c r="Y118" s="87">
        <f>Annual_Days*P118*T_2!N14*I91_AADT_2014</f>
        <v>478843.89349152148</v>
      </c>
      <c r="Z118" s="87">
        <f>Annual_Days*Q118*T_2!O14*I91_AADT_2014</f>
        <v>0</v>
      </c>
      <c r="AA118" s="87">
        <f>Annual_Days*R118*T_2!P14*I91_AADT_2014</f>
        <v>0</v>
      </c>
      <c r="AB118" s="44">
        <f t="shared" si="86"/>
        <v>6055265.8556625294</v>
      </c>
      <c r="AD118" s="52">
        <v>7</v>
      </c>
      <c r="AE118" s="87">
        <f>Annual_Days*T_2!B14*L118*I91_AADT_2014</f>
        <v>192379.50429574266</v>
      </c>
      <c r="AF118" s="87">
        <f>Annual_Days*T_2!C14*M118*I91_AADT_2014</f>
        <v>206979.44628265448</v>
      </c>
      <c r="AG118" s="87">
        <f>Annual_Days*T_2!D14*N118*I91_AADT_2014</f>
        <v>344825.27150363551</v>
      </c>
      <c r="AH118" s="87">
        <f>Annual_Days*T_2!E14*O118*I91_AADT_2014</f>
        <v>201164.1066418491</v>
      </c>
      <c r="AI118" s="87">
        <f>Annual_Days*T_2!F14*P118*I91_AADT_2014</f>
        <v>91077.923252588269</v>
      </c>
      <c r="AJ118" s="87">
        <f>Annual_Days*T_2!G14*Q118*I91_AADT_2014</f>
        <v>0</v>
      </c>
      <c r="AK118" s="87">
        <f>Annual_Days*T_2!H14*R118*I91_AADT_2014</f>
        <v>0</v>
      </c>
      <c r="AL118" s="44">
        <f t="shared" si="87"/>
        <v>1036426.2519764699</v>
      </c>
    </row>
    <row r="119" spans="1:38" x14ac:dyDescent="0.25">
      <c r="A119" s="210"/>
      <c r="B119" s="52">
        <v>8</v>
      </c>
      <c r="C119" s="86">
        <v>42.287211686305234</v>
      </c>
      <c r="D119" s="86">
        <v>39.605230291968589</v>
      </c>
      <c r="E119" s="86">
        <v>42.996765957054514</v>
      </c>
      <c r="F119" s="86">
        <v>41.428370224119199</v>
      </c>
      <c r="G119" s="86">
        <v>32.551415113182031</v>
      </c>
      <c r="H119" s="86">
        <v>30.785247509364709</v>
      </c>
      <c r="I119" s="86">
        <v>29.674113151092939</v>
      </c>
      <c r="K119" s="52">
        <v>8</v>
      </c>
      <c r="L119" s="85">
        <f t="shared" si="79"/>
        <v>11.140011686305233</v>
      </c>
      <c r="M119" s="85">
        <f t="shared" si="80"/>
        <v>8.458030291968587</v>
      </c>
      <c r="N119" s="85">
        <f t="shared" si="81"/>
        <v>11.849565957054512</v>
      </c>
      <c r="O119" s="85">
        <f t="shared" si="82"/>
        <v>10.281170224119197</v>
      </c>
      <c r="P119" s="85">
        <f t="shared" si="83"/>
        <v>1.4042151131820297</v>
      </c>
      <c r="Q119" s="85">
        <f t="shared" si="84"/>
        <v>0</v>
      </c>
      <c r="R119" s="85">
        <f t="shared" si="85"/>
        <v>0</v>
      </c>
      <c r="T119" s="52">
        <v>8</v>
      </c>
      <c r="U119" s="87">
        <f>Annual_Days*L119*T_2!J15*I91_AADT_2014</f>
        <v>3097551.4253589357</v>
      </c>
      <c r="V119" s="87">
        <f>Annual_Days*M119*T_2!K15*I91_AADT_2014</f>
        <v>2323258.5907943649</v>
      </c>
      <c r="W119" s="87">
        <f>Annual_Days*N119*T_2!L15*I91_AADT_2014</f>
        <v>3096885.4915423836</v>
      </c>
      <c r="X119" s="87">
        <f>Annual_Days*O119*T_2!M15*I91_AADT_2014</f>
        <v>2859921.5077715409</v>
      </c>
      <c r="Y119" s="87">
        <f>Annual_Days*P119*T_2!N15*I91_AADT_2014</f>
        <v>384345.16620136832</v>
      </c>
      <c r="Z119" s="87">
        <f>Annual_Days*Q119*T_2!O15*I91_AADT_2014</f>
        <v>0</v>
      </c>
      <c r="AA119" s="87">
        <f>Annual_Days*R119*T_2!P15*I91_AADT_2014</f>
        <v>0</v>
      </c>
      <c r="AB119" s="44">
        <f t="shared" si="86"/>
        <v>11761962.181668593</v>
      </c>
      <c r="AD119" s="52">
        <v>8</v>
      </c>
      <c r="AE119" s="87">
        <f>Annual_Days*T_2!B15*L119*I91_AADT_2014</f>
        <v>327601.11782602739</v>
      </c>
      <c r="AF119" s="87">
        <f>Annual_Days*T_2!C15*M119*I91_AADT_2014</f>
        <v>301960.70832236699</v>
      </c>
      <c r="AG119" s="87">
        <f>Annual_Days*T_2!D15*N119*I91_AADT_2014</f>
        <v>425076.00770513876</v>
      </c>
      <c r="AH119" s="87">
        <f>Annual_Days*T_2!E15*O119*I91_AADT_2014</f>
        <v>384107.10501333117</v>
      </c>
      <c r="AI119" s="87">
        <f>Annual_Days*T_2!F15*P119*I91_AADT_2014</f>
        <v>54229.30334153922</v>
      </c>
      <c r="AJ119" s="87">
        <f>Annual_Days*T_2!G15*Q119*I91_AADT_2014</f>
        <v>0</v>
      </c>
      <c r="AK119" s="87">
        <f>Annual_Days*T_2!H15*R119*I91_AADT_2014</f>
        <v>0</v>
      </c>
      <c r="AL119" s="44">
        <f t="shared" si="87"/>
        <v>1492974.2422084033</v>
      </c>
    </row>
    <row r="120" spans="1:38" x14ac:dyDescent="0.25">
      <c r="A120" s="210"/>
      <c r="B120" s="52">
        <v>9</v>
      </c>
      <c r="C120" s="86">
        <v>32.080157328389802</v>
      </c>
      <c r="D120" s="86">
        <v>30.055914962376345</v>
      </c>
      <c r="E120" s="86">
        <v>33.133138019645926</v>
      </c>
      <c r="F120" s="86">
        <v>37.999502479057682</v>
      </c>
      <c r="G120" s="86">
        <v>30.544000234351081</v>
      </c>
      <c r="H120" s="86">
        <v>47.060862376720493</v>
      </c>
      <c r="I120" s="86">
        <v>29.796840951966782</v>
      </c>
      <c r="K120" s="52">
        <v>9</v>
      </c>
      <c r="L120" s="85">
        <f t="shared" si="79"/>
        <v>0.93295732838980072</v>
      </c>
      <c r="M120" s="85">
        <f t="shared" si="80"/>
        <v>0</v>
      </c>
      <c r="N120" s="85">
        <f t="shared" si="81"/>
        <v>1.9859380196459249</v>
      </c>
      <c r="O120" s="85">
        <f t="shared" si="82"/>
        <v>6.8523024790576805</v>
      </c>
      <c r="P120" s="85">
        <f t="shared" si="83"/>
        <v>0</v>
      </c>
      <c r="Q120" s="85">
        <f t="shared" si="84"/>
        <v>15.913662376720492</v>
      </c>
      <c r="R120" s="85">
        <f t="shared" si="85"/>
        <v>0</v>
      </c>
      <c r="T120" s="52">
        <v>9</v>
      </c>
      <c r="U120" s="87">
        <f>Annual_Days*L120*T_2!J16*I91_AADT_2014</f>
        <v>236462.41253178287</v>
      </c>
      <c r="V120" s="87">
        <f>Annual_Days*M120*T_2!K16*I91_AADT_2014</f>
        <v>0</v>
      </c>
      <c r="W120" s="87">
        <f>Annual_Days*N120*T_2!L16*I91_AADT_2014</f>
        <v>442443.93576168577</v>
      </c>
      <c r="X120" s="87">
        <f>Annual_Days*O120*T_2!M16*I91_AADT_2014</f>
        <v>1740668.6407705434</v>
      </c>
      <c r="Y120" s="87">
        <f>Annual_Days*P120*T_2!N16*I91_AADT_2014</f>
        <v>0</v>
      </c>
      <c r="Z120" s="87">
        <f>Annual_Days*Q120*T_2!O16*I91_AADT_2014</f>
        <v>1704404.1924892773</v>
      </c>
      <c r="AA120" s="87">
        <f>Annual_Days*R120*T_2!P16*I91_AADT_2014</f>
        <v>0</v>
      </c>
      <c r="AB120" s="44">
        <f t="shared" si="86"/>
        <v>4123979.1815532893</v>
      </c>
      <c r="AD120" s="52">
        <v>9</v>
      </c>
      <c r="AE120" s="87">
        <f>Annual_Days*T_2!B16*L120*I91_AADT_2014</f>
        <v>31012.338979902001</v>
      </c>
      <c r="AF120" s="87">
        <f>Annual_Days*T_2!C16*M120*I91_AADT_2014</f>
        <v>0</v>
      </c>
      <c r="AG120" s="87">
        <f>Annual_Days*T_2!D16*N120*I91_AADT_2014</f>
        <v>79194.510330224715</v>
      </c>
      <c r="AH120" s="87">
        <f>Annual_Days*T_2!E16*O120*I91_AADT_2014</f>
        <v>219151.75004295804</v>
      </c>
      <c r="AI120" s="87">
        <f>Annual_Days*T_2!F16*P120*I91_AADT_2014</f>
        <v>0</v>
      </c>
      <c r="AJ120" s="87">
        <f>Annual_Days*T_2!G16*Q120*I91_AADT_2014</f>
        <v>187557.29895982431</v>
      </c>
      <c r="AK120" s="87">
        <f>Annual_Days*T_2!H16*R120*I91_AADT_2014</f>
        <v>0</v>
      </c>
      <c r="AL120" s="44">
        <f t="shared" si="87"/>
        <v>516915.89831290906</v>
      </c>
    </row>
    <row r="121" spans="1:38" x14ac:dyDescent="0.25">
      <c r="A121" s="210"/>
      <c r="B121" s="52">
        <v>10</v>
      </c>
      <c r="C121" s="86">
        <v>29.372406675569803</v>
      </c>
      <c r="D121" s="86">
        <v>30.172228890955473</v>
      </c>
      <c r="E121" s="86">
        <v>29.643059243126888</v>
      </c>
      <c r="F121" s="86">
        <v>33.65704396686197</v>
      </c>
      <c r="G121" s="86">
        <v>36.924756609720319</v>
      </c>
      <c r="H121" s="86">
        <v>69.551022232553535</v>
      </c>
      <c r="I121" s="86">
        <v>37.75852758669469</v>
      </c>
      <c r="K121" s="52">
        <v>10</v>
      </c>
      <c r="L121" s="85">
        <f t="shared" si="79"/>
        <v>0</v>
      </c>
      <c r="M121" s="85">
        <f t="shared" si="80"/>
        <v>0</v>
      </c>
      <c r="N121" s="85">
        <f t="shared" si="81"/>
        <v>0</v>
      </c>
      <c r="O121" s="85">
        <f t="shared" si="82"/>
        <v>2.5098439668619683</v>
      </c>
      <c r="P121" s="85">
        <f t="shared" si="83"/>
        <v>5.7775566097203175</v>
      </c>
      <c r="Q121" s="85">
        <f t="shared" si="84"/>
        <v>38.403822232553537</v>
      </c>
      <c r="R121" s="85">
        <f t="shared" si="85"/>
        <v>6.6113275866946886</v>
      </c>
      <c r="T121" s="52">
        <v>10</v>
      </c>
      <c r="U121" s="87">
        <f>Annual_Days*L121*T_2!J17*I91_AADT_2014</f>
        <v>0</v>
      </c>
      <c r="V121" s="87">
        <f>Annual_Days*M121*T_2!K17*I91_AADT_2014</f>
        <v>0</v>
      </c>
      <c r="W121" s="87">
        <f>Annual_Days*N121*T_2!L17*I91_AADT_2014</f>
        <v>0</v>
      </c>
      <c r="X121" s="87">
        <f>Annual_Days*O121*T_2!M17*I91_AADT_2014</f>
        <v>434091.69758490095</v>
      </c>
      <c r="Y121" s="87">
        <f>Annual_Days*P121*T_2!N17*I91_AADT_2014</f>
        <v>953314.22856409207</v>
      </c>
      <c r="Z121" s="87">
        <f>Annual_Days*Q121*T_2!O17*I91_AADT_2014</f>
        <v>4943716.7325082589</v>
      </c>
      <c r="AA121" s="87">
        <f>Annual_Days*R121*T_2!P17*I91_AADT_2014</f>
        <v>662703.68888614071</v>
      </c>
      <c r="AB121" s="44">
        <f t="shared" si="86"/>
        <v>6993826.3475433923</v>
      </c>
      <c r="AD121" s="52">
        <v>10</v>
      </c>
      <c r="AE121" s="87">
        <f>Annual_Days*T_2!B17*L121*I91_AADT_2014</f>
        <v>0</v>
      </c>
      <c r="AF121" s="87">
        <f>Annual_Days*T_2!C17*M121*I91_AADT_2014</f>
        <v>0</v>
      </c>
      <c r="AG121" s="87">
        <f>Annual_Days*T_2!D17*N121*I91_AADT_2014</f>
        <v>0</v>
      </c>
      <c r="AH121" s="87">
        <f>Annual_Days*T_2!E17*O121*I91_AADT_2014</f>
        <v>56146.163994606788</v>
      </c>
      <c r="AI121" s="87">
        <f>Annual_Days*T_2!F17*P121*I91_AADT_2014</f>
        <v>150401.5166423932</v>
      </c>
      <c r="AJ121" s="87">
        <f>Annual_Days*T_2!G17*Q121*I91_AADT_2014</f>
        <v>500963.29556083691</v>
      </c>
      <c r="AK121" s="87">
        <f>Annual_Days*T_2!H17*R121*I91_AADT_2014</f>
        <v>52199.263165689183</v>
      </c>
      <c r="AL121" s="44">
        <f t="shared" si="87"/>
        <v>759710.23936352611</v>
      </c>
    </row>
    <row r="122" spans="1:38" x14ac:dyDescent="0.25">
      <c r="A122" s="210"/>
      <c r="B122" s="52">
        <v>11</v>
      </c>
      <c r="C122" s="86">
        <v>37.708410197222754</v>
      </c>
      <c r="D122" s="86">
        <v>31.928623901120684</v>
      </c>
      <c r="E122" s="86">
        <v>32.663710937695619</v>
      </c>
      <c r="F122" s="86">
        <v>36.66121604112422</v>
      </c>
      <c r="G122" s="86">
        <v>59.362358253766921</v>
      </c>
      <c r="H122" s="86">
        <v>82.579265157749887</v>
      </c>
      <c r="I122" s="86">
        <v>52.231580773923568</v>
      </c>
      <c r="K122" s="52">
        <v>11</v>
      </c>
      <c r="L122" s="85">
        <f t="shared" si="79"/>
        <v>6.5612101972227528</v>
      </c>
      <c r="M122" s="85">
        <f t="shared" si="80"/>
        <v>0.78142390112068227</v>
      </c>
      <c r="N122" s="85">
        <f t="shared" si="81"/>
        <v>1.5165109376956174</v>
      </c>
      <c r="O122" s="85">
        <f t="shared" si="82"/>
        <v>5.5140160411242185</v>
      </c>
      <c r="P122" s="85">
        <f t="shared" si="83"/>
        <v>28.215158253766919</v>
      </c>
      <c r="Q122" s="85">
        <f t="shared" si="84"/>
        <v>51.432065157749889</v>
      </c>
      <c r="R122" s="85">
        <f t="shared" si="85"/>
        <v>21.084380773923566</v>
      </c>
      <c r="T122" s="52">
        <v>11</v>
      </c>
      <c r="U122" s="87">
        <f>Annual_Days*L122*T_2!J18*I91_AADT_2014</f>
        <v>972255.31241752068</v>
      </c>
      <c r="V122" s="87">
        <f>Annual_Days*M122*T_2!K18*I91_AADT_2014</f>
        <v>105778.65499257277</v>
      </c>
      <c r="W122" s="87">
        <f>Annual_Days*N122*T_2!L18*I91_AADT_2014</f>
        <v>193918.69684141554</v>
      </c>
      <c r="X122" s="87">
        <f>Annual_Days*O122*T_2!M18*I91_AADT_2014</f>
        <v>741050.23873892496</v>
      </c>
      <c r="Y122" s="87">
        <f>Annual_Days*P122*T_2!N18*I91_AADT_2014</f>
        <v>4126101.902196886</v>
      </c>
      <c r="Z122" s="87">
        <f>Annual_Days*Q122*T_2!O18*I91_AADT_2014</f>
        <v>8068596.972640371</v>
      </c>
      <c r="AA122" s="87">
        <f>Annual_Days*R122*T_2!P18*I91_AADT_2014</f>
        <v>2760027.9523652918</v>
      </c>
      <c r="AB122" s="44">
        <f t="shared" si="86"/>
        <v>16967729.730192982</v>
      </c>
      <c r="AD122" s="52">
        <v>11</v>
      </c>
      <c r="AE122" s="87">
        <f>Annual_Days*T_2!B18*L122*I91_AADT_2014</f>
        <v>143773.66202930905</v>
      </c>
      <c r="AF122" s="87">
        <f>Annual_Days*T_2!C18*M122*I91_AADT_2014</f>
        <v>18240.782433207813</v>
      </c>
      <c r="AG122" s="87">
        <f>Annual_Days*T_2!D18*N122*I91_AADT_2014</f>
        <v>34011.690900149835</v>
      </c>
      <c r="AH122" s="87">
        <f>Annual_Days*T_2!E18*O122*I91_AADT_2014</f>
        <v>130606.55548655381</v>
      </c>
      <c r="AI122" s="87">
        <f>Annual_Days*T_2!F18*P122*I91_AADT_2014</f>
        <v>648940.90950044931</v>
      </c>
      <c r="AJ122" s="87">
        <f>Annual_Days*T_2!G18*Q122*I91_AADT_2014</f>
        <v>662083.996660862</v>
      </c>
      <c r="AK122" s="87">
        <f>Annual_Days*T_2!H18*R122*I91_AADT_2014</f>
        <v>171295.44109959417</v>
      </c>
      <c r="AL122" s="44">
        <f t="shared" si="87"/>
        <v>1808953.038110126</v>
      </c>
    </row>
    <row r="123" spans="1:38" x14ac:dyDescent="0.25">
      <c r="A123" s="210"/>
      <c r="B123" s="52">
        <v>12</v>
      </c>
      <c r="C123" s="86">
        <v>42.407014309286787</v>
      </c>
      <c r="D123" s="86">
        <v>33.888748497565381</v>
      </c>
      <c r="E123" s="86">
        <v>39.390769088000546</v>
      </c>
      <c r="F123" s="86">
        <v>50.025173324765788</v>
      </c>
      <c r="G123" s="86">
        <v>81.691701143402142</v>
      </c>
      <c r="H123" s="86">
        <v>85.807897605783509</v>
      </c>
      <c r="I123" s="86">
        <v>71.955712955037384</v>
      </c>
      <c r="K123" s="52">
        <v>12</v>
      </c>
      <c r="L123" s="85">
        <f t="shared" si="79"/>
        <v>11.259814309286785</v>
      </c>
      <c r="M123" s="85">
        <f t="shared" si="80"/>
        <v>2.741548497565379</v>
      </c>
      <c r="N123" s="85">
        <f t="shared" si="81"/>
        <v>8.2435690880005446</v>
      </c>
      <c r="O123" s="85">
        <f t="shared" si="82"/>
        <v>18.877973324765787</v>
      </c>
      <c r="P123" s="85">
        <f t="shared" si="83"/>
        <v>50.544501143402144</v>
      </c>
      <c r="Q123" s="85">
        <f t="shared" si="84"/>
        <v>54.660697605783511</v>
      </c>
      <c r="R123" s="85">
        <f t="shared" si="85"/>
        <v>40.808512955037386</v>
      </c>
      <c r="T123" s="52">
        <v>12</v>
      </c>
      <c r="U123" s="87">
        <f>Annual_Days*L123*T_2!J19*I91_AADT_2014</f>
        <v>1714244.2938766626</v>
      </c>
      <c r="V123" s="87">
        <f>Annual_Days*M123*T_2!K19*I91_AADT_2014</f>
        <v>356526.63332995091</v>
      </c>
      <c r="W123" s="87">
        <f>Annual_Days*N123*T_2!L19*I91_AADT_2014</f>
        <v>1015443.8681446759</v>
      </c>
      <c r="X123" s="87">
        <f>Annual_Days*O123*T_2!M19*I91_AADT_2014</f>
        <v>2592168.4436886832</v>
      </c>
      <c r="Y123" s="87">
        <f>Annual_Days*P123*T_2!N19*I91_AADT_2014</f>
        <v>7703795.4794847341</v>
      </c>
      <c r="Z123" s="87">
        <f>Annual_Days*Q123*T_2!O19*I91_AADT_2014</f>
        <v>8496917.8227311913</v>
      </c>
      <c r="AA123" s="87">
        <f>Annual_Days*R123*T_2!P19*I91_AADT_2014</f>
        <v>6203530.6672513373</v>
      </c>
      <c r="AB123" s="44">
        <f t="shared" si="86"/>
        <v>28082627.208507236</v>
      </c>
      <c r="AD123" s="52">
        <v>12</v>
      </c>
      <c r="AE123" s="87">
        <f>Annual_Days*T_2!B19*L123*I91_AADT_2014</f>
        <v>289250.54037979012</v>
      </c>
      <c r="AF123" s="87">
        <f>Annual_Days*T_2!C19*M123*I91_AADT_2014</f>
        <v>67133.039623941484</v>
      </c>
      <c r="AG123" s="87">
        <f>Annual_Days*T_2!D19*N123*I91_AADT_2014</f>
        <v>240065.45698357638</v>
      </c>
      <c r="AH123" s="87">
        <f>Annual_Days*T_2!E19*O123*I91_AADT_2014</f>
        <v>521673.89929234743</v>
      </c>
      <c r="AI123" s="87">
        <f>Annual_Days*T_2!F19*P123*I91_AADT_2014</f>
        <v>1249264.1318083354</v>
      </c>
      <c r="AJ123" s="87">
        <f>Annual_Days*T_2!G19*Q123*I91_AADT_2014</f>
        <v>691136.85639440326</v>
      </c>
      <c r="AK123" s="87">
        <f>Annual_Days*T_2!H19*R123*I91_AADT_2014</f>
        <v>406253.0433201855</v>
      </c>
      <c r="AL123" s="44">
        <f t="shared" si="87"/>
        <v>3464776.9678025795</v>
      </c>
    </row>
    <row r="124" spans="1:38" x14ac:dyDescent="0.25">
      <c r="A124" s="210"/>
      <c r="B124" s="52">
        <v>13</v>
      </c>
      <c r="C124" s="86">
        <v>48.949965331177772</v>
      </c>
      <c r="D124" s="86">
        <v>39.738695240439881</v>
      </c>
      <c r="E124" s="86">
        <v>40.389205807495649</v>
      </c>
      <c r="F124" s="86">
        <v>58.408550191188617</v>
      </c>
      <c r="G124" s="86">
        <v>79.868055910581305</v>
      </c>
      <c r="H124" s="86">
        <v>86.250620874425493</v>
      </c>
      <c r="I124" s="86">
        <v>89.526899308105996</v>
      </c>
      <c r="K124" s="52">
        <v>13</v>
      </c>
      <c r="L124" s="85">
        <f t="shared" si="79"/>
        <v>17.80276533117777</v>
      </c>
      <c r="M124" s="85">
        <f t="shared" si="80"/>
        <v>8.5914952404398797</v>
      </c>
      <c r="N124" s="85">
        <f t="shared" si="81"/>
        <v>9.2420058074956479</v>
      </c>
      <c r="O124" s="85">
        <f t="shared" si="82"/>
        <v>27.261350191188615</v>
      </c>
      <c r="P124" s="85">
        <f t="shared" si="83"/>
        <v>48.720855910581307</v>
      </c>
      <c r="Q124" s="85">
        <f t="shared" si="84"/>
        <v>55.103420874425495</v>
      </c>
      <c r="R124" s="85">
        <f t="shared" si="85"/>
        <v>58.379699308105998</v>
      </c>
      <c r="T124" s="52">
        <v>13</v>
      </c>
      <c r="U124" s="87">
        <f>Annual_Days*L124*T_2!J20*I91_AADT_2014</f>
        <v>2810190.6030090624</v>
      </c>
      <c r="V124" s="87">
        <f>Annual_Days*M124*T_2!K20*I91_AADT_2014</f>
        <v>1137932.1264699737</v>
      </c>
      <c r="W124" s="87">
        <f>Annual_Days*N124*T_2!L20*I91_AADT_2014</f>
        <v>1251587.1757899867</v>
      </c>
      <c r="X124" s="87">
        <f>Annual_Days*O124*T_2!M20*I91_AADT_2014</f>
        <v>3964783.8657844537</v>
      </c>
      <c r="Y124" s="87">
        <f>Annual_Days*P124*T_2!N20*I91_AADT_2014</f>
        <v>7749190.0951116243</v>
      </c>
      <c r="Z124" s="87">
        <f>Annual_Days*Q124*T_2!O20*I91_AADT_2014</f>
        <v>8622486.0682828687</v>
      </c>
      <c r="AA124" s="87">
        <f>Annual_Days*R124*T_2!P20*I91_AADT_2014</f>
        <v>9395679.5330186747</v>
      </c>
      <c r="AB124" s="44">
        <f t="shared" si="86"/>
        <v>34931849.467466645</v>
      </c>
      <c r="AD124" s="52">
        <v>13</v>
      </c>
      <c r="AE124" s="87">
        <f>Annual_Days*T_2!B20*L124*I91_AADT_2014</f>
        <v>458349.31908447924</v>
      </c>
      <c r="AF124" s="87">
        <f>Annual_Days*T_2!C20*M124*I91_AADT_2014</f>
        <v>247248.3194878604</v>
      </c>
      <c r="AG124" s="87">
        <f>Annual_Days*T_2!D20*N124*I91_AADT_2014</f>
        <v>309327.6289975252</v>
      </c>
      <c r="AH124" s="87">
        <f>Annual_Days*T_2!E20*O124*I91_AADT_2014</f>
        <v>798571.73063793872</v>
      </c>
      <c r="AI124" s="87">
        <f>Annual_Days*T_2!F20*P124*I91_AADT_2014</f>
        <v>1262727.7385199878</v>
      </c>
      <c r="AJ124" s="87">
        <f>Annual_Days*T_2!G20*Q124*I91_AADT_2014</f>
        <v>624223.8543034764</v>
      </c>
      <c r="AK124" s="87">
        <f>Annual_Days*T_2!H20*R124*I91_AADT_2014</f>
        <v>581176.05358878395</v>
      </c>
      <c r="AL124" s="44">
        <f t="shared" si="87"/>
        <v>4281624.6446200516</v>
      </c>
    </row>
    <row r="125" spans="1:38" x14ac:dyDescent="0.25">
      <c r="A125" s="210"/>
      <c r="B125" s="52">
        <v>14</v>
      </c>
      <c r="C125" s="86">
        <v>52.982317735575833</v>
      </c>
      <c r="D125" s="86">
        <v>42.849816712475963</v>
      </c>
      <c r="E125" s="86">
        <v>55.877812108067666</v>
      </c>
      <c r="F125" s="86">
        <v>66.787524361332487</v>
      </c>
      <c r="G125" s="86">
        <v>90.592850816001302</v>
      </c>
      <c r="H125" s="86">
        <v>88.473281209504933</v>
      </c>
      <c r="I125" s="86">
        <v>100.57276115798581</v>
      </c>
      <c r="K125" s="52">
        <v>14</v>
      </c>
      <c r="L125" s="85">
        <f t="shared" si="79"/>
        <v>21.835117735575832</v>
      </c>
      <c r="M125" s="85">
        <f t="shared" si="80"/>
        <v>11.702616712475962</v>
      </c>
      <c r="N125" s="85">
        <f t="shared" si="81"/>
        <v>24.730612108067664</v>
      </c>
      <c r="O125" s="85">
        <f t="shared" si="82"/>
        <v>35.640324361332489</v>
      </c>
      <c r="P125" s="85">
        <f t="shared" si="83"/>
        <v>59.445650816001304</v>
      </c>
      <c r="Q125" s="85">
        <f t="shared" si="84"/>
        <v>57.326081209504935</v>
      </c>
      <c r="R125" s="85">
        <f t="shared" si="85"/>
        <v>69.425561157985811</v>
      </c>
      <c r="T125" s="52">
        <v>14</v>
      </c>
      <c r="U125" s="87">
        <f>Annual_Days*L125*T_2!J21*I91_AADT_2014</f>
        <v>3391735.5346575272</v>
      </c>
      <c r="V125" s="87">
        <f>Annual_Days*M125*T_2!K21*I91_AADT_2014</f>
        <v>1582134.1773920776</v>
      </c>
      <c r="W125" s="87">
        <f>Annual_Days*N125*T_2!L21*I91_AADT_2014</f>
        <v>3540126.4967727684</v>
      </c>
      <c r="X125" s="87">
        <f>Annual_Days*O125*T_2!M21*I91_AADT_2014</f>
        <v>5405650.7739931485</v>
      </c>
      <c r="Y125" s="87">
        <f>Annual_Days*P125*T_2!N21*I91_AADT_2014</f>
        <v>10036583.570805915</v>
      </c>
      <c r="Z125" s="87">
        <f>Annual_Days*Q125*T_2!O21*I91_AADT_2014</f>
        <v>8133932.1419930877</v>
      </c>
      <c r="AA125" s="87">
        <f>Annual_Days*R125*T_2!P21*I91_AADT_2014</f>
        <v>12214090.355874829</v>
      </c>
      <c r="AB125" s="44">
        <f t="shared" si="86"/>
        <v>44304253.051489353</v>
      </c>
      <c r="AD125" s="52">
        <v>14</v>
      </c>
      <c r="AE125" s="87">
        <f>Annual_Days*T_2!B21*L125*I91_AADT_2014</f>
        <v>593397.56131209037</v>
      </c>
      <c r="AF125" s="87">
        <f>Annual_Days*T_2!C21*M125*I91_AADT_2014</f>
        <v>342137.35279193905</v>
      </c>
      <c r="AG125" s="87">
        <f>Annual_Days*T_2!D21*N125*I91_AADT_2014</f>
        <v>665011.77197569981</v>
      </c>
      <c r="AH125" s="87">
        <f>Annual_Days*T_2!E21*O125*I91_AADT_2014</f>
        <v>899242.54671104427</v>
      </c>
      <c r="AI125" s="87">
        <f>Annual_Days*T_2!F21*P125*I91_AADT_2014</f>
        <v>1622314.5927734401</v>
      </c>
      <c r="AJ125" s="87">
        <f>Annual_Days*T_2!G21*Q125*I91_AADT_2014</f>
        <v>652682.4581679937</v>
      </c>
      <c r="AK125" s="87">
        <f>Annual_Days*T_2!H21*R125*I91_AADT_2014</f>
        <v>814272.6903916552</v>
      </c>
      <c r="AL125" s="44">
        <f t="shared" si="87"/>
        <v>5589058.9741238626</v>
      </c>
    </row>
    <row r="126" spans="1:38" x14ac:dyDescent="0.25">
      <c r="A126" s="210"/>
      <c r="B126" s="52">
        <v>15</v>
      </c>
      <c r="C126" s="86">
        <v>70.718418394550213</v>
      </c>
      <c r="D126" s="86">
        <v>56.240546475773691</v>
      </c>
      <c r="E126" s="86">
        <v>58.270823007523767</v>
      </c>
      <c r="F126" s="86">
        <v>70.898490320489515</v>
      </c>
      <c r="G126" s="86">
        <v>85.00924744385182</v>
      </c>
      <c r="H126" s="86">
        <v>96.269748533913727</v>
      </c>
      <c r="I126" s="86">
        <v>112.11577783142582</v>
      </c>
      <c r="K126" s="52">
        <v>15</v>
      </c>
      <c r="L126" s="85">
        <f t="shared" si="79"/>
        <v>39.571218394550215</v>
      </c>
      <c r="M126" s="85">
        <f t="shared" si="80"/>
        <v>25.093346475773689</v>
      </c>
      <c r="N126" s="85">
        <f t="shared" si="81"/>
        <v>27.123623007523765</v>
      </c>
      <c r="O126" s="85">
        <f t="shared" si="82"/>
        <v>39.751290320489517</v>
      </c>
      <c r="P126" s="85">
        <f t="shared" si="83"/>
        <v>53.862047443851822</v>
      </c>
      <c r="Q126" s="85">
        <f t="shared" si="84"/>
        <v>65.122548533913729</v>
      </c>
      <c r="R126" s="85">
        <f t="shared" si="85"/>
        <v>80.968577831425819</v>
      </c>
      <c r="T126" s="52">
        <v>15</v>
      </c>
      <c r="U126" s="87">
        <f>Annual_Days*L126*T_2!J22*I91_AADT_2014</f>
        <v>6452394.1966796033</v>
      </c>
      <c r="V126" s="87">
        <f>Annual_Days*M126*T_2!K22*I91_AADT_2014</f>
        <v>3597793.7197770001</v>
      </c>
      <c r="W126" s="87">
        <f>Annual_Days*N126*T_2!L22*I91_AADT_2014</f>
        <v>4022344.893881368</v>
      </c>
      <c r="X126" s="87">
        <f>Annual_Days*O126*T_2!M22*I91_AADT_2014</f>
        <v>6413527.307492448</v>
      </c>
      <c r="Y126" s="87">
        <f>Annual_Days*P126*T_2!N22*I91_AADT_2014</f>
        <v>10184763.095731165</v>
      </c>
      <c r="Z126" s="87">
        <f>Annual_Days*Q126*T_2!O22*I91_AADT_2014</f>
        <v>10041226.582761414</v>
      </c>
      <c r="AA126" s="87">
        <f>Annual_Days*R126*T_2!P22*I91_AADT_2014</f>
        <v>14166109.740517093</v>
      </c>
      <c r="AB126" s="44">
        <f t="shared" si="86"/>
        <v>54878159.536840096</v>
      </c>
      <c r="AD126" s="52">
        <v>15</v>
      </c>
      <c r="AE126" s="87">
        <f>Annual_Days*T_2!B22*L126*I91_AADT_2014</f>
        <v>1064079.0429611977</v>
      </c>
      <c r="AF126" s="87">
        <f>Annual_Days*T_2!C22*M126*I91_AADT_2014</f>
        <v>643181.00018359791</v>
      </c>
      <c r="AG126" s="87">
        <f>Annual_Days*T_2!D22*N126*I91_AADT_2014</f>
        <v>755741.49819453177</v>
      </c>
      <c r="AH126" s="87">
        <f>Annual_Days*T_2!E22*O126*I91_AADT_2014</f>
        <v>1121230.1285793532</v>
      </c>
      <c r="AI126" s="87">
        <f>Annual_Days*T_2!F22*P126*I91_AADT_2014</f>
        <v>1513076.7564308634</v>
      </c>
      <c r="AJ126" s="87">
        <f>Annual_Days*T_2!G22*Q126*I91_AADT_2014</f>
        <v>737722.76934573648</v>
      </c>
      <c r="AK126" s="87">
        <f>Annual_Days*T_2!H22*R126*I91_AADT_2014</f>
        <v>954289.93019833916</v>
      </c>
      <c r="AL126" s="44">
        <f t="shared" si="87"/>
        <v>6789321.1258936189</v>
      </c>
    </row>
    <row r="127" spans="1:38" x14ac:dyDescent="0.25">
      <c r="A127" s="210"/>
      <c r="B127" s="52">
        <v>16</v>
      </c>
      <c r="C127" s="86">
        <v>67.124385052097793</v>
      </c>
      <c r="D127" s="86">
        <v>55.094310105631848</v>
      </c>
      <c r="E127" s="86">
        <v>62.315659674994649</v>
      </c>
      <c r="F127" s="86">
        <v>78.900641799419759</v>
      </c>
      <c r="G127" s="86">
        <v>93.80917390505914</v>
      </c>
      <c r="H127" s="86">
        <v>88.068471023218422</v>
      </c>
      <c r="I127" s="86">
        <v>120.4927084284584</v>
      </c>
      <c r="K127" s="52">
        <v>16</v>
      </c>
      <c r="L127" s="85">
        <f t="shared" si="79"/>
        <v>35.977185052097795</v>
      </c>
      <c r="M127" s="85">
        <f t="shared" si="80"/>
        <v>23.947110105631847</v>
      </c>
      <c r="N127" s="85">
        <f t="shared" si="81"/>
        <v>31.168459674994647</v>
      </c>
      <c r="O127" s="85">
        <f t="shared" si="82"/>
        <v>47.753441799419761</v>
      </c>
      <c r="P127" s="85">
        <f t="shared" si="83"/>
        <v>62.661973905059142</v>
      </c>
      <c r="Q127" s="85">
        <f t="shared" si="84"/>
        <v>56.921271023218424</v>
      </c>
      <c r="R127" s="85">
        <f t="shared" si="85"/>
        <v>89.345508428458402</v>
      </c>
      <c r="T127" s="52">
        <v>16</v>
      </c>
      <c r="U127" s="87">
        <f>Annual_Days*L127*T_2!J23*I91_AADT_2014</f>
        <v>6603256.2207728764</v>
      </c>
      <c r="V127" s="87">
        <f>Annual_Days*M127*T_2!K23*I91_AADT_2014</f>
        <v>4465129.7262184862</v>
      </c>
      <c r="W127" s="87">
        <f>Annual_Days*N127*T_2!L23*I91_AADT_2014</f>
        <v>5476357.1828172868</v>
      </c>
      <c r="X127" s="87">
        <f>Annual_Days*O127*T_2!M23*I91_AADT_2014</f>
        <v>8455940.9486898519</v>
      </c>
      <c r="Y127" s="87">
        <f>Annual_Days*P127*T_2!N23*I91_AADT_2014</f>
        <v>12300461.301808322</v>
      </c>
      <c r="Z127" s="87">
        <f>Annual_Days*Q127*T_2!O23*I91_AADT_2014</f>
        <v>8437982.3307637833</v>
      </c>
      <c r="AA127" s="87">
        <f>Annual_Days*R127*T_2!P23*I91_AADT_2014</f>
        <v>14655378.086579869</v>
      </c>
      <c r="AB127" s="44">
        <f t="shared" si="86"/>
        <v>60394505.797650479</v>
      </c>
      <c r="AD127" s="52">
        <v>16</v>
      </c>
      <c r="AE127" s="87">
        <f>Annual_Days*T_2!B23*L127*I91_AADT_2014</f>
        <v>819231.91267693404</v>
      </c>
      <c r="AF127" s="87">
        <f>Annual_Days*T_2!C23*M127*I91_AADT_2014</f>
        <v>561737.7071953296</v>
      </c>
      <c r="AG127" s="87">
        <f>Annual_Days*T_2!D23*N127*I91_AADT_2014</f>
        <v>879141.67734579055</v>
      </c>
      <c r="AH127" s="87">
        <f>Annual_Days*T_2!E23*O127*I91_AADT_2014</f>
        <v>1308690.0531251822</v>
      </c>
      <c r="AI127" s="87">
        <f>Annual_Days*T_2!F23*P127*I91_AADT_2014</f>
        <v>1814058.1226216878</v>
      </c>
      <c r="AJ127" s="87">
        <f>Annual_Days*T_2!G23*Q127*I91_AADT_2014</f>
        <v>608993.70739206008</v>
      </c>
      <c r="AK127" s="87">
        <f>Annual_Days*T_2!H23*R127*I91_AADT_2014</f>
        <v>1175701.7648808404</v>
      </c>
      <c r="AL127" s="44">
        <f t="shared" si="87"/>
        <v>7167554.9452378247</v>
      </c>
    </row>
    <row r="128" spans="1:38" x14ac:dyDescent="0.25">
      <c r="A128" s="210"/>
      <c r="B128" s="52">
        <v>17</v>
      </c>
      <c r="C128" s="86">
        <v>72.577746039115326</v>
      </c>
      <c r="D128" s="86">
        <v>66.070941231784332</v>
      </c>
      <c r="E128" s="86">
        <v>73.903840317944884</v>
      </c>
      <c r="F128" s="86">
        <v>80.999884671572403</v>
      </c>
      <c r="G128" s="86">
        <v>91.571972020792899</v>
      </c>
      <c r="H128" s="86">
        <v>64.682007591822213</v>
      </c>
      <c r="I128" s="86">
        <v>120.6393335185779</v>
      </c>
      <c r="K128" s="52">
        <v>17</v>
      </c>
      <c r="L128" s="85">
        <f t="shared" si="79"/>
        <v>41.430546039115328</v>
      </c>
      <c r="M128" s="85">
        <f t="shared" si="80"/>
        <v>34.923741231784334</v>
      </c>
      <c r="N128" s="85">
        <f t="shared" si="81"/>
        <v>42.756640317944886</v>
      </c>
      <c r="O128" s="85">
        <f t="shared" si="82"/>
        <v>49.852684671572405</v>
      </c>
      <c r="P128" s="85">
        <f t="shared" si="83"/>
        <v>60.424772020792901</v>
      </c>
      <c r="Q128" s="85">
        <f t="shared" si="84"/>
        <v>33.534807591822215</v>
      </c>
      <c r="R128" s="85">
        <f t="shared" si="85"/>
        <v>89.492133518577901</v>
      </c>
      <c r="T128" s="52">
        <v>17</v>
      </c>
      <c r="U128" s="87">
        <f>Annual_Days*L128*T_2!J24*I91_AADT_2014</f>
        <v>7592314.772884585</v>
      </c>
      <c r="V128" s="87">
        <f>Annual_Days*M128*T_2!K24*I91_AADT_2014</f>
        <v>6733599.3471786408</v>
      </c>
      <c r="W128" s="87">
        <f>Annual_Days*N128*T_2!L24*I91_AADT_2014</f>
        <v>7850004.3793225484</v>
      </c>
      <c r="X128" s="87">
        <f>Annual_Days*O128*T_2!M24*I91_AADT_2014</f>
        <v>8371306.9425983224</v>
      </c>
      <c r="Y128" s="87">
        <f>Annual_Days*P128*T_2!N24*I91_AADT_2014</f>
        <v>11926986.430031959</v>
      </c>
      <c r="Z128" s="87">
        <f>Annual_Days*Q128*T_2!O24*I91_AADT_2014</f>
        <v>4608561.9679433033</v>
      </c>
      <c r="AA128" s="87">
        <f>Annual_Days*R128*T_2!P24*I91_AADT_2014</f>
        <v>13430115.945277466</v>
      </c>
      <c r="AB128" s="44">
        <f t="shared" si="86"/>
        <v>60512889.785236828</v>
      </c>
      <c r="AD128" s="52">
        <v>17</v>
      </c>
      <c r="AE128" s="87">
        <f>Annual_Days*T_2!B24*L128*I91_AADT_2014</f>
        <v>988446.84991972288</v>
      </c>
      <c r="AF128" s="87">
        <f>Annual_Days*T_2!C24*M128*I91_AADT_2014</f>
        <v>819221.28556179302</v>
      </c>
      <c r="AG128" s="87">
        <f>Annual_Days*T_2!D24*N128*I91_AADT_2014</f>
        <v>1105703.327969396</v>
      </c>
      <c r="AH128" s="87">
        <f>Annual_Days*T_2!E24*O128*I91_AADT_2014</f>
        <v>1118075.7483811048</v>
      </c>
      <c r="AI128" s="87">
        <f>Annual_Days*T_2!F24*P128*I91_AADT_2014</f>
        <v>1372467.7138326636</v>
      </c>
      <c r="AJ128" s="87">
        <f>Annual_Days*T_2!G24*Q128*I91_AADT_2014</f>
        <v>345354.35230216256</v>
      </c>
      <c r="AK128" s="87">
        <f>Annual_Days*T_2!H24*R128*I91_AADT_2014</f>
        <v>1126429.8543503785</v>
      </c>
      <c r="AL128" s="44">
        <f t="shared" si="87"/>
        <v>6875699.1323172217</v>
      </c>
    </row>
    <row r="129" spans="1:38" x14ac:dyDescent="0.25">
      <c r="A129" s="210"/>
      <c r="B129" s="52">
        <v>18</v>
      </c>
      <c r="C129" s="86">
        <v>44.845998175727445</v>
      </c>
      <c r="D129" s="86">
        <v>49.625568415692427</v>
      </c>
      <c r="E129" s="86">
        <v>42.003117048248335</v>
      </c>
      <c r="F129" s="86">
        <v>51.677280551699354</v>
      </c>
      <c r="G129" s="86">
        <v>81.286934891820636</v>
      </c>
      <c r="H129" s="86">
        <v>38.730977577330655</v>
      </c>
      <c r="I129" s="86">
        <v>92.944139039297795</v>
      </c>
      <c r="K129" s="52">
        <v>18</v>
      </c>
      <c r="L129" s="85">
        <f t="shared" si="79"/>
        <v>13.698798175727443</v>
      </c>
      <c r="M129" s="85">
        <f t="shared" si="80"/>
        <v>18.478368415692426</v>
      </c>
      <c r="N129" s="85">
        <f t="shared" si="81"/>
        <v>10.855917048248333</v>
      </c>
      <c r="O129" s="85">
        <f t="shared" si="82"/>
        <v>20.530080551699353</v>
      </c>
      <c r="P129" s="85">
        <f t="shared" si="83"/>
        <v>50.139734891820638</v>
      </c>
      <c r="Q129" s="85">
        <f t="shared" si="84"/>
        <v>7.5837775773306539</v>
      </c>
      <c r="R129" s="85">
        <f t="shared" si="85"/>
        <v>61.796939039297797</v>
      </c>
      <c r="T129" s="52">
        <v>18</v>
      </c>
      <c r="U129" s="87">
        <f>Annual_Days*L129*T_2!J25*I91_AADT_2014</f>
        <v>2097322.3548107632</v>
      </c>
      <c r="V129" s="87">
        <f>Annual_Days*M129*T_2!K25*I91_AADT_2014</f>
        <v>3024670.6282649306</v>
      </c>
      <c r="W129" s="87">
        <f>Annual_Days*N129*T_2!L25*I91_AADT_2014</f>
        <v>1963925.4193171547</v>
      </c>
      <c r="X129" s="87">
        <f>Annual_Days*O129*T_2!M25*I91_AADT_2014</f>
        <v>3718760.1928333389</v>
      </c>
      <c r="Y129" s="87">
        <f>Annual_Days*P129*T_2!N25*I91_AADT_2014</f>
        <v>9721879.0056560859</v>
      </c>
      <c r="Z129" s="87">
        <f>Annual_Days*Q129*T_2!O25*I91_AADT_2014</f>
        <v>1050019.979364258</v>
      </c>
      <c r="AA129" s="87">
        <f>Annual_Days*R129*T_2!P25*I91_AADT_2014</f>
        <v>9312780.0114416499</v>
      </c>
      <c r="AB129" s="44">
        <f t="shared" si="86"/>
        <v>30889357.591688178</v>
      </c>
      <c r="AD129" s="52">
        <v>18</v>
      </c>
      <c r="AE129" s="87">
        <f>Annual_Days*T_2!B25*L129*I91_AADT_2014</f>
        <v>213180.74757418819</v>
      </c>
      <c r="AF129" s="87">
        <f>Annual_Days*T_2!C25*M129*I91_AADT_2014</f>
        <v>416539.75097391917</v>
      </c>
      <c r="AG129" s="87">
        <f>Annual_Days*T_2!D25*N129*I91_AADT_2014</f>
        <v>252788.62924164513</v>
      </c>
      <c r="AH129" s="87">
        <f>Annual_Days*T_2!E25*O129*I91_AADT_2014</f>
        <v>507424.00609728432</v>
      </c>
      <c r="AI129" s="87">
        <f>Annual_Days*T_2!F25*P129*I91_AADT_2014</f>
        <v>1035585.223087001</v>
      </c>
      <c r="AJ129" s="87">
        <f>Annual_Days*T_2!G25*Q129*I91_AADT_2014</f>
        <v>61612.742590795293</v>
      </c>
      <c r="AK129" s="87">
        <f>Annual_Days*T_2!H25*R129*I91_AADT_2014</f>
        <v>657622.27871228056</v>
      </c>
      <c r="AL129" s="44">
        <f t="shared" si="87"/>
        <v>3144753.3782771137</v>
      </c>
    </row>
    <row r="130" spans="1:38" x14ac:dyDescent="0.25">
      <c r="A130" s="210"/>
      <c r="B130" s="52">
        <v>19</v>
      </c>
      <c r="C130" s="86">
        <v>30.634302287198295</v>
      </c>
      <c r="D130" s="86">
        <v>33.204528868223605</v>
      </c>
      <c r="E130" s="86">
        <v>30.251192140141207</v>
      </c>
      <c r="F130" s="86">
        <v>37.892534357679203</v>
      </c>
      <c r="G130" s="86">
        <v>66.438982583063492</v>
      </c>
      <c r="H130" s="86">
        <v>39.678345595083648</v>
      </c>
      <c r="I130" s="86">
        <v>80.341807724292224</v>
      </c>
      <c r="K130" s="52">
        <v>19</v>
      </c>
      <c r="L130" s="85">
        <f t="shared" si="79"/>
        <v>0</v>
      </c>
      <c r="M130" s="85">
        <f t="shared" si="80"/>
        <v>2.0573288682236033</v>
      </c>
      <c r="N130" s="85">
        <f t="shared" si="81"/>
        <v>0</v>
      </c>
      <c r="O130" s="85">
        <f t="shared" si="82"/>
        <v>6.7453343576792015</v>
      </c>
      <c r="P130" s="85">
        <f t="shared" si="83"/>
        <v>35.291782583063494</v>
      </c>
      <c r="Q130" s="85">
        <f t="shared" si="84"/>
        <v>8.5311455950836468</v>
      </c>
      <c r="R130" s="85">
        <f t="shared" si="85"/>
        <v>49.194607724292226</v>
      </c>
      <c r="T130" s="52">
        <v>19</v>
      </c>
      <c r="U130" s="87">
        <f>Annual_Days*L130*T_2!J26*I91_AADT_2014</f>
        <v>0</v>
      </c>
      <c r="V130" s="87">
        <f>Annual_Days*M130*T_2!K26*I91_AADT_2014</f>
        <v>238826.42443020892</v>
      </c>
      <c r="W130" s="87">
        <f>Annual_Days*N130*T_2!L26*I91_AADT_2014</f>
        <v>0</v>
      </c>
      <c r="X130" s="87">
        <f>Annual_Days*O130*T_2!M26*I91_AADT_2014</f>
        <v>1019993.1487791013</v>
      </c>
      <c r="Y130" s="87">
        <f>Annual_Days*P130*T_2!N26*I91_AADT_2014</f>
        <v>5593066.3799705738</v>
      </c>
      <c r="Z130" s="87">
        <f>Annual_Days*Q130*T_2!O26*I91_AADT_2014</f>
        <v>1151903.1511481295</v>
      </c>
      <c r="AA130" s="87">
        <f>Annual_Days*R130*T_2!P26*I91_AADT_2014</f>
        <v>6524204.163277749</v>
      </c>
      <c r="AB130" s="44">
        <f t="shared" si="86"/>
        <v>14527993.267605763</v>
      </c>
      <c r="AD130" s="52">
        <v>19</v>
      </c>
      <c r="AE130" s="87">
        <f>Annual_Days*T_2!B26*L130*I91_AADT_2014</f>
        <v>0</v>
      </c>
      <c r="AF130" s="87">
        <f>Annual_Days*T_2!C26*M130*I91_AADT_2014</f>
        <v>35429.64699531439</v>
      </c>
      <c r="AG130" s="87">
        <f>Annual_Days*T_2!D26*N130*I91_AADT_2014</f>
        <v>0</v>
      </c>
      <c r="AH130" s="87">
        <f>Annual_Days*T_2!E26*O130*I91_AADT_2014</f>
        <v>118478.20532545747</v>
      </c>
      <c r="AI130" s="87">
        <f>Annual_Days*T_2!F26*P130*I91_AADT_2014</f>
        <v>458348.76110228163</v>
      </c>
      <c r="AJ130" s="87">
        <f>Annual_Days*T_2!G26*Q130*I91_AADT_2014</f>
        <v>55154.684779550284</v>
      </c>
      <c r="AK130" s="87">
        <f>Annual_Days*T_2!H26*R130*I91_AADT_2014</f>
        <v>520697.91639619664</v>
      </c>
      <c r="AL130" s="44">
        <f t="shared" si="87"/>
        <v>1188109.2145988005</v>
      </c>
    </row>
    <row r="131" spans="1:38" x14ac:dyDescent="0.25">
      <c r="A131" s="210"/>
      <c r="B131" s="52">
        <v>20</v>
      </c>
      <c r="C131" s="86">
        <v>30.942167940938404</v>
      </c>
      <c r="D131" s="86">
        <v>31.596876884126786</v>
      </c>
      <c r="E131" s="86">
        <v>31.293102146511629</v>
      </c>
      <c r="F131" s="86">
        <v>35.832897205359778</v>
      </c>
      <c r="G131" s="86">
        <v>59.440817518493496</v>
      </c>
      <c r="H131" s="86">
        <v>30.301652217101442</v>
      </c>
      <c r="I131" s="86">
        <v>69.570792837004234</v>
      </c>
      <c r="K131" s="52">
        <v>20</v>
      </c>
      <c r="L131" s="85">
        <f t="shared" si="79"/>
        <v>0</v>
      </c>
      <c r="M131" s="85">
        <f t="shared" si="80"/>
        <v>0.44967688412678442</v>
      </c>
      <c r="N131" s="85">
        <f t="shared" si="81"/>
        <v>0.14590214651162725</v>
      </c>
      <c r="O131" s="85">
        <f t="shared" si="82"/>
        <v>4.6856972053597765</v>
      </c>
      <c r="P131" s="85">
        <f t="shared" si="83"/>
        <v>28.293617518493495</v>
      </c>
      <c r="Q131" s="85">
        <f t="shared" si="84"/>
        <v>0</v>
      </c>
      <c r="R131" s="85">
        <f t="shared" si="85"/>
        <v>38.423592837004236</v>
      </c>
      <c r="T131" s="52">
        <v>20</v>
      </c>
      <c r="U131" s="87">
        <f>Annual_Days*L131*T_2!J27*I91_AADT_2014</f>
        <v>0</v>
      </c>
      <c r="V131" s="87">
        <f>Annual_Days*M131*T_2!K27*I91_AADT_2014</f>
        <v>37536.386690209336</v>
      </c>
      <c r="W131" s="87">
        <f>Annual_Days*N131*T_2!L27*I91_AADT_2014</f>
        <v>14399.499272896706</v>
      </c>
      <c r="X131" s="87">
        <f>Annual_Days*O131*T_2!M27*I91_AADT_2014</f>
        <v>445823.62558232172</v>
      </c>
      <c r="Y131" s="87">
        <f>Annual_Days*P131*T_2!N27*I91_AADT_2014</f>
        <v>3333046.974628272</v>
      </c>
      <c r="Z131" s="87">
        <f>Annual_Days*Q131*T_2!O27*I91_AADT_2014</f>
        <v>0</v>
      </c>
      <c r="AA131" s="87">
        <f>Annual_Days*R131*T_2!P27*I91_AADT_2014</f>
        <v>4359305.3985517304</v>
      </c>
      <c r="AB131" s="44">
        <f t="shared" si="86"/>
        <v>8190111.88472543</v>
      </c>
      <c r="AD131" s="52">
        <v>20</v>
      </c>
      <c r="AE131" s="87">
        <f>Annual_Days*T_2!B27*L131*I91_AADT_2014</f>
        <v>0</v>
      </c>
      <c r="AF131" s="87">
        <f>Annual_Days*T_2!C27*M131*I91_AADT_2014</f>
        <v>4939.6752875395414</v>
      </c>
      <c r="AG131" s="87">
        <f>Annual_Days*T_2!D27*N131*I91_AADT_2014</f>
        <v>2028.4512019211015</v>
      </c>
      <c r="AH131" s="87">
        <f>Annual_Days*T_2!E27*O131*I91_AADT_2014</f>
        <v>61123.14289402846</v>
      </c>
      <c r="AI131" s="87">
        <f>Annual_Days*T_2!F27*P131*I91_AADT_2014</f>
        <v>286522.25085439737</v>
      </c>
      <c r="AJ131" s="87">
        <f>Annual_Days*T_2!G27*Q131*I91_AADT_2014</f>
        <v>0</v>
      </c>
      <c r="AK131" s="87">
        <f>Annual_Days*T_2!H27*R131*I91_AADT_2014</f>
        <v>382510.91242965258</v>
      </c>
      <c r="AL131" s="44">
        <f t="shared" si="87"/>
        <v>737124.43266753899</v>
      </c>
    </row>
    <row r="132" spans="1:38" x14ac:dyDescent="0.25">
      <c r="A132" s="210"/>
      <c r="B132" s="52">
        <v>21</v>
      </c>
      <c r="C132" s="86">
        <v>31.189918585066494</v>
      </c>
      <c r="D132" s="86">
        <v>30.417992993183955</v>
      </c>
      <c r="E132" s="86">
        <v>31.378631476437487</v>
      </c>
      <c r="F132" s="86">
        <v>33.166423625323013</v>
      </c>
      <c r="G132" s="86">
        <v>48.470062232513975</v>
      </c>
      <c r="H132" s="86">
        <v>31.173356359241307</v>
      </c>
      <c r="I132" s="86">
        <v>46.872559423166543</v>
      </c>
      <c r="K132" s="52">
        <v>21</v>
      </c>
      <c r="L132" s="85">
        <f t="shared" si="79"/>
        <v>4.2718585066491954E-2</v>
      </c>
      <c r="M132" s="85">
        <f t="shared" si="80"/>
        <v>0</v>
      </c>
      <c r="N132" s="85">
        <f t="shared" si="81"/>
        <v>0.23143147643748563</v>
      </c>
      <c r="O132" s="85">
        <f t="shared" si="82"/>
        <v>2.0192236253230114</v>
      </c>
      <c r="P132" s="85">
        <f t="shared" si="83"/>
        <v>17.322862232513973</v>
      </c>
      <c r="Q132" s="85">
        <f t="shared" si="84"/>
        <v>2.6156359241305438E-2</v>
      </c>
      <c r="R132" s="85">
        <f t="shared" si="85"/>
        <v>15.725359423166541</v>
      </c>
      <c r="T132" s="52">
        <v>21</v>
      </c>
      <c r="U132" s="87">
        <f>Annual_Days*L132*T_2!J28*I91_AADT_2014</f>
        <v>3319.0457512238609</v>
      </c>
      <c r="V132" s="87">
        <f>Annual_Days*M132*T_2!K28*I91_AADT_2014</f>
        <v>0</v>
      </c>
      <c r="W132" s="87">
        <f>Annual_Days*N132*T_2!L28*I91_AADT_2014</f>
        <v>18682.975714725773</v>
      </c>
      <c r="X132" s="87">
        <f>Annual_Days*O132*T_2!M28*I91_AADT_2014</f>
        <v>188885.57191665328</v>
      </c>
      <c r="Y132" s="87">
        <f>Annual_Days*P132*T_2!N28*I91_AADT_2014</f>
        <v>1758206.480735447</v>
      </c>
      <c r="Z132" s="87">
        <f>Annual_Days*Q132*T_2!O28*I91_AADT_2014</f>
        <v>2084.6109729295149</v>
      </c>
      <c r="AA132" s="87">
        <f>Annual_Days*R132*T_2!P28*I91_AADT_2014</f>
        <v>1452114.0267211702</v>
      </c>
      <c r="AB132" s="44">
        <f t="shared" si="86"/>
        <v>3423292.7118121497</v>
      </c>
      <c r="AD132" s="52">
        <v>21</v>
      </c>
      <c r="AE132" s="87">
        <f>Annual_Days*T_2!B28*L132*I91_AADT_2014</f>
        <v>459.48497881449623</v>
      </c>
      <c r="AF132" s="87">
        <f>Annual_Days*T_2!C28*M132*I91_AADT_2014</f>
        <v>0</v>
      </c>
      <c r="AG132" s="87">
        <f>Annual_Days*T_2!D28*N132*I91_AADT_2014</f>
        <v>3111.6224613469576</v>
      </c>
      <c r="AH132" s="87">
        <f>Annual_Days*T_2!E28*O132*I91_AADT_2014</f>
        <v>20910.26820606376</v>
      </c>
      <c r="AI132" s="87">
        <f>Annual_Days*T_2!F28*P132*I91_AADT_2014</f>
        <v>134789.22287487081</v>
      </c>
      <c r="AJ132" s="87">
        <f>Annual_Days*T_2!G28*Q132*I91_AADT_2014</f>
        <v>166.11042210708985</v>
      </c>
      <c r="AK132" s="87">
        <f>Annual_Days*T_2!H28*R132*I91_AADT_2014</f>
        <v>177240.68355890366</v>
      </c>
      <c r="AL132" s="44">
        <f t="shared" si="87"/>
        <v>336677.39250210678</v>
      </c>
    </row>
    <row r="133" spans="1:38" x14ac:dyDescent="0.25">
      <c r="A133" s="210"/>
      <c r="B133" s="52">
        <v>22</v>
      </c>
      <c r="C133" s="86">
        <v>31.617237865178904</v>
      </c>
      <c r="D133" s="86">
        <v>31.202982119134795</v>
      </c>
      <c r="E133" s="86">
        <v>31.927835164833915</v>
      </c>
      <c r="F133" s="86">
        <v>35.640192755694578</v>
      </c>
      <c r="G133" s="86">
        <v>33.346382919719922</v>
      </c>
      <c r="H133" s="86">
        <v>29.529138851199011</v>
      </c>
      <c r="I133" s="86">
        <v>31.197791513359725</v>
      </c>
      <c r="K133" s="52">
        <v>22</v>
      </c>
      <c r="L133" s="85">
        <f t="shared" si="79"/>
        <v>0.47003786517890234</v>
      </c>
      <c r="M133" s="85">
        <f t="shared" si="80"/>
        <v>5.5782119134793362E-2</v>
      </c>
      <c r="N133" s="85">
        <f t="shared" si="81"/>
        <v>0.78063516483391382</v>
      </c>
      <c r="O133" s="85">
        <f t="shared" si="82"/>
        <v>4.4929927556945763</v>
      </c>
      <c r="P133" s="85">
        <f t="shared" si="83"/>
        <v>2.1991829197199202</v>
      </c>
      <c r="Q133" s="85">
        <f t="shared" si="84"/>
        <v>0</v>
      </c>
      <c r="R133" s="85">
        <f t="shared" si="85"/>
        <v>5.059151335972345E-2</v>
      </c>
      <c r="T133" s="52">
        <v>22</v>
      </c>
      <c r="U133" s="87">
        <f>Annual_Days*L133*T_2!J29*I91_AADT_2014</f>
        <v>30415.296857246183</v>
      </c>
      <c r="V133" s="87">
        <f>Annual_Days*M133*T_2!K29*I91_AADT_2014</f>
        <v>3312.752359170448</v>
      </c>
      <c r="W133" s="87">
        <f>Annual_Days*N133*T_2!L29*I91_AADT_2014</f>
        <v>50334.833503299145</v>
      </c>
      <c r="X133" s="87">
        <f>Annual_Days*O133*T_2!M29*I91_AADT_2014</f>
        <v>348057.49663823238</v>
      </c>
      <c r="Y133" s="87">
        <f>Annual_Days*P133*T_2!N29*I91_AADT_2014</f>
        <v>212010.74326875425</v>
      </c>
      <c r="Z133" s="87">
        <f>Annual_Days*Q133*T_2!O29*I91_AADT_2014</f>
        <v>0</v>
      </c>
      <c r="AA133" s="87">
        <f>Annual_Days*R133*T_2!P29*I91_AADT_2014</f>
        <v>3580.5024890050595</v>
      </c>
      <c r="AB133" s="44">
        <f t="shared" si="86"/>
        <v>647711.62511570752</v>
      </c>
      <c r="AD133" s="52">
        <v>22</v>
      </c>
      <c r="AE133" s="87">
        <f>Annual_Days*T_2!B29*L133*I91_AADT_2014</f>
        <v>6023.8961061212603</v>
      </c>
      <c r="AF133" s="87">
        <f>Annual_Days*T_2!C29*M133*I91_AADT_2014</f>
        <v>673.40149112231654</v>
      </c>
      <c r="AG133" s="87">
        <f>Annual_Days*T_2!D29*N133*I91_AADT_2014</f>
        <v>8932.5347831941708</v>
      </c>
      <c r="AH133" s="87">
        <f>Annual_Days*T_2!E29*O133*I91_AADT_2014</f>
        <v>73261.733044236491</v>
      </c>
      <c r="AI133" s="87">
        <f>Annual_Days*T_2!F29*P133*I91_AADT_2014</f>
        <v>22899.676721016782</v>
      </c>
      <c r="AJ133" s="87">
        <f>Annual_Days*T_2!G29*Q133*I91_AADT_2014</f>
        <v>0</v>
      </c>
      <c r="AK133" s="87">
        <f>Annual_Days*T_2!H29*R133*I91_AADT_2014</f>
        <v>437.07023107499106</v>
      </c>
      <c r="AL133" s="44">
        <f t="shared" si="87"/>
        <v>112228.312376766</v>
      </c>
    </row>
    <row r="134" spans="1:38" x14ac:dyDescent="0.25">
      <c r="A134" s="210"/>
      <c r="B134" s="52">
        <v>23</v>
      </c>
      <c r="C134" s="86">
        <v>30.663715945942069</v>
      </c>
      <c r="D134" s="86">
        <v>33.559305340024714</v>
      </c>
      <c r="E134" s="86">
        <v>32.468597620400168</v>
      </c>
      <c r="F134" s="86">
        <v>30.753330542236995</v>
      </c>
      <c r="G134" s="86">
        <v>30.941333605737675</v>
      </c>
      <c r="H134" s="86">
        <v>29.584277624168585</v>
      </c>
      <c r="I134" s="86">
        <v>30.261694673285476</v>
      </c>
      <c r="K134" s="52">
        <v>23</v>
      </c>
      <c r="L134" s="85">
        <f t="shared" si="79"/>
        <v>0</v>
      </c>
      <c r="M134" s="85">
        <f t="shared" si="80"/>
        <v>2.4121053400247128</v>
      </c>
      <c r="N134" s="85">
        <f t="shared" si="81"/>
        <v>1.3213976204001661</v>
      </c>
      <c r="O134" s="85">
        <f t="shared" si="82"/>
        <v>0</v>
      </c>
      <c r="P134" s="85">
        <f t="shared" si="83"/>
        <v>0</v>
      </c>
      <c r="Q134" s="85">
        <f t="shared" si="84"/>
        <v>0</v>
      </c>
      <c r="R134" s="85">
        <f t="shared" si="85"/>
        <v>0</v>
      </c>
      <c r="T134" s="52">
        <v>23</v>
      </c>
      <c r="U134" s="87">
        <f>Annual_Days*L134*T_2!J30*I91_AADT_2014</f>
        <v>0</v>
      </c>
      <c r="V134" s="87">
        <f>Annual_Days*M134*T_2!K30*I91_AADT_2014</f>
        <v>105711.35735983521</v>
      </c>
      <c r="W134" s="87">
        <f>Annual_Days*N134*T_2!L30*I91_AADT_2014</f>
        <v>59044.73310114372</v>
      </c>
      <c r="X134" s="87">
        <f>Annual_Days*O134*T_2!M30*I91_AADT_2014</f>
        <v>0</v>
      </c>
      <c r="Y134" s="87">
        <f>Annual_Days*P134*T_2!N30*I91_AADT_2014</f>
        <v>0</v>
      </c>
      <c r="Z134" s="87">
        <f>Annual_Days*Q134*T_2!O30*I91_AADT_2014</f>
        <v>0</v>
      </c>
      <c r="AA134" s="87">
        <f>Annual_Days*R134*T_2!P30*I91_AADT_2014</f>
        <v>0</v>
      </c>
      <c r="AB134" s="44">
        <f t="shared" si="86"/>
        <v>164756.09046097891</v>
      </c>
      <c r="AD134" s="52">
        <v>23</v>
      </c>
      <c r="AE134" s="87">
        <f>Annual_Days*T_2!B30*L134*I91_AADT_2014</f>
        <v>0</v>
      </c>
      <c r="AF134" s="87">
        <f>Annual_Days*T_2!C30*M134*I91_AADT_2014</f>
        <v>25530.810850612947</v>
      </c>
      <c r="AG134" s="87">
        <f>Annual_Days*T_2!D30*N134*I91_AADT_2014</f>
        <v>17312.732240924339</v>
      </c>
      <c r="AH134" s="87">
        <f>Annual_Days*T_2!E30*O134*I91_AADT_2014</f>
        <v>0</v>
      </c>
      <c r="AI134" s="87">
        <f>Annual_Days*T_2!F30*P134*I91_AADT_2014</f>
        <v>0</v>
      </c>
      <c r="AJ134" s="87">
        <f>Annual_Days*T_2!G30*Q134*I91_AADT_2014</f>
        <v>0</v>
      </c>
      <c r="AK134" s="87">
        <f>Annual_Days*T_2!H30*R134*I91_AADT_2014</f>
        <v>0</v>
      </c>
      <c r="AL134" s="44">
        <f t="shared" si="87"/>
        <v>42843.543091537285</v>
      </c>
    </row>
    <row r="135" spans="1:38" x14ac:dyDescent="0.25">
      <c r="A135" s="210"/>
      <c r="B135" s="15" t="s">
        <v>12</v>
      </c>
      <c r="C135" s="12">
        <v>2185.5576475159482</v>
      </c>
      <c r="D135" s="12">
        <v>2219.7200101465032</v>
      </c>
      <c r="E135" s="12">
        <v>2247.5228826410266</v>
      </c>
      <c r="F135" s="12">
        <v>2268.0396581317541</v>
      </c>
      <c r="G135" s="12">
        <v>2596.8674019297814</v>
      </c>
      <c r="H135" s="12">
        <v>2344.1295170192143</v>
      </c>
      <c r="I135" s="12">
        <v>2270.7174131675401</v>
      </c>
      <c r="K135" s="15" t="s">
        <v>12</v>
      </c>
      <c r="L135" s="12">
        <f t="shared" ref="L135:R135" si="88">SUM(L111:L134)</f>
        <v>208.48796780463692</v>
      </c>
      <c r="M135" s="12">
        <f t="shared" si="88"/>
        <v>150.53658008738947</v>
      </c>
      <c r="N135" s="12">
        <f t="shared" si="88"/>
        <v>183.17570529134059</v>
      </c>
      <c r="O135" s="12">
        <f t="shared" si="88"/>
        <v>289.36442496927134</v>
      </c>
      <c r="P135" s="12">
        <f t="shared" si="88"/>
        <v>507.29620960437296</v>
      </c>
      <c r="Q135" s="12">
        <f t="shared" si="88"/>
        <v>444.55945613734792</v>
      </c>
      <c r="R135" s="12">
        <f t="shared" si="88"/>
        <v>621.30679209733</v>
      </c>
      <c r="T135" s="53" t="s">
        <v>97</v>
      </c>
      <c r="U135" s="44">
        <f t="shared" ref="U135:AB135" si="89">SUM(U111:U134)</f>
        <v>36462745.972214475</v>
      </c>
      <c r="V135" s="44">
        <f t="shared" si="89"/>
        <v>24927815.609520044</v>
      </c>
      <c r="W135" s="44">
        <f t="shared" si="89"/>
        <v>30848694.616344776</v>
      </c>
      <c r="X135" s="44">
        <f t="shared" si="89"/>
        <v>47817412.000523314</v>
      </c>
      <c r="Y135" s="44">
        <f t="shared" si="89"/>
        <v>86462594.747686744</v>
      </c>
      <c r="Z135" s="44">
        <f t="shared" si="89"/>
        <v>65261832.553598881</v>
      </c>
      <c r="AA135" s="44">
        <f t="shared" si="89"/>
        <v>95139620.07225199</v>
      </c>
      <c r="AB135" s="44">
        <f t="shared" si="89"/>
        <v>386920715.57214016</v>
      </c>
      <c r="AD135" s="53" t="s">
        <v>97</v>
      </c>
      <c r="AE135" s="44">
        <f t="shared" ref="AE135:AL135" si="90">SUM(AE111:AE134)</f>
        <v>5127185.9781243186</v>
      </c>
      <c r="AF135" s="44">
        <f t="shared" si="90"/>
        <v>3732034.898756701</v>
      </c>
      <c r="AG135" s="44">
        <f t="shared" si="90"/>
        <v>5122272.8118347004</v>
      </c>
      <c r="AH135" s="44">
        <f t="shared" si="90"/>
        <v>7539857.1434733393</v>
      </c>
      <c r="AI135" s="44">
        <f t="shared" si="90"/>
        <v>11716703.843363514</v>
      </c>
      <c r="AJ135" s="44">
        <f t="shared" si="90"/>
        <v>5127652.1268798085</v>
      </c>
      <c r="AK135" s="44">
        <f t="shared" si="90"/>
        <v>7020126.9023235757</v>
      </c>
      <c r="AL135" s="44">
        <f t="shared" si="90"/>
        <v>45385833.704755954</v>
      </c>
    </row>
    <row r="136" spans="1:38" x14ac:dyDescent="0.25">
      <c r="U136" s="44"/>
      <c r="V136" s="44"/>
      <c r="W136" s="44"/>
      <c r="X136" s="44"/>
      <c r="Y136" s="44"/>
      <c r="Z136" s="50" t="s">
        <v>102</v>
      </c>
      <c r="AA136" s="49">
        <f>SUM(U111:AA134)</f>
        <v>386920715.57214004</v>
      </c>
      <c r="AB136" s="44"/>
      <c r="AE136" s="44"/>
      <c r="AF136" s="44"/>
      <c r="AG136" s="44"/>
      <c r="AH136" s="44"/>
      <c r="AI136" s="44"/>
      <c r="AJ136" s="50" t="s">
        <v>102</v>
      </c>
      <c r="AK136" s="49">
        <f>SUM(AE111:AK134)</f>
        <v>45385833.70475594</v>
      </c>
      <c r="AL136" s="44"/>
    </row>
    <row r="137" spans="1:38" x14ac:dyDescent="0.25">
      <c r="J137" s="11"/>
    </row>
    <row r="139" spans="1:38" x14ac:dyDescent="0.25">
      <c r="K139" s="201" t="s">
        <v>100</v>
      </c>
      <c r="L139" s="201"/>
      <c r="M139" s="201"/>
      <c r="N139" s="201"/>
      <c r="O139" s="201"/>
      <c r="P139" s="201"/>
      <c r="Q139" s="201"/>
      <c r="R139" s="201"/>
      <c r="T139" s="201" t="s">
        <v>98</v>
      </c>
      <c r="U139" s="201"/>
      <c r="V139" s="201"/>
      <c r="W139" s="201"/>
      <c r="X139" s="201"/>
      <c r="Y139" s="201"/>
      <c r="Z139" s="201"/>
      <c r="AA139" s="201"/>
      <c r="AB139" s="201"/>
      <c r="AD139" s="201" t="s">
        <v>99</v>
      </c>
      <c r="AE139" s="201"/>
      <c r="AF139" s="201"/>
      <c r="AG139" s="201"/>
      <c r="AH139" s="201"/>
      <c r="AI139" s="201"/>
      <c r="AJ139" s="201"/>
      <c r="AK139" s="201"/>
      <c r="AL139" s="201"/>
    </row>
    <row r="140" spans="1:38" x14ac:dyDescent="0.25">
      <c r="A140" s="210">
        <v>5635</v>
      </c>
      <c r="B140" s="201" t="s">
        <v>73</v>
      </c>
      <c r="C140" s="201"/>
      <c r="D140" s="201"/>
      <c r="E140" s="201"/>
      <c r="F140" s="201"/>
      <c r="G140" s="201"/>
      <c r="H140" s="201"/>
      <c r="I140" s="201"/>
      <c r="K140" s="201" t="s">
        <v>101</v>
      </c>
      <c r="L140" s="201"/>
      <c r="M140" s="201"/>
      <c r="N140" s="201"/>
      <c r="O140" s="201"/>
      <c r="P140" s="201"/>
      <c r="Q140" s="201"/>
      <c r="R140" s="201"/>
      <c r="T140" s="201" t="s">
        <v>103</v>
      </c>
      <c r="U140" s="201"/>
      <c r="V140" s="201"/>
      <c r="W140" s="201"/>
      <c r="X140" s="201"/>
      <c r="Y140" s="201"/>
      <c r="Z140" s="201"/>
      <c r="AA140" s="201"/>
      <c r="AB140" s="201"/>
      <c r="AD140" s="201" t="s">
        <v>104</v>
      </c>
      <c r="AE140" s="201"/>
      <c r="AF140" s="201"/>
      <c r="AG140" s="201"/>
      <c r="AH140" s="201"/>
      <c r="AI140" s="201"/>
      <c r="AJ140" s="201"/>
      <c r="AK140" s="201"/>
      <c r="AL140" s="201"/>
    </row>
    <row r="141" spans="1:38" x14ac:dyDescent="0.25">
      <c r="A141" s="210"/>
      <c r="B141" s="51" t="s">
        <v>48</v>
      </c>
      <c r="C141" s="51" t="s">
        <v>7</v>
      </c>
      <c r="D141" s="51" t="s">
        <v>8</v>
      </c>
      <c r="E141" s="51" t="s">
        <v>2</v>
      </c>
      <c r="F141" s="51" t="s">
        <v>3</v>
      </c>
      <c r="G141" s="51" t="s">
        <v>4</v>
      </c>
      <c r="H141" s="51" t="s">
        <v>5</v>
      </c>
      <c r="I141" s="51" t="s">
        <v>6</v>
      </c>
      <c r="K141" s="51" t="s">
        <v>13</v>
      </c>
      <c r="L141" s="51" t="s">
        <v>7</v>
      </c>
      <c r="M141" s="51" t="s">
        <v>8</v>
      </c>
      <c r="N141" s="51" t="s">
        <v>2</v>
      </c>
      <c r="O141" s="51" t="s">
        <v>3</v>
      </c>
      <c r="P141" s="51" t="s">
        <v>4</v>
      </c>
      <c r="Q141" s="51" t="s">
        <v>5</v>
      </c>
      <c r="R141" s="51" t="s">
        <v>6</v>
      </c>
      <c r="T141" s="16" t="s">
        <v>48</v>
      </c>
      <c r="U141" s="16" t="s">
        <v>7</v>
      </c>
      <c r="V141" s="16" t="s">
        <v>8</v>
      </c>
      <c r="W141" s="16" t="s">
        <v>2</v>
      </c>
      <c r="X141" s="16" t="s">
        <v>3</v>
      </c>
      <c r="Y141" s="16" t="s">
        <v>4</v>
      </c>
      <c r="Z141" s="16" t="s">
        <v>5</v>
      </c>
      <c r="AA141" s="16" t="s">
        <v>6</v>
      </c>
      <c r="AB141" s="16" t="s">
        <v>30</v>
      </c>
      <c r="AD141" s="16" t="s">
        <v>48</v>
      </c>
      <c r="AE141" s="16" t="s">
        <v>7</v>
      </c>
      <c r="AF141" s="16" t="s">
        <v>8</v>
      </c>
      <c r="AG141" s="16" t="s">
        <v>2</v>
      </c>
      <c r="AH141" s="16" t="s">
        <v>3</v>
      </c>
      <c r="AI141" s="16" t="s">
        <v>4</v>
      </c>
      <c r="AJ141" s="16" t="s">
        <v>5</v>
      </c>
      <c r="AK141" s="16" t="s">
        <v>6</v>
      </c>
      <c r="AL141" s="16" t="s">
        <v>30</v>
      </c>
    </row>
    <row r="142" spans="1:38" x14ac:dyDescent="0.25">
      <c r="A142" s="210"/>
      <c r="B142" s="52">
        <v>0</v>
      </c>
      <c r="C142" s="86">
        <v>22.725317022558748</v>
      </c>
      <c r="D142" s="86">
        <v>23.664792149967688</v>
      </c>
      <c r="E142" s="86">
        <v>23.218378974673634</v>
      </c>
      <c r="F142" s="86">
        <v>23.319981332068803</v>
      </c>
      <c r="G142" s="86">
        <v>23.990429819553235</v>
      </c>
      <c r="H142" s="86">
        <v>22.803686571658908</v>
      </c>
      <c r="I142" s="86">
        <v>22.754209073290117</v>
      </c>
      <c r="K142" s="52">
        <v>0</v>
      </c>
      <c r="L142" s="85">
        <f t="shared" ref="L142:L165" si="91">IF(C142-$F$7&gt;0,C142-$F$7,0)</f>
        <v>0</v>
      </c>
      <c r="M142" s="85">
        <f t="shared" ref="M142:M165" si="92">IF(D142-$F$7&gt;0,D142-$F$7,0)</f>
        <v>0.38915578633132597</v>
      </c>
      <c r="N142" s="85">
        <f t="shared" ref="N142:N165" si="93">IF(E142-$F$7&gt;0,E142-$F$7,0)</f>
        <v>0</v>
      </c>
      <c r="O142" s="85">
        <f t="shared" ref="O142:O165" si="94">IF(F142-$F$7&gt;0,F142-$F$7,0)</f>
        <v>4.4344968432440623E-2</v>
      </c>
      <c r="P142" s="85">
        <f t="shared" ref="P142:P165" si="95">IF(G142-$F$7&gt;0,G142-$F$7,0)</f>
        <v>0.71479345591687249</v>
      </c>
      <c r="Q142" s="85">
        <f t="shared" ref="Q142:Q165" si="96">IF(H142-$F$7&gt;0,H142-$F$7,0)</f>
        <v>0</v>
      </c>
      <c r="R142" s="85">
        <f t="shared" ref="R142:R165" si="97">IF(I142-$F$7&gt;0,I142-$F$7,0)</f>
        <v>0</v>
      </c>
      <c r="T142" s="52">
        <v>0</v>
      </c>
      <c r="U142" s="87">
        <f>Annual_Days*L142*T_2!J47*I91_AADT_2014</f>
        <v>0</v>
      </c>
      <c r="V142" s="87">
        <f>Annual_Days*M142*T_2!K47*I91_AADT_2014</f>
        <v>7567.4368901321959</v>
      </c>
      <c r="W142" s="87">
        <f>Annual_Days*N142*T_2!L47*I91_AADT_2014</f>
        <v>0</v>
      </c>
      <c r="X142" s="87">
        <f>Annual_Days*O142*T_2!M47*I91_AADT_2014</f>
        <v>875.0555366944277</v>
      </c>
      <c r="Y142" s="87">
        <f>Annual_Days*P142*T_2!N47*I91_AADT_2014</f>
        <v>15994.608752955517</v>
      </c>
      <c r="Z142" s="87">
        <f>Annual_Days*Q142*T_2!O47*I91_AADT_2014</f>
        <v>0</v>
      </c>
      <c r="AA142" s="87">
        <f>Annual_Days*R142*T_2!P47*I91_AADT_2014</f>
        <v>0</v>
      </c>
      <c r="AB142" s="44">
        <f t="shared" ref="AB142:AB165" si="98">SUM(U142:AA142)</f>
        <v>24437.101179782141</v>
      </c>
      <c r="AD142" s="52">
        <v>0</v>
      </c>
      <c r="AE142" s="87">
        <f>Annual_Days*T_2!B47*L142*I91_AADT_2014</f>
        <v>0</v>
      </c>
      <c r="AF142" s="87">
        <f>Annual_Days*T_2!C47*M142*I91_AADT_2014</f>
        <v>1782.7734354018187</v>
      </c>
      <c r="AG142" s="87">
        <f>Annual_Days*T_2!D47*N142*I91_AADT_2014</f>
        <v>0</v>
      </c>
      <c r="AH142" s="87">
        <f>Annual_Days*T_2!E47*O142*I91_AADT_2014</f>
        <v>242.55925403108699</v>
      </c>
      <c r="AI142" s="87">
        <f>Annual_Days*T_2!F47*P142*I91_AADT_2014</f>
        <v>2938.2361383191765</v>
      </c>
      <c r="AJ142" s="87">
        <f>Annual_Days*T_2!G47*Q142*I91_AADT_2014</f>
        <v>0</v>
      </c>
      <c r="AK142" s="87">
        <f>Annual_Days*T_2!H47*R142*I91_AADT_2014</f>
        <v>0</v>
      </c>
      <c r="AL142" s="44">
        <f t="shared" ref="AL142:AL165" si="99">SUM(AE142:AK142)</f>
        <v>4963.5688277520821</v>
      </c>
    </row>
    <row r="143" spans="1:38" x14ac:dyDescent="0.25">
      <c r="A143" s="210"/>
      <c r="B143" s="52">
        <v>1</v>
      </c>
      <c r="C143" s="86">
        <v>24.171594959637996</v>
      </c>
      <c r="D143" s="86">
        <v>25.36475589681363</v>
      </c>
      <c r="E143" s="86">
        <v>23.624314110239112</v>
      </c>
      <c r="F143" s="86">
        <v>23.679545892777774</v>
      </c>
      <c r="G143" s="86">
        <v>23.454276215780432</v>
      </c>
      <c r="H143" s="86">
        <v>37.108391007134159</v>
      </c>
      <c r="I143" s="86">
        <v>22.627328038203462</v>
      </c>
      <c r="K143" s="52">
        <v>1</v>
      </c>
      <c r="L143" s="85">
        <f t="shared" si="91"/>
        <v>0.89595859600163408</v>
      </c>
      <c r="M143" s="85">
        <f t="shared" si="92"/>
        <v>2.0891195331772678</v>
      </c>
      <c r="N143" s="85">
        <f t="shared" si="93"/>
        <v>0.34867774660274975</v>
      </c>
      <c r="O143" s="85">
        <f t="shared" si="94"/>
        <v>0.40390952914141209</v>
      </c>
      <c r="P143" s="85">
        <f t="shared" si="95"/>
        <v>0.17863985214406952</v>
      </c>
      <c r="Q143" s="85">
        <f t="shared" si="96"/>
        <v>13.832754643497797</v>
      </c>
      <c r="R143" s="85">
        <f t="shared" si="97"/>
        <v>0</v>
      </c>
      <c r="T143" s="52">
        <v>1</v>
      </c>
      <c r="U143" s="87">
        <f>Annual_Days*L143*T_2!J48*I91_AADT_2014</f>
        <v>12034.524013582492</v>
      </c>
      <c r="V143" s="87">
        <f>Annual_Days*M143*T_2!K48*I91_AADT_2014</f>
        <v>22556.301395438692</v>
      </c>
      <c r="W143" s="87">
        <f>Annual_Days*N143*T_2!L48*I91_AADT_2014</f>
        <v>3872.1491889680201</v>
      </c>
      <c r="X143" s="87">
        <f>Annual_Days*O143*T_2!M48*I91_AADT_2014</f>
        <v>4758.8367348903894</v>
      </c>
      <c r="Y143" s="87">
        <f>Annual_Days*P143*T_2!N48*I91_AADT_2014</f>
        <v>2383.8576031612588</v>
      </c>
      <c r="Z143" s="87">
        <f>Annual_Days*Q143*T_2!O48*I91_AADT_2014</f>
        <v>140031.51302021954</v>
      </c>
      <c r="AA143" s="87">
        <f>Annual_Days*R143*T_2!P48*I91_AADT_2014</f>
        <v>0</v>
      </c>
      <c r="AB143" s="44">
        <f t="shared" si="98"/>
        <v>185637.18195626041</v>
      </c>
      <c r="AD143" s="52">
        <v>1</v>
      </c>
      <c r="AE143" s="87">
        <f>Annual_Days*T_2!B48*L143*I91_AADT_2014</f>
        <v>2943.8659524419013</v>
      </c>
      <c r="AF143" s="87">
        <f>Annual_Days*T_2!C48*M143*I91_AADT_2014</f>
        <v>10753.585548988214</v>
      </c>
      <c r="AG143" s="87">
        <f>Annual_Days*T_2!D48*N143*I91_AADT_2014</f>
        <v>1726.1387950821293</v>
      </c>
      <c r="AH143" s="87">
        <f>Annual_Days*T_2!E48*O143*I91_AADT_2014</f>
        <v>1996.4512951123272</v>
      </c>
      <c r="AI143" s="87">
        <f>Annual_Days*T_2!F48*P143*I91_AADT_2014</f>
        <v>756.11342479123653</v>
      </c>
      <c r="AJ143" s="87">
        <f>Annual_Days*T_2!G48*Q143*I91_AADT_2014</f>
        <v>32261.016355242573</v>
      </c>
      <c r="AK143" s="87">
        <f>Annual_Days*T_2!H48*R143*I91_AADT_2014</f>
        <v>0</v>
      </c>
      <c r="AL143" s="44">
        <f t="shared" si="99"/>
        <v>50437.171371658384</v>
      </c>
    </row>
    <row r="144" spans="1:38" x14ac:dyDescent="0.25">
      <c r="A144" s="210"/>
      <c r="B144" s="52">
        <v>2</v>
      </c>
      <c r="C144" s="86">
        <v>23.41164054526206</v>
      </c>
      <c r="D144" s="86">
        <v>34.340014904498943</v>
      </c>
      <c r="E144" s="86">
        <v>23.420617833787045</v>
      </c>
      <c r="F144" s="86">
        <v>23.803339079540908</v>
      </c>
      <c r="G144" s="86">
        <v>24.078634562917095</v>
      </c>
      <c r="H144" s="86">
        <v>23.311864350991165</v>
      </c>
      <c r="I144" s="86">
        <v>23.000440415849674</v>
      </c>
      <c r="K144" s="52">
        <v>2</v>
      </c>
      <c r="L144" s="85">
        <f t="shared" si="91"/>
        <v>0.13600418162569738</v>
      </c>
      <c r="M144" s="85">
        <f t="shared" si="92"/>
        <v>11.064378540862581</v>
      </c>
      <c r="N144" s="85">
        <f t="shared" si="93"/>
        <v>0.14498147015068241</v>
      </c>
      <c r="O144" s="85">
        <f t="shared" si="94"/>
        <v>0.52770271590454598</v>
      </c>
      <c r="P144" s="85">
        <f t="shared" si="95"/>
        <v>0.8029981992807329</v>
      </c>
      <c r="Q144" s="85">
        <f t="shared" si="96"/>
        <v>3.6227987354802593E-2</v>
      </c>
      <c r="R144" s="85">
        <f t="shared" si="97"/>
        <v>0</v>
      </c>
      <c r="T144" s="52">
        <v>2</v>
      </c>
      <c r="U144" s="87">
        <f>Annual_Days*L144*T_2!J49*I91_AADT_2014</f>
        <v>989.50237077419797</v>
      </c>
      <c r="V144" s="87">
        <f>Annual_Days*M144*T_2!K49*I91_AADT_2014</f>
        <v>58154.103787061322</v>
      </c>
      <c r="W144" s="87">
        <f>Annual_Days*N144*T_2!L49*I91_AADT_2014</f>
        <v>698.47104755523787</v>
      </c>
      <c r="X144" s="87">
        <f>Annual_Days*O144*T_2!M49*I91_AADT_2014</f>
        <v>2780.7903145078458</v>
      </c>
      <c r="Y144" s="87">
        <f>Annual_Days*P144*T_2!N49*I91_AADT_2014</f>
        <v>4746.3981705224842</v>
      </c>
      <c r="Z144" s="87">
        <f>Annual_Days*Q144*T_2!O49*I91_AADT_2014</f>
        <v>207.30219274766998</v>
      </c>
      <c r="AA144" s="87">
        <f>Annual_Days*R144*T_2!P49*I91_AADT_2014</f>
        <v>0</v>
      </c>
      <c r="AB144" s="44">
        <f t="shared" si="98"/>
        <v>67576.567883168755</v>
      </c>
      <c r="AD144" s="52">
        <v>2</v>
      </c>
      <c r="AE144" s="87">
        <f>Annual_Days*T_2!B49*L144*I91_AADT_2014</f>
        <v>424.99937892268838</v>
      </c>
      <c r="AF144" s="87">
        <f>Annual_Days*T_2!C49*M144*I91_AADT_2014</f>
        <v>51597.51365420637</v>
      </c>
      <c r="AG144" s="87">
        <f>Annual_Days*T_2!D49*N144*I91_AADT_2014</f>
        <v>749.69225770928881</v>
      </c>
      <c r="AH144" s="87">
        <f>Annual_Days*T_2!E49*O144*I91_AADT_2014</f>
        <v>2709.8517860765237</v>
      </c>
      <c r="AI144" s="87">
        <f>Annual_Days*T_2!F49*P144*I91_AADT_2014</f>
        <v>4034.4384449441113</v>
      </c>
      <c r="AJ144" s="87">
        <f>Annual_Days*T_2!G49*Q144*I91_AADT_2014</f>
        <v>73.419526598133132</v>
      </c>
      <c r="AK144" s="87">
        <f>Annual_Days*T_2!H49*R144*I91_AADT_2014</f>
        <v>0</v>
      </c>
      <c r="AL144" s="44">
        <f t="shared" si="99"/>
        <v>59589.915048457115</v>
      </c>
    </row>
    <row r="145" spans="1:38" x14ac:dyDescent="0.25">
      <c r="A145" s="210"/>
      <c r="B145" s="52">
        <v>3</v>
      </c>
      <c r="C145" s="86">
        <v>22.92237440438948</v>
      </c>
      <c r="D145" s="86">
        <v>23.434607815526089</v>
      </c>
      <c r="E145" s="86">
        <v>23.586435192887524</v>
      </c>
      <c r="F145" s="86">
        <v>23.357594562044802</v>
      </c>
      <c r="G145" s="86">
        <v>24.255854153567199</v>
      </c>
      <c r="H145" s="86">
        <v>22.767993328030308</v>
      </c>
      <c r="I145" s="86">
        <v>23.585247811256568</v>
      </c>
      <c r="K145" s="52">
        <v>3</v>
      </c>
      <c r="L145" s="85">
        <f t="shared" si="91"/>
        <v>0</v>
      </c>
      <c r="M145" s="85">
        <f t="shared" si="92"/>
        <v>0.15897145188972672</v>
      </c>
      <c r="N145" s="85">
        <f t="shared" si="93"/>
        <v>0.31079882925116209</v>
      </c>
      <c r="O145" s="85">
        <f t="shared" si="94"/>
        <v>8.1958198408440097E-2</v>
      </c>
      <c r="P145" s="85">
        <f t="shared" si="95"/>
        <v>0.98021778993083686</v>
      </c>
      <c r="Q145" s="85">
        <f t="shared" si="96"/>
        <v>0</v>
      </c>
      <c r="R145" s="85">
        <f t="shared" si="97"/>
        <v>0.30961144762020609</v>
      </c>
      <c r="T145" s="52">
        <v>3</v>
      </c>
      <c r="U145" s="87">
        <f>Annual_Days*L145*T_2!J50*I91_AADT_2014</f>
        <v>0</v>
      </c>
      <c r="V145" s="87">
        <f>Annual_Days*M145*T_2!K50*I91_AADT_2014</f>
        <v>1052.5699004153983</v>
      </c>
      <c r="W145" s="87">
        <f>Annual_Days*N145*T_2!L50*I91_AADT_2014</f>
        <v>1696.7562455368138</v>
      </c>
      <c r="X145" s="87">
        <f>Annual_Days*O145*T_2!M50*I91_AADT_2014</f>
        <v>464.65451238675638</v>
      </c>
      <c r="Y145" s="87">
        <f>Annual_Days*P145*T_2!N50*I91_AADT_2014</f>
        <v>6913.5734892955288</v>
      </c>
      <c r="Z145" s="87">
        <f>Annual_Days*Q145*T_2!O50*I91_AADT_2014</f>
        <v>0</v>
      </c>
      <c r="AA145" s="87">
        <f>Annual_Days*R145*T_2!P50*I91_AADT_2014</f>
        <v>2686.2647972050527</v>
      </c>
      <c r="AB145" s="44">
        <f t="shared" si="98"/>
        <v>12813.81894483955</v>
      </c>
      <c r="AD145" s="52">
        <v>3</v>
      </c>
      <c r="AE145" s="87">
        <f>Annual_Days*T_2!B50*L145*I91_AADT_2014</f>
        <v>0</v>
      </c>
      <c r="AF145" s="87">
        <f>Annual_Days*T_2!C50*M145*I91_AADT_2014</f>
        <v>1120.0423299292056</v>
      </c>
      <c r="AG145" s="87">
        <f>Annual_Days*T_2!D50*N145*I91_AADT_2014</f>
        <v>2580.4834567539046</v>
      </c>
      <c r="AH145" s="87">
        <f>Annual_Days*T_2!E50*O145*I91_AADT_2014</f>
        <v>710.25761179118467</v>
      </c>
      <c r="AI145" s="87">
        <f>Annual_Days*T_2!F50*P145*I91_AADT_2014</f>
        <v>7854.4740233416669</v>
      </c>
      <c r="AJ145" s="87">
        <f>Annual_Days*T_2!G50*Q145*I91_AADT_2014</f>
        <v>0</v>
      </c>
      <c r="AK145" s="87">
        <f>Annual_Days*T_2!H50*R145*I91_AADT_2014</f>
        <v>503.11313927586286</v>
      </c>
      <c r="AL145" s="44">
        <f t="shared" si="99"/>
        <v>12768.370561091824</v>
      </c>
    </row>
    <row r="146" spans="1:38" x14ac:dyDescent="0.25">
      <c r="A146" s="210"/>
      <c r="B146" s="52">
        <v>4</v>
      </c>
      <c r="C146" s="86">
        <v>24.417623124404667</v>
      </c>
      <c r="D146" s="86">
        <v>23.003277989342607</v>
      </c>
      <c r="E146" s="86">
        <v>23.195615666838208</v>
      </c>
      <c r="F146" s="86">
        <v>23.433336732478647</v>
      </c>
      <c r="G146" s="86">
        <v>23.244162983759175</v>
      </c>
      <c r="H146" s="86">
        <v>22.842486362395459</v>
      </c>
      <c r="I146" s="86">
        <v>23.222876276242054</v>
      </c>
      <c r="K146" s="52">
        <v>4</v>
      </c>
      <c r="L146" s="85">
        <f t="shared" si="91"/>
        <v>1.1419867607683045</v>
      </c>
      <c r="M146" s="85">
        <f t="shared" si="92"/>
        <v>0</v>
      </c>
      <c r="N146" s="85">
        <f t="shared" si="93"/>
        <v>0</v>
      </c>
      <c r="O146" s="85">
        <f t="shared" si="94"/>
        <v>0.15770036884228489</v>
      </c>
      <c r="P146" s="85">
        <f t="shared" si="95"/>
        <v>0</v>
      </c>
      <c r="Q146" s="85">
        <f t="shared" si="96"/>
        <v>0</v>
      </c>
      <c r="R146" s="85">
        <f t="shared" si="97"/>
        <v>0</v>
      </c>
      <c r="T146" s="52">
        <v>4</v>
      </c>
      <c r="U146" s="87">
        <f>Annual_Days*L146*T_2!J51*I91_AADT_2014</f>
        <v>14062.72117397874</v>
      </c>
      <c r="V146" s="87">
        <f>Annual_Days*M146*T_2!K51*I91_AADT_2014</f>
        <v>0</v>
      </c>
      <c r="W146" s="87">
        <f>Annual_Days*N146*T_2!L51*I91_AADT_2014</f>
        <v>0</v>
      </c>
      <c r="X146" s="87">
        <f>Annual_Days*O146*T_2!M51*I91_AADT_2014</f>
        <v>1559.3385718040279</v>
      </c>
      <c r="Y146" s="87">
        <f>Annual_Days*P146*T_2!N51*I91_AADT_2014</f>
        <v>0</v>
      </c>
      <c r="Z146" s="87">
        <f>Annual_Days*Q146*T_2!O51*I91_AADT_2014</f>
        <v>0</v>
      </c>
      <c r="AA146" s="87">
        <f>Annual_Days*R146*T_2!P51*I91_AADT_2014</f>
        <v>0</v>
      </c>
      <c r="AB146" s="44">
        <f t="shared" si="98"/>
        <v>15622.059745782768</v>
      </c>
      <c r="AD146" s="52">
        <v>4</v>
      </c>
      <c r="AE146" s="87">
        <f>Annual_Days*T_2!B51*L146*I91_AADT_2014</f>
        <v>11363.180948616751</v>
      </c>
      <c r="AF146" s="87">
        <f>Annual_Days*T_2!C51*M146*I91_AADT_2014</f>
        <v>0</v>
      </c>
      <c r="AG146" s="87">
        <f>Annual_Days*T_2!D51*N146*I91_AADT_2014</f>
        <v>0</v>
      </c>
      <c r="AH146" s="87">
        <f>Annual_Days*T_2!E51*O146*I91_AADT_2014</f>
        <v>1953.2767373124136</v>
      </c>
      <c r="AI146" s="87">
        <f>Annual_Days*T_2!F51*P146*I91_AADT_2014</f>
        <v>0</v>
      </c>
      <c r="AJ146" s="87">
        <f>Annual_Days*T_2!G51*Q146*I91_AADT_2014</f>
        <v>0</v>
      </c>
      <c r="AK146" s="87">
        <f>Annual_Days*T_2!H51*R146*I91_AADT_2014</f>
        <v>0</v>
      </c>
      <c r="AL146" s="44">
        <f t="shared" si="99"/>
        <v>13316.457685929165</v>
      </c>
    </row>
    <row r="147" spans="1:38" x14ac:dyDescent="0.25">
      <c r="A147" s="210"/>
      <c r="B147" s="52">
        <v>5</v>
      </c>
      <c r="C147" s="86">
        <v>22.109849720622165</v>
      </c>
      <c r="D147" s="86">
        <v>22.35157256533865</v>
      </c>
      <c r="E147" s="86">
        <v>22.653914860629744</v>
      </c>
      <c r="F147" s="86">
        <v>22.456916690342073</v>
      </c>
      <c r="G147" s="86">
        <v>22.866804244203848</v>
      </c>
      <c r="H147" s="86">
        <v>22.11964647035974</v>
      </c>
      <c r="I147" s="86">
        <v>21.870020612515265</v>
      </c>
      <c r="K147" s="52">
        <v>5</v>
      </c>
      <c r="L147" s="85">
        <f t="shared" si="91"/>
        <v>0</v>
      </c>
      <c r="M147" s="85">
        <f t="shared" si="92"/>
        <v>0</v>
      </c>
      <c r="N147" s="85">
        <f t="shared" si="93"/>
        <v>0</v>
      </c>
      <c r="O147" s="85">
        <f t="shared" si="94"/>
        <v>0</v>
      </c>
      <c r="P147" s="85">
        <f t="shared" si="95"/>
        <v>0</v>
      </c>
      <c r="Q147" s="85">
        <f t="shared" si="96"/>
        <v>0</v>
      </c>
      <c r="R147" s="85">
        <f t="shared" si="97"/>
        <v>0</v>
      </c>
      <c r="T147" s="52">
        <v>5</v>
      </c>
      <c r="U147" s="87">
        <f>Annual_Days*L147*T_2!J52*I91_AADT_2014</f>
        <v>0</v>
      </c>
      <c r="V147" s="87">
        <f>Annual_Days*M147*T_2!K52*I91_AADT_2014</f>
        <v>0</v>
      </c>
      <c r="W147" s="87">
        <f>Annual_Days*N147*T_2!L52*I91_AADT_2014</f>
        <v>0</v>
      </c>
      <c r="X147" s="87">
        <f>Annual_Days*O147*T_2!M52*I91_AADT_2014</f>
        <v>0</v>
      </c>
      <c r="Y147" s="87">
        <f>Annual_Days*P147*T_2!N52*I91_AADT_2014</f>
        <v>0</v>
      </c>
      <c r="Z147" s="87">
        <f>Annual_Days*Q147*T_2!O52*I91_AADT_2014</f>
        <v>0</v>
      </c>
      <c r="AA147" s="87">
        <f>Annual_Days*R147*T_2!P52*I91_AADT_2014</f>
        <v>0</v>
      </c>
      <c r="AB147" s="44">
        <f t="shared" si="98"/>
        <v>0</v>
      </c>
      <c r="AD147" s="52">
        <v>5</v>
      </c>
      <c r="AE147" s="87">
        <f>Annual_Days*T_2!B52*L147*I91_AADT_2014</f>
        <v>0</v>
      </c>
      <c r="AF147" s="87">
        <f>Annual_Days*T_2!C52*M147*I91_AADT_2014</f>
        <v>0</v>
      </c>
      <c r="AG147" s="87">
        <f>Annual_Days*T_2!D52*N147*I91_AADT_2014</f>
        <v>0</v>
      </c>
      <c r="AH147" s="87">
        <f>Annual_Days*T_2!E52*O147*I91_AADT_2014</f>
        <v>0</v>
      </c>
      <c r="AI147" s="87">
        <f>Annual_Days*T_2!F52*P147*I91_AADT_2014</f>
        <v>0</v>
      </c>
      <c r="AJ147" s="87">
        <f>Annual_Days*T_2!G52*Q147*I91_AADT_2014</f>
        <v>0</v>
      </c>
      <c r="AK147" s="87">
        <f>Annual_Days*T_2!H52*R147*I91_AADT_2014</f>
        <v>0</v>
      </c>
      <c r="AL147" s="44">
        <f t="shared" si="99"/>
        <v>0</v>
      </c>
    </row>
    <row r="148" spans="1:38" x14ac:dyDescent="0.25">
      <c r="A148" s="210"/>
      <c r="B148" s="52">
        <v>6</v>
      </c>
      <c r="C148" s="86">
        <v>22.284878160930116</v>
      </c>
      <c r="D148" s="86">
        <v>22.596858013894487</v>
      </c>
      <c r="E148" s="86">
        <v>23.215964737383427</v>
      </c>
      <c r="F148" s="86">
        <v>22.966492956936126</v>
      </c>
      <c r="G148" s="86">
        <v>22.8091611511034</v>
      </c>
      <c r="H148" s="86">
        <v>21.45466559865206</v>
      </c>
      <c r="I148" s="86">
        <v>38.624561031544459</v>
      </c>
      <c r="K148" s="52">
        <v>6</v>
      </c>
      <c r="L148" s="85">
        <f t="shared" si="91"/>
        <v>0</v>
      </c>
      <c r="M148" s="85">
        <f t="shared" si="92"/>
        <v>0</v>
      </c>
      <c r="N148" s="85">
        <f t="shared" si="93"/>
        <v>0</v>
      </c>
      <c r="O148" s="85">
        <f t="shared" si="94"/>
        <v>0</v>
      </c>
      <c r="P148" s="85">
        <f t="shared" si="95"/>
        <v>0</v>
      </c>
      <c r="Q148" s="85">
        <f t="shared" si="96"/>
        <v>0</v>
      </c>
      <c r="R148" s="85">
        <f t="shared" si="97"/>
        <v>15.348924667908097</v>
      </c>
      <c r="T148" s="52">
        <v>6</v>
      </c>
      <c r="U148" s="87">
        <f>Annual_Days*L148*T_2!J53*I91_AADT_2014</f>
        <v>0</v>
      </c>
      <c r="V148" s="87">
        <f>Annual_Days*M148*T_2!K53*I91_AADT_2014</f>
        <v>0</v>
      </c>
      <c r="W148" s="87">
        <f>Annual_Days*N148*T_2!L53*I91_AADT_2014</f>
        <v>0</v>
      </c>
      <c r="X148" s="87">
        <f>Annual_Days*O148*T_2!M53*I91_AADT_2014</f>
        <v>0</v>
      </c>
      <c r="Y148" s="87">
        <f>Annual_Days*P148*T_2!N53*I91_AADT_2014</f>
        <v>0</v>
      </c>
      <c r="Z148" s="87">
        <f>Annual_Days*Q148*T_2!O53*I91_AADT_2014</f>
        <v>0</v>
      </c>
      <c r="AA148" s="87">
        <f>Annual_Days*R148*T_2!P53*I91_AADT_2014</f>
        <v>1016371.764721749</v>
      </c>
      <c r="AB148" s="44">
        <f t="shared" si="98"/>
        <v>1016371.764721749</v>
      </c>
      <c r="AD148" s="52">
        <v>6</v>
      </c>
      <c r="AE148" s="87">
        <f>Annual_Days*T_2!B53*L148*I91_AADT_2014</f>
        <v>0</v>
      </c>
      <c r="AF148" s="87">
        <f>Annual_Days*T_2!C53*M148*I91_AADT_2014</f>
        <v>0</v>
      </c>
      <c r="AG148" s="87">
        <f>Annual_Days*T_2!D53*N148*I91_AADT_2014</f>
        <v>0</v>
      </c>
      <c r="AH148" s="87">
        <f>Annual_Days*T_2!E53*O148*I91_AADT_2014</f>
        <v>0</v>
      </c>
      <c r="AI148" s="87">
        <f>Annual_Days*T_2!F53*P148*I91_AADT_2014</f>
        <v>0</v>
      </c>
      <c r="AJ148" s="87">
        <f>Annual_Days*T_2!G53*Q148*I91_AADT_2014</f>
        <v>0</v>
      </c>
      <c r="AK148" s="87">
        <f>Annual_Days*T_2!H53*R148*I91_AADT_2014</f>
        <v>223028.28692953745</v>
      </c>
      <c r="AL148" s="44">
        <f t="shared" si="99"/>
        <v>223028.28692953745</v>
      </c>
    </row>
    <row r="149" spans="1:38" x14ac:dyDescent="0.25">
      <c r="A149" s="210"/>
      <c r="B149" s="52">
        <v>7</v>
      </c>
      <c r="C149" s="86">
        <v>28.429740492831424</v>
      </c>
      <c r="D149" s="86">
        <v>26.669162429844246</v>
      </c>
      <c r="E149" s="86">
        <v>28.689038532001483</v>
      </c>
      <c r="F149" s="86">
        <v>27.103663798924892</v>
      </c>
      <c r="G149" s="86">
        <v>25.689679194272294</v>
      </c>
      <c r="H149" s="86">
        <v>21.205971871494494</v>
      </c>
      <c r="I149" s="86">
        <v>28.641377020702276</v>
      </c>
      <c r="K149" s="52">
        <v>7</v>
      </c>
      <c r="L149" s="85">
        <f t="shared" si="91"/>
        <v>5.154104129195062</v>
      </c>
      <c r="M149" s="85">
        <f t="shared" si="92"/>
        <v>3.3935260662078832</v>
      </c>
      <c r="N149" s="85">
        <f t="shared" si="93"/>
        <v>5.4134021683651206</v>
      </c>
      <c r="O149" s="85">
        <f t="shared" si="94"/>
        <v>3.8280274352885293</v>
      </c>
      <c r="P149" s="85">
        <f t="shared" si="95"/>
        <v>2.4140428306359318</v>
      </c>
      <c r="Q149" s="85">
        <f t="shared" si="96"/>
        <v>0</v>
      </c>
      <c r="R149" s="85">
        <f t="shared" si="97"/>
        <v>5.3657406570659134</v>
      </c>
      <c r="T149" s="52">
        <v>7</v>
      </c>
      <c r="U149" s="87">
        <f>Annual_Days*L149*T_2!J54*I91_AADT_2014</f>
        <v>865970.91831017821</v>
      </c>
      <c r="V149" s="87">
        <f>Annual_Days*M149*T_2!K54*I91_AADT_2014</f>
        <v>521184.16842542629</v>
      </c>
      <c r="W149" s="87">
        <f>Annual_Days*N149*T_2!L54*I91_AADT_2014</f>
        <v>833443.46668777382</v>
      </c>
      <c r="X149" s="87">
        <f>Annual_Days*O149*T_2!M54*I91_AADT_2014</f>
        <v>617008.24162379652</v>
      </c>
      <c r="Y149" s="87">
        <f>Annual_Days*P149*T_2!N54*I91_AADT_2014</f>
        <v>405467.78467411315</v>
      </c>
      <c r="Z149" s="87">
        <f>Annual_Days*Q149*T_2!O54*I91_AADT_2014</f>
        <v>0</v>
      </c>
      <c r="AA149" s="87">
        <f>Annual_Days*R149*T_2!P54*I91_AADT_2014</f>
        <v>646948.64228792221</v>
      </c>
      <c r="AB149" s="44">
        <f t="shared" si="98"/>
        <v>3890023.2220092104</v>
      </c>
      <c r="AD149" s="52">
        <v>7</v>
      </c>
      <c r="AE149" s="87">
        <f>Annual_Days*T_2!B54*L149*I91_AADT_2014</f>
        <v>114005.90076871609</v>
      </c>
      <c r="AF149" s="87">
        <f>Annual_Days*T_2!C54*M149*I91_AADT_2014</f>
        <v>94200.227615505893</v>
      </c>
      <c r="AG149" s="87">
        <f>Annual_Days*T_2!D54*N149*I91_AADT_2014</f>
        <v>155079.39764772507</v>
      </c>
      <c r="AH149" s="87">
        <f>Annual_Days*T_2!E54*O149*I91_AADT_2014</f>
        <v>111140.72077914282</v>
      </c>
      <c r="AI149" s="87">
        <f>Annual_Days*T_2!F54*P149*I91_AADT_2014</f>
        <v>77121.509276592129</v>
      </c>
      <c r="AJ149" s="87">
        <f>Annual_Days*T_2!G54*Q149*I91_AADT_2014</f>
        <v>0</v>
      </c>
      <c r="AK149" s="87">
        <f>Annual_Days*T_2!H54*R149*I91_AADT_2014</f>
        <v>86468.176022379295</v>
      </c>
      <c r="AL149" s="44">
        <f t="shared" si="99"/>
        <v>638015.93211006129</v>
      </c>
    </row>
    <row r="150" spans="1:38" x14ac:dyDescent="0.25">
      <c r="A150" s="210"/>
      <c r="B150" s="52">
        <v>8</v>
      </c>
      <c r="C150" s="86">
        <v>30.442603962168796</v>
      </c>
      <c r="D150" s="86">
        <v>28.058873755979906</v>
      </c>
      <c r="E150" s="86">
        <v>29.058378498357065</v>
      </c>
      <c r="F150" s="86">
        <v>28.569310667792227</v>
      </c>
      <c r="G150" s="86">
        <v>24.526170048318253</v>
      </c>
      <c r="H150" s="86">
        <v>26.318586204339788</v>
      </c>
      <c r="I150" s="86">
        <v>21.498930318899149</v>
      </c>
      <c r="K150" s="52">
        <v>8</v>
      </c>
      <c r="L150" s="85">
        <f t="shared" si="91"/>
        <v>7.1669675985324339</v>
      </c>
      <c r="M150" s="85">
        <f t="shared" si="92"/>
        <v>4.7832373923435441</v>
      </c>
      <c r="N150" s="85">
        <f t="shared" si="93"/>
        <v>5.7827421347207029</v>
      </c>
      <c r="O150" s="85">
        <f t="shared" si="94"/>
        <v>5.2936743041558643</v>
      </c>
      <c r="P150" s="85">
        <f t="shared" si="95"/>
        <v>1.2505336846818906</v>
      </c>
      <c r="Q150" s="85">
        <f t="shared" si="96"/>
        <v>3.0429498407034252</v>
      </c>
      <c r="R150" s="85">
        <f t="shared" si="97"/>
        <v>0</v>
      </c>
      <c r="T150" s="52">
        <v>8</v>
      </c>
      <c r="U150" s="87">
        <f>Annual_Days*L150*T_2!J55*I91_AADT_2014</f>
        <v>1210386.6436416719</v>
      </c>
      <c r="V150" s="87">
        <f>Annual_Days*M150*T_2!K55*I91_AADT_2014</f>
        <v>753939.76435327285</v>
      </c>
      <c r="W150" s="87">
        <f>Annual_Days*N150*T_2!L55*I91_AADT_2014</f>
        <v>911965.17932787014</v>
      </c>
      <c r="X150" s="87">
        <f>Annual_Days*O150*T_2!M55*I91_AADT_2014</f>
        <v>871885.20617963327</v>
      </c>
      <c r="Y150" s="87">
        <f>Annual_Days*P150*T_2!N55*I91_AADT_2014</f>
        <v>215175.90742549032</v>
      </c>
      <c r="Z150" s="87">
        <f>Annual_Days*Q150*T_2!O55*I91_AADT_2014</f>
        <v>367374.58948388137</v>
      </c>
      <c r="AA150" s="87">
        <f>Annual_Days*R150*T_2!P55*I91_AADT_2014</f>
        <v>0</v>
      </c>
      <c r="AB150" s="44">
        <f t="shared" si="98"/>
        <v>4330727.2904118197</v>
      </c>
      <c r="AD150" s="52">
        <v>8</v>
      </c>
      <c r="AE150" s="87">
        <f>Annual_Days*T_2!B55*L150*I91_AADT_2014</f>
        <v>128012.08535634143</v>
      </c>
      <c r="AF150" s="87">
        <f>Annual_Days*T_2!C55*M150*I91_AADT_2014</f>
        <v>97991.754417088567</v>
      </c>
      <c r="AG150" s="87">
        <f>Annual_Days*T_2!D55*N150*I91_AADT_2014</f>
        <v>125175.60583156187</v>
      </c>
      <c r="AH150" s="87">
        <f>Annual_Days*T_2!E55*O150*I91_AADT_2014</f>
        <v>117100.17269339786</v>
      </c>
      <c r="AI150" s="87">
        <f>Annual_Days*T_2!F55*P150*I91_AADT_2014</f>
        <v>30360.313025126667</v>
      </c>
      <c r="AJ150" s="87">
        <f>Annual_Days*T_2!G55*Q150*I91_AADT_2014</f>
        <v>56000.643139391941</v>
      </c>
      <c r="AK150" s="87">
        <f>Annual_Days*T_2!H55*R150*I91_AADT_2014</f>
        <v>0</v>
      </c>
      <c r="AL150" s="44">
        <f t="shared" si="99"/>
        <v>554640.57446290832</v>
      </c>
    </row>
    <row r="151" spans="1:38" x14ac:dyDescent="0.25">
      <c r="A151" s="210"/>
      <c r="B151" s="52">
        <v>9</v>
      </c>
      <c r="C151" s="86">
        <v>23.075035154438964</v>
      </c>
      <c r="D151" s="86">
        <v>22.620148603340386</v>
      </c>
      <c r="E151" s="86">
        <v>25.120051719199182</v>
      </c>
      <c r="F151" s="86">
        <v>24.718393868230841</v>
      </c>
      <c r="G151" s="86">
        <v>23.316207844256674</v>
      </c>
      <c r="H151" s="86">
        <v>33.418512573111357</v>
      </c>
      <c r="I151" s="86">
        <v>22.639562830482479</v>
      </c>
      <c r="K151" s="52">
        <v>9</v>
      </c>
      <c r="L151" s="85">
        <f t="shared" si="91"/>
        <v>0</v>
      </c>
      <c r="M151" s="85">
        <f t="shared" si="92"/>
        <v>0</v>
      </c>
      <c r="N151" s="85">
        <f t="shared" si="93"/>
        <v>1.8444153555628198</v>
      </c>
      <c r="O151" s="85">
        <f t="shared" si="94"/>
        <v>1.4427575045944785</v>
      </c>
      <c r="P151" s="85">
        <f t="shared" si="95"/>
        <v>4.0571480620311462E-2</v>
      </c>
      <c r="Q151" s="85">
        <f t="shared" si="96"/>
        <v>10.142876209474995</v>
      </c>
      <c r="R151" s="85">
        <f t="shared" si="97"/>
        <v>0</v>
      </c>
      <c r="T151" s="52">
        <v>9</v>
      </c>
      <c r="U151" s="87">
        <f>Annual_Days*L151*T_2!J56*I91_AADT_2014</f>
        <v>0</v>
      </c>
      <c r="V151" s="87">
        <f>Annual_Days*M151*T_2!K56*I91_AADT_2014</f>
        <v>0</v>
      </c>
      <c r="W151" s="87">
        <f>Annual_Days*N151*T_2!L56*I91_AADT_2014</f>
        <v>219229.31623673794</v>
      </c>
      <c r="X151" s="87">
        <f>Annual_Days*O151*T_2!M56*I91_AADT_2014</f>
        <v>187056.6653662851</v>
      </c>
      <c r="Y151" s="87">
        <f>Annual_Days*P151*T_2!N56*I91_AADT_2014</f>
        <v>5444.2008475025314</v>
      </c>
      <c r="Z151" s="87">
        <f>Annual_Days*Q151*T_2!O56*I91_AADT_2014</f>
        <v>993343.46757631167</v>
      </c>
      <c r="AA151" s="87">
        <f>Annual_Days*R151*T_2!P56*I91_AADT_2014</f>
        <v>0</v>
      </c>
      <c r="AB151" s="44">
        <f t="shared" si="98"/>
        <v>1405073.6500268371</v>
      </c>
      <c r="AD151" s="52">
        <v>9</v>
      </c>
      <c r="AE151" s="87">
        <f>Annual_Days*T_2!B56*L151*I91_AADT_2014</f>
        <v>0</v>
      </c>
      <c r="AF151" s="87">
        <f>Annual_Days*T_2!C56*M151*I91_AADT_2014</f>
        <v>0</v>
      </c>
      <c r="AG151" s="87">
        <f>Annual_Days*T_2!D56*N151*I91_AADT_2014</f>
        <v>39240.583825630798</v>
      </c>
      <c r="AH151" s="87">
        <f>Annual_Days*T_2!E56*O151*I91_AADT_2014</f>
        <v>23550.602689133648</v>
      </c>
      <c r="AI151" s="87">
        <f>Annual_Days*T_2!F56*P151*I91_AADT_2014</f>
        <v>780.0686487201483</v>
      </c>
      <c r="AJ151" s="87">
        <f>Annual_Days*T_2!G56*Q151*I91_AADT_2014</f>
        <v>109310.23200893171</v>
      </c>
      <c r="AK151" s="87">
        <f>Annual_Days*T_2!H56*R151*I91_AADT_2014</f>
        <v>0</v>
      </c>
      <c r="AL151" s="44">
        <f t="shared" si="99"/>
        <v>172881.48717241629</v>
      </c>
    </row>
    <row r="152" spans="1:38" x14ac:dyDescent="0.25">
      <c r="A152" s="210"/>
      <c r="B152" s="52">
        <v>10</v>
      </c>
      <c r="C152" s="86">
        <v>22.898052276681799</v>
      </c>
      <c r="D152" s="86">
        <v>23.133360736141121</v>
      </c>
      <c r="E152" s="86">
        <v>23.437295304258427</v>
      </c>
      <c r="F152" s="86">
        <v>24.212993312586395</v>
      </c>
      <c r="G152" s="86">
        <v>26.978884676046224</v>
      </c>
      <c r="H152" s="86">
        <v>43.261501484659064</v>
      </c>
      <c r="I152" s="86">
        <v>26.812877735274078</v>
      </c>
      <c r="K152" s="52">
        <v>10</v>
      </c>
      <c r="L152" s="85">
        <f t="shared" si="91"/>
        <v>0</v>
      </c>
      <c r="M152" s="85">
        <f t="shared" si="92"/>
        <v>0</v>
      </c>
      <c r="N152" s="85">
        <f t="shared" si="93"/>
        <v>0.16165894062206476</v>
      </c>
      <c r="O152" s="85">
        <f t="shared" si="94"/>
        <v>0.93735694895003263</v>
      </c>
      <c r="P152" s="85">
        <f t="shared" si="95"/>
        <v>3.7032483124098619</v>
      </c>
      <c r="Q152" s="85">
        <f t="shared" si="96"/>
        <v>19.985865121022702</v>
      </c>
      <c r="R152" s="85">
        <f t="shared" si="97"/>
        <v>3.537241371637716</v>
      </c>
      <c r="T152" s="52">
        <v>10</v>
      </c>
      <c r="U152" s="87">
        <f>Annual_Days*L152*T_2!J57*I91_AADT_2014</f>
        <v>0</v>
      </c>
      <c r="V152" s="87">
        <f>Annual_Days*M152*T_2!K57*I91_AADT_2014</f>
        <v>0</v>
      </c>
      <c r="W152" s="87">
        <f>Annual_Days*N152*T_2!L57*I91_AADT_2014</f>
        <v>18625.926000525847</v>
      </c>
      <c r="X152" s="87">
        <f>Annual_Days*O152*T_2!M57*I91_AADT_2014</f>
        <v>113419.67728692014</v>
      </c>
      <c r="Y152" s="87">
        <f>Annual_Days*P152*T_2!N57*I91_AADT_2014</f>
        <v>459365.06384432118</v>
      </c>
      <c r="Z152" s="87">
        <f>Annual_Days*Q152*T_2!O57*I91_AADT_2014</f>
        <v>1846762.056620491</v>
      </c>
      <c r="AA152" s="87">
        <f>Annual_Days*R152*T_2!P57*I91_AADT_2014</f>
        <v>321974.70983824041</v>
      </c>
      <c r="AB152" s="44">
        <f t="shared" si="98"/>
        <v>2760147.4335904988</v>
      </c>
      <c r="AD152" s="52">
        <v>10</v>
      </c>
      <c r="AE152" s="87">
        <f>Annual_Days*T_2!B57*L152*I91_AADT_2014</f>
        <v>0</v>
      </c>
      <c r="AF152" s="87">
        <f>Annual_Days*T_2!C57*M152*I91_AADT_2014</f>
        <v>0</v>
      </c>
      <c r="AG152" s="87">
        <f>Annual_Days*T_2!D57*N152*I91_AADT_2014</f>
        <v>2581.0983500567554</v>
      </c>
      <c r="AH152" s="87">
        <f>Annual_Days*T_2!E57*O152*I91_AADT_2014</f>
        <v>14669.895408265225</v>
      </c>
      <c r="AI152" s="87">
        <f>Annual_Days*T_2!F57*P152*I91_AADT_2014</f>
        <v>72472.643567672028</v>
      </c>
      <c r="AJ152" s="87">
        <f>Annual_Days*T_2!G57*Q152*I91_AADT_2014</f>
        <v>187138.55507087638</v>
      </c>
      <c r="AK152" s="87">
        <f>Annual_Days*T_2!H57*R152*I91_AADT_2014</f>
        <v>25361.021665340853</v>
      </c>
      <c r="AL152" s="44">
        <f t="shared" si="99"/>
        <v>302223.21406221122</v>
      </c>
    </row>
    <row r="153" spans="1:38" x14ac:dyDescent="0.25">
      <c r="A153" s="210"/>
      <c r="B153" s="52">
        <v>11</v>
      </c>
      <c r="C153" s="86">
        <v>25.771555646360614</v>
      </c>
      <c r="D153" s="86">
        <v>23.921992190716466</v>
      </c>
      <c r="E153" s="86">
        <v>24.521183984409284</v>
      </c>
      <c r="F153" s="86">
        <v>28.197238735868435</v>
      </c>
      <c r="G153" s="86">
        <v>37.818081453932258</v>
      </c>
      <c r="H153" s="86">
        <v>48.989908375283932</v>
      </c>
      <c r="I153" s="86">
        <v>34.418978561081659</v>
      </c>
      <c r="K153" s="52">
        <v>11</v>
      </c>
      <c r="L153" s="85">
        <f t="shared" si="91"/>
        <v>2.4959192827242518</v>
      </c>
      <c r="M153" s="85">
        <f t="shared" si="92"/>
        <v>0.64635582708010375</v>
      </c>
      <c r="N153" s="85">
        <f t="shared" si="93"/>
        <v>1.2455476207729212</v>
      </c>
      <c r="O153" s="85">
        <f t="shared" si="94"/>
        <v>4.9216023722320728</v>
      </c>
      <c r="P153" s="85">
        <f t="shared" si="95"/>
        <v>14.542445090295896</v>
      </c>
      <c r="Q153" s="85">
        <f t="shared" si="96"/>
        <v>25.714272011647569</v>
      </c>
      <c r="R153" s="85">
        <f t="shared" si="97"/>
        <v>11.143342197445296</v>
      </c>
      <c r="T153" s="52">
        <v>11</v>
      </c>
      <c r="U153" s="87">
        <f>Annual_Days*L153*T_2!J58*I91_AADT_2014</f>
        <v>336536.97514412861</v>
      </c>
      <c r="V153" s="87">
        <f>Annual_Days*M153*T_2!K58*I91_AADT_2014</f>
        <v>81378.564336692754</v>
      </c>
      <c r="W153" s="87">
        <f>Annual_Days*N153*T_2!L58*I91_AADT_2014</f>
        <v>157517.56837208866</v>
      </c>
      <c r="X153" s="87">
        <f>Annual_Days*O153*T_2!M58*I91_AADT_2014</f>
        <v>647871.1330340259</v>
      </c>
      <c r="Y153" s="87">
        <f>Annual_Days*P153*T_2!N58*I91_AADT_2014</f>
        <v>2044878.9564488085</v>
      </c>
      <c r="Z153" s="87">
        <f>Annual_Days*Q153*T_2!O58*I91_AADT_2014</f>
        <v>2740325.2582352166</v>
      </c>
      <c r="AA153" s="87">
        <f>Annual_Days*R153*T_2!P58*I91_AADT_2014</f>
        <v>1167404.0131774456</v>
      </c>
      <c r="AB153" s="44">
        <f t="shared" si="98"/>
        <v>7175912.4687484056</v>
      </c>
      <c r="AD153" s="52">
        <v>11</v>
      </c>
      <c r="AE153" s="87">
        <f>Annual_Days*T_2!B58*L153*I91_AADT_2014</f>
        <v>49765.892463398173</v>
      </c>
      <c r="AF153" s="87">
        <f>Annual_Days*T_2!C58*M153*I91_AADT_2014</f>
        <v>14033.159023402637</v>
      </c>
      <c r="AG153" s="87">
        <f>Annual_Days*T_2!D58*N153*I91_AADT_2014</f>
        <v>27627.242416939043</v>
      </c>
      <c r="AH153" s="87">
        <f>Annual_Days*T_2!E58*O153*I91_AADT_2014</f>
        <v>114184.18436615019</v>
      </c>
      <c r="AI153" s="87">
        <f>Annual_Days*T_2!F58*P153*I91_AADT_2014</f>
        <v>321612.41803302866</v>
      </c>
      <c r="AJ153" s="87">
        <f>Annual_Days*T_2!G58*Q153*I91_AADT_2014</f>
        <v>224862.57589457463</v>
      </c>
      <c r="AK153" s="87">
        <f>Annual_Days*T_2!H58*R153*I91_AADT_2014</f>
        <v>72452.521796851972</v>
      </c>
      <c r="AL153" s="44">
        <f t="shared" si="99"/>
        <v>824537.99399434531</v>
      </c>
    </row>
    <row r="154" spans="1:38" x14ac:dyDescent="0.25">
      <c r="A154" s="210"/>
      <c r="B154" s="52">
        <v>12</v>
      </c>
      <c r="C154" s="86">
        <v>32.885551129612061</v>
      </c>
      <c r="D154" s="86">
        <v>24.910209023826862</v>
      </c>
      <c r="E154" s="86">
        <v>29.747763460528024</v>
      </c>
      <c r="F154" s="86">
        <v>33.810842162329543</v>
      </c>
      <c r="G154" s="86">
        <v>47.997583907884412</v>
      </c>
      <c r="H154" s="86">
        <v>48.074774599099172</v>
      </c>
      <c r="I154" s="86">
        <v>45.09416131794611</v>
      </c>
      <c r="K154" s="52">
        <v>12</v>
      </c>
      <c r="L154" s="85">
        <f t="shared" si="91"/>
        <v>9.6099147659756987</v>
      </c>
      <c r="M154" s="85">
        <f t="shared" si="92"/>
        <v>1.6345726601905</v>
      </c>
      <c r="N154" s="85">
        <f t="shared" si="93"/>
        <v>6.4721270968916613</v>
      </c>
      <c r="O154" s="85">
        <f t="shared" si="94"/>
        <v>10.53520579869318</v>
      </c>
      <c r="P154" s="85">
        <f t="shared" si="95"/>
        <v>24.721947544248049</v>
      </c>
      <c r="Q154" s="85">
        <f t="shared" si="96"/>
        <v>24.799138235462809</v>
      </c>
      <c r="R154" s="85">
        <f t="shared" si="97"/>
        <v>21.818524954309748</v>
      </c>
      <c r="T154" s="52">
        <v>12</v>
      </c>
      <c r="U154" s="87">
        <f>Annual_Days*L154*T_2!J59*I91_AADT_2014</f>
        <v>1315069.8755374965</v>
      </c>
      <c r="V154" s="87">
        <f>Annual_Days*M154*T_2!K59*I91_AADT_2014</f>
        <v>209824.67855714218</v>
      </c>
      <c r="W154" s="87">
        <f>Annual_Days*N154*T_2!L59*I91_AADT_2014</f>
        <v>804047.37056568044</v>
      </c>
      <c r="X154" s="87">
        <f>Annual_Days*O154*T_2!M59*I91_AADT_2014</f>
        <v>1403256.3305564146</v>
      </c>
      <c r="Y154" s="87">
        <f>Annual_Days*P154*T_2!N59*I91_AADT_2014</f>
        <v>3577098.1338815996</v>
      </c>
      <c r="Z154" s="87">
        <f>Annual_Days*Q154*T_2!O59*I91_AADT_2014</f>
        <v>2732749.5078941155</v>
      </c>
      <c r="AA154" s="87">
        <f>Annual_Days*R154*T_2!P59*I91_AADT_2014</f>
        <v>2354401.101316507</v>
      </c>
      <c r="AB154" s="44">
        <f t="shared" si="98"/>
        <v>12396446.998308957</v>
      </c>
      <c r="AD154" s="52">
        <v>12</v>
      </c>
      <c r="AE154" s="87">
        <f>Annual_Days*T_2!B59*L154*I91_AADT_2014</f>
        <v>221896.42018652236</v>
      </c>
      <c r="AF154" s="87">
        <f>Annual_Days*T_2!C59*M154*I91_AADT_2014</f>
        <v>39509.442332801089</v>
      </c>
      <c r="AG154" s="87">
        <f>Annual_Days*T_2!D59*N154*I91_AADT_2014</f>
        <v>190088.30079792443</v>
      </c>
      <c r="AH154" s="87">
        <f>Annual_Days*T_2!E59*O154*I91_AADT_2014</f>
        <v>282405.33652447851</v>
      </c>
      <c r="AI154" s="87">
        <f>Annual_Days*T_2!F59*P154*I91_AADT_2014</f>
        <v>580069.96765647561</v>
      </c>
      <c r="AJ154" s="87">
        <f>Annual_Days*T_2!G59*Q154*I91_AADT_2014</f>
        <v>222281.06045071757</v>
      </c>
      <c r="AK154" s="87">
        <f>Annual_Days*T_2!H59*R154*I91_AADT_2014</f>
        <v>154183.58736510057</v>
      </c>
      <c r="AL154" s="44">
        <f t="shared" si="99"/>
        <v>1690434.1153140201</v>
      </c>
    </row>
    <row r="155" spans="1:38" x14ac:dyDescent="0.25">
      <c r="A155" s="210"/>
      <c r="B155" s="52">
        <v>13</v>
      </c>
      <c r="C155" s="86">
        <v>35.095504750897547</v>
      </c>
      <c r="D155" s="86">
        <v>28.819382883516816</v>
      </c>
      <c r="E155" s="86">
        <v>30.293169952465849</v>
      </c>
      <c r="F155" s="86">
        <v>39.839677568867209</v>
      </c>
      <c r="G155" s="86">
        <v>47.923489857500549</v>
      </c>
      <c r="H155" s="86">
        <v>53.960465286578675</v>
      </c>
      <c r="I155" s="86">
        <v>59.107906797091189</v>
      </c>
      <c r="K155" s="52">
        <v>13</v>
      </c>
      <c r="L155" s="85">
        <f t="shared" si="91"/>
        <v>11.819868387261184</v>
      </c>
      <c r="M155" s="85">
        <f t="shared" si="92"/>
        <v>5.5437465198804539</v>
      </c>
      <c r="N155" s="85">
        <f t="shared" si="93"/>
        <v>7.0175335888294867</v>
      </c>
      <c r="O155" s="85">
        <f t="shared" si="94"/>
        <v>16.564041205230847</v>
      </c>
      <c r="P155" s="85">
        <f t="shared" si="95"/>
        <v>24.647853493864186</v>
      </c>
      <c r="Q155" s="85">
        <f t="shared" si="96"/>
        <v>30.684828922942312</v>
      </c>
      <c r="R155" s="85">
        <f t="shared" si="97"/>
        <v>35.832270433454823</v>
      </c>
      <c r="T155" s="52">
        <v>13</v>
      </c>
      <c r="U155" s="87">
        <f>Annual_Days*L155*T_2!J60*I91_AADT_2014</f>
        <v>1835142.0661444734</v>
      </c>
      <c r="V155" s="87">
        <f>Annual_Days*M155*T_2!K60*I91_AADT_2014</f>
        <v>784370.25074262102</v>
      </c>
      <c r="W155" s="87">
        <f>Annual_Days*N155*T_2!L60*I91_AADT_2014</f>
        <v>975877.45097881148</v>
      </c>
      <c r="X155" s="87">
        <f>Annual_Days*O155*T_2!M60*I91_AADT_2014</f>
        <v>2490751.8466865793</v>
      </c>
      <c r="Y155" s="87">
        <f>Annual_Days*P155*T_2!N60*I91_AADT_2014</f>
        <v>4024049.9136578967</v>
      </c>
      <c r="Z155" s="87">
        <f>Annual_Days*Q155*T_2!O60*I91_AADT_2014</f>
        <v>3849679.9088064083</v>
      </c>
      <c r="AA155" s="87">
        <f>Annual_Days*R155*T_2!P60*I91_AADT_2014</f>
        <v>4380689.5363511164</v>
      </c>
      <c r="AB155" s="44">
        <f t="shared" si="98"/>
        <v>18340560.973367907</v>
      </c>
      <c r="AD155" s="52">
        <v>13</v>
      </c>
      <c r="AE155" s="87">
        <f>Annual_Days*T_2!B60*L155*I91_AADT_2014</f>
        <v>299316.3935357061</v>
      </c>
      <c r="AF155" s="87">
        <f>Annual_Days*T_2!C60*M155*I91_AADT_2014</f>
        <v>170426.88385466018</v>
      </c>
      <c r="AG155" s="87">
        <f>Annual_Days*T_2!D60*N155*I91_AADT_2014</f>
        <v>241186.44225712068</v>
      </c>
      <c r="AH155" s="87">
        <f>Annual_Days*T_2!E60*O155*I91_AADT_2014</f>
        <v>501677.79130744626</v>
      </c>
      <c r="AI155" s="87">
        <f>Annual_Days*T_2!F60*P155*I91_AADT_2014</f>
        <v>655717.4859305853</v>
      </c>
      <c r="AJ155" s="87">
        <f>Annual_Days*T_2!G60*Q155*I91_AADT_2014</f>
        <v>278697.11954064673</v>
      </c>
      <c r="AK155" s="87">
        <f>Annual_Days*T_2!H60*R155*I91_AADT_2014</f>
        <v>270970.48678460508</v>
      </c>
      <c r="AL155" s="44">
        <f t="shared" si="99"/>
        <v>2417992.6032107705</v>
      </c>
    </row>
    <row r="156" spans="1:38" x14ac:dyDescent="0.25">
      <c r="A156" s="210"/>
      <c r="B156" s="52">
        <v>14</v>
      </c>
      <c r="C156" s="86">
        <v>37.114603279271662</v>
      </c>
      <c r="D156" s="86">
        <v>31.678938652445041</v>
      </c>
      <c r="E156" s="86">
        <v>40.282306088903617</v>
      </c>
      <c r="F156" s="86">
        <v>46.583757688652632</v>
      </c>
      <c r="G156" s="86">
        <v>53.919952937054944</v>
      </c>
      <c r="H156" s="86">
        <v>51.936096619286673</v>
      </c>
      <c r="I156" s="86">
        <v>65.737961681413807</v>
      </c>
      <c r="K156" s="52">
        <v>14</v>
      </c>
      <c r="L156" s="85">
        <f t="shared" si="91"/>
        <v>13.8389669156353</v>
      </c>
      <c r="M156" s="85">
        <f t="shared" si="92"/>
        <v>8.4033022888086784</v>
      </c>
      <c r="N156" s="85">
        <f t="shared" si="93"/>
        <v>17.006669725267255</v>
      </c>
      <c r="O156" s="85">
        <f t="shared" si="94"/>
        <v>23.30812132501627</v>
      </c>
      <c r="P156" s="85">
        <f t="shared" si="95"/>
        <v>30.644316573418582</v>
      </c>
      <c r="Q156" s="85">
        <f t="shared" si="96"/>
        <v>28.66046025565031</v>
      </c>
      <c r="R156" s="85">
        <f t="shared" si="97"/>
        <v>42.462325317777442</v>
      </c>
      <c r="T156" s="52">
        <v>14</v>
      </c>
      <c r="U156" s="87">
        <f>Annual_Days*L156*T_2!J61*I91_AADT_2014</f>
        <v>2210434.0650738208</v>
      </c>
      <c r="V156" s="87">
        <f>Annual_Days*M156*T_2!K61*I91_AADT_2014</f>
        <v>1236671.5317866225</v>
      </c>
      <c r="W156" s="87">
        <f>Annual_Days*N156*T_2!L61*I91_AADT_2014</f>
        <v>2580514.6731764828</v>
      </c>
      <c r="X156" s="87">
        <f>Annual_Days*O156*T_2!M61*I91_AADT_2014</f>
        <v>3751930.9270834746</v>
      </c>
      <c r="Y156" s="87">
        <f>Annual_Days*P156*T_2!N61*I91_AADT_2014</f>
        <v>5205268.9856599392</v>
      </c>
      <c r="Z156" s="87">
        <f>Annual_Days*Q156*T_2!O61*I91_AADT_2014</f>
        <v>3709688.5600548401</v>
      </c>
      <c r="AA156" s="87">
        <f>Annual_Days*R156*T_2!P61*I91_AADT_2014</f>
        <v>5370668.7254741807</v>
      </c>
      <c r="AB156" s="44">
        <f t="shared" si="98"/>
        <v>24065177.468309358</v>
      </c>
      <c r="AD156" s="52">
        <v>14</v>
      </c>
      <c r="AE156" s="87">
        <f>Annual_Days*T_2!B61*L156*I91_AADT_2014</f>
        <v>386724.19186374388</v>
      </c>
      <c r="AF156" s="87">
        <f>Annual_Days*T_2!C61*M156*I91_AADT_2014</f>
        <v>267430.87293396704</v>
      </c>
      <c r="AG156" s="87">
        <f>Annual_Days*T_2!D61*N156*I91_AADT_2014</f>
        <v>484748.95938966697</v>
      </c>
      <c r="AH156" s="87">
        <f>Annual_Days*T_2!E61*O156*I91_AADT_2014</f>
        <v>624142.41374719457</v>
      </c>
      <c r="AI156" s="87">
        <f>Annual_Days*T_2!F61*P156*I91_AADT_2014</f>
        <v>841380.31384608313</v>
      </c>
      <c r="AJ156" s="87">
        <f>Annual_Days*T_2!G61*Q156*I91_AADT_2014</f>
        <v>297672.5901011746</v>
      </c>
      <c r="AK156" s="87">
        <f>Annual_Days*T_2!H61*R156*I91_AADT_2014</f>
        <v>358044.58169827878</v>
      </c>
      <c r="AL156" s="44">
        <f t="shared" si="99"/>
        <v>3260143.9235801087</v>
      </c>
    </row>
    <row r="157" spans="1:38" x14ac:dyDescent="0.25">
      <c r="A157" s="210"/>
      <c r="B157" s="52">
        <v>15</v>
      </c>
      <c r="C157" s="86">
        <v>45.261328592578145</v>
      </c>
      <c r="D157" s="86">
        <v>43.239875275463184</v>
      </c>
      <c r="E157" s="86">
        <v>41.913445611893103</v>
      </c>
      <c r="F157" s="86">
        <v>48.666131903271499</v>
      </c>
      <c r="G157" s="86">
        <v>50.328899477909744</v>
      </c>
      <c r="H157" s="86">
        <v>48.749670809178639</v>
      </c>
      <c r="I157" s="86">
        <v>66.702734570278992</v>
      </c>
      <c r="K157" s="52">
        <v>15</v>
      </c>
      <c r="L157" s="85">
        <f t="shared" si="91"/>
        <v>21.985692228941783</v>
      </c>
      <c r="M157" s="85">
        <f t="shared" si="92"/>
        <v>19.964238911826822</v>
      </c>
      <c r="N157" s="85">
        <f t="shared" si="93"/>
        <v>18.63780924825674</v>
      </c>
      <c r="O157" s="85">
        <f t="shared" si="94"/>
        <v>25.390495539635136</v>
      </c>
      <c r="P157" s="85">
        <f t="shared" si="95"/>
        <v>27.053263114273381</v>
      </c>
      <c r="Q157" s="85">
        <f t="shared" si="96"/>
        <v>25.474034445542276</v>
      </c>
      <c r="R157" s="85">
        <f t="shared" si="97"/>
        <v>43.427098206642626</v>
      </c>
      <c r="T157" s="52">
        <v>15</v>
      </c>
      <c r="U157" s="87">
        <f>Annual_Days*L157*T_2!J62*I91_AADT_2014</f>
        <v>5305645.6687213946</v>
      </c>
      <c r="V157" s="87">
        <f>Annual_Days*M157*T_2!K62*I91_AADT_2014</f>
        <v>4540956.4055382451</v>
      </c>
      <c r="W157" s="87">
        <f>Annual_Days*N157*T_2!L62*I91_AADT_2014</f>
        <v>4236091.2353143338</v>
      </c>
      <c r="X157" s="87">
        <f>Annual_Days*O157*T_2!M62*I91_AADT_2014</f>
        <v>6078168.7129940875</v>
      </c>
      <c r="Y157" s="87">
        <f>Annual_Days*P157*T_2!N62*I91_AADT_2014</f>
        <v>6961876.843481197</v>
      </c>
      <c r="Z157" s="87">
        <f>Annual_Days*Q157*T_2!O62*I91_AADT_2014</f>
        <v>4970269.8693059841</v>
      </c>
      <c r="AA157" s="87">
        <f>Annual_Days*R157*T_2!P62*I91_AADT_2014</f>
        <v>8222389.3254251499</v>
      </c>
      <c r="AB157" s="44">
        <f t="shared" si="98"/>
        <v>40315398.060780391</v>
      </c>
      <c r="AD157" s="52">
        <v>15</v>
      </c>
      <c r="AE157" s="87">
        <f>Annual_Days*T_2!B62*L157*I91_AADT_2014</f>
        <v>874966.12782422989</v>
      </c>
      <c r="AF157" s="87">
        <f>Annual_Days*T_2!C62*M157*I91_AADT_2014</f>
        <v>811791.08925823378</v>
      </c>
      <c r="AG157" s="87">
        <f>Annual_Days*T_2!D62*N157*I91_AADT_2014</f>
        <v>795901.4010795065</v>
      </c>
      <c r="AH157" s="87">
        <f>Annual_Days*T_2!E62*O157*I91_AADT_2014</f>
        <v>1062601.8352858459</v>
      </c>
      <c r="AI157" s="87">
        <f>Annual_Days*T_2!F62*P157*I91_AADT_2014</f>
        <v>1034275.8033734546</v>
      </c>
      <c r="AJ157" s="87">
        <f>Annual_Days*T_2!G62*Q157*I91_AADT_2014</f>
        <v>365162.68427554169</v>
      </c>
      <c r="AK157" s="87">
        <f>Annual_Days*T_2!H62*R157*I91_AADT_2014</f>
        <v>553895.42218364298</v>
      </c>
      <c r="AL157" s="44">
        <f t="shared" si="99"/>
        <v>5498594.3632804556</v>
      </c>
    </row>
    <row r="158" spans="1:38" x14ac:dyDescent="0.25">
      <c r="A158" s="210"/>
      <c r="B158" s="52">
        <v>16</v>
      </c>
      <c r="C158" s="86">
        <v>44.350141194182527</v>
      </c>
      <c r="D158" s="86">
        <v>41.500238841524826</v>
      </c>
      <c r="E158" s="86">
        <v>42.3667923484646</v>
      </c>
      <c r="F158" s="86">
        <v>48.193589856915636</v>
      </c>
      <c r="G158" s="86">
        <v>50.087513933365329</v>
      </c>
      <c r="H158" s="86">
        <v>52.797331948841027</v>
      </c>
      <c r="I158" s="86">
        <v>67.188404202794374</v>
      </c>
      <c r="K158" s="52">
        <v>16</v>
      </c>
      <c r="L158" s="85">
        <f t="shared" si="91"/>
        <v>21.074504830546164</v>
      </c>
      <c r="M158" s="85">
        <f t="shared" si="92"/>
        <v>18.224602477888464</v>
      </c>
      <c r="N158" s="85">
        <f t="shared" si="93"/>
        <v>19.091155984828237</v>
      </c>
      <c r="O158" s="85">
        <f t="shared" si="94"/>
        <v>24.917953493279274</v>
      </c>
      <c r="P158" s="85">
        <f t="shared" si="95"/>
        <v>26.811877569728967</v>
      </c>
      <c r="Q158" s="85">
        <f t="shared" si="96"/>
        <v>29.521695585204665</v>
      </c>
      <c r="R158" s="85">
        <f t="shared" si="97"/>
        <v>43.912767839158008</v>
      </c>
      <c r="T158" s="52">
        <v>16</v>
      </c>
      <c r="U158" s="87">
        <f>Annual_Days*L158*T_2!J63*I91_AADT_2014</f>
        <v>7193045.6768794451</v>
      </c>
      <c r="V158" s="87">
        <f>Annual_Days*M158*T_2!K63*I91_AADT_2014</f>
        <v>5923442.6859317916</v>
      </c>
      <c r="W158" s="87">
        <f>Annual_Days*N158*T_2!L63*I91_AADT_2014</f>
        <v>6061428.1406945148</v>
      </c>
      <c r="X158" s="87">
        <f>Annual_Days*O158*T_2!M63*I91_AADT_2014</f>
        <v>8282240.8701821091</v>
      </c>
      <c r="Y158" s="87">
        <f>Annual_Days*P158*T_2!N63*I91_AADT_2014</f>
        <v>9425392.1875909436</v>
      </c>
      <c r="Z158" s="87">
        <f>Annual_Days*Q158*T_2!O63*I91_AADT_2014</f>
        <v>7870527.6900330866</v>
      </c>
      <c r="AA158" s="87">
        <f>Annual_Days*R158*T_2!P63*I91_AADT_2014</f>
        <v>11211989.268585699</v>
      </c>
      <c r="AB158" s="44">
        <f t="shared" si="98"/>
        <v>55968066.519897588</v>
      </c>
      <c r="AD158" s="52">
        <v>16</v>
      </c>
      <c r="AE158" s="87">
        <f>Annual_Days*T_2!B63*L158*I91_AADT_2014</f>
        <v>892404.04594701366</v>
      </c>
      <c r="AF158" s="87">
        <f>Annual_Days*T_2!C63*M158*I91_AADT_2014</f>
        <v>745201.44253821229</v>
      </c>
      <c r="AG158" s="87">
        <f>Annual_Days*T_2!D63*N158*I91_AADT_2014</f>
        <v>973065.47488192644</v>
      </c>
      <c r="AH158" s="87">
        <f>Annual_Days*T_2!E63*O158*I91_AADT_2014</f>
        <v>1281807.2299894125</v>
      </c>
      <c r="AI158" s="87">
        <f>Annual_Days*T_2!F63*P158*I91_AADT_2014</f>
        <v>1390046.1809737736</v>
      </c>
      <c r="AJ158" s="87">
        <f>Annual_Days*T_2!G63*Q158*I91_AADT_2014</f>
        <v>568038.8568260083</v>
      </c>
      <c r="AK158" s="87">
        <f>Annual_Days*T_2!H63*R158*I91_AADT_2014</f>
        <v>899461.99224789347</v>
      </c>
      <c r="AL158" s="44">
        <f t="shared" si="99"/>
        <v>6750025.2234042408</v>
      </c>
    </row>
    <row r="159" spans="1:38" x14ac:dyDescent="0.25">
      <c r="A159" s="210"/>
      <c r="B159" s="52">
        <v>17</v>
      </c>
      <c r="C159" s="86">
        <v>43.924355868141269</v>
      </c>
      <c r="D159" s="86">
        <v>45.672074640461524</v>
      </c>
      <c r="E159" s="86">
        <v>48.989107782587666</v>
      </c>
      <c r="F159" s="86">
        <v>56.506674066494433</v>
      </c>
      <c r="G159" s="86">
        <v>57.22978838038339</v>
      </c>
      <c r="H159" s="86">
        <v>42.172678968511299</v>
      </c>
      <c r="I159" s="86">
        <v>74.404630373120241</v>
      </c>
      <c r="K159" s="52">
        <v>17</v>
      </c>
      <c r="L159" s="85">
        <f t="shared" si="91"/>
        <v>20.648719504504907</v>
      </c>
      <c r="M159" s="85">
        <f t="shared" si="92"/>
        <v>22.396438276825162</v>
      </c>
      <c r="N159" s="85">
        <f t="shared" si="93"/>
        <v>25.713471418951304</v>
      </c>
      <c r="O159" s="85">
        <f t="shared" si="94"/>
        <v>33.231037702858075</v>
      </c>
      <c r="P159" s="85">
        <f t="shared" si="95"/>
        <v>33.954152016747031</v>
      </c>
      <c r="Q159" s="85">
        <f t="shared" si="96"/>
        <v>18.897042604874937</v>
      </c>
      <c r="R159" s="85">
        <f t="shared" si="97"/>
        <v>51.128994009483876</v>
      </c>
      <c r="T159" s="52">
        <v>17</v>
      </c>
      <c r="U159" s="87">
        <f>Annual_Days*L159*T_2!J64*I91_AADT_2014</f>
        <v>6709715.4672014154</v>
      </c>
      <c r="V159" s="87">
        <f>Annual_Days*M159*T_2!K64*I91_AADT_2014</f>
        <v>6993786.1017592866</v>
      </c>
      <c r="W159" s="87">
        <f>Annual_Days*N159*T_2!L64*I91_AADT_2014</f>
        <v>7949633.7970542163</v>
      </c>
      <c r="X159" s="87">
        <f>Annual_Days*O159*T_2!M64*I91_AADT_2014</f>
        <v>10770711.612768117</v>
      </c>
      <c r="Y159" s="87">
        <f>Annual_Days*P159*T_2!N64*I91_AADT_2014</f>
        <v>11757703.546092527</v>
      </c>
      <c r="Z159" s="87">
        <f>Annual_Days*Q159*T_2!O64*I91_AADT_2014</f>
        <v>4810096.6018791636</v>
      </c>
      <c r="AA159" s="87">
        <f>Annual_Days*R159*T_2!P64*I91_AADT_2014</f>
        <v>12454028.694014672</v>
      </c>
      <c r="AB159" s="44">
        <f t="shared" si="98"/>
        <v>61445675.820769399</v>
      </c>
      <c r="AD159" s="52">
        <v>17</v>
      </c>
      <c r="AE159" s="87">
        <f>Annual_Days*T_2!B64*L159*I91_AADT_2014</f>
        <v>873540.8522706806</v>
      </c>
      <c r="AF159" s="87">
        <f>Annual_Days*T_2!C64*M159*I91_AADT_2014</f>
        <v>850876.05392323656</v>
      </c>
      <c r="AG159" s="87">
        <f>Annual_Days*T_2!D64*N159*I91_AADT_2014</f>
        <v>1119736.5148857918</v>
      </c>
      <c r="AH159" s="87">
        <f>Annual_Days*T_2!E64*O159*I91_AADT_2014</f>
        <v>1438541.380649098</v>
      </c>
      <c r="AI159" s="87">
        <f>Annual_Days*T_2!F64*P159*I91_AADT_2014</f>
        <v>1352987.9153039812</v>
      </c>
      <c r="AJ159" s="87">
        <f>Annual_Days*T_2!G64*Q159*I91_AADT_2014</f>
        <v>360456.86442058679</v>
      </c>
      <c r="AK159" s="87">
        <f>Annual_Days*T_2!H64*R159*I91_AADT_2014</f>
        <v>1044562.0711716461</v>
      </c>
      <c r="AL159" s="44">
        <f t="shared" si="99"/>
        <v>7040701.6526250215</v>
      </c>
    </row>
    <row r="160" spans="1:38" x14ac:dyDescent="0.25">
      <c r="A160" s="210"/>
      <c r="B160" s="52">
        <v>18</v>
      </c>
      <c r="C160" s="86">
        <v>36.008970382224845</v>
      </c>
      <c r="D160" s="86">
        <v>35.347085354893785</v>
      </c>
      <c r="E160" s="86">
        <v>31.97707900630861</v>
      </c>
      <c r="F160" s="86">
        <v>43.561994236136314</v>
      </c>
      <c r="G160" s="86">
        <v>53.26842364014778</v>
      </c>
      <c r="H160" s="86">
        <v>29.183900102066811</v>
      </c>
      <c r="I160" s="86">
        <v>60.151105149478468</v>
      </c>
      <c r="K160" s="52">
        <v>18</v>
      </c>
      <c r="L160" s="85">
        <f t="shared" si="91"/>
        <v>12.733334018588483</v>
      </c>
      <c r="M160" s="85">
        <f t="shared" si="92"/>
        <v>12.071448991257423</v>
      </c>
      <c r="N160" s="85">
        <f t="shared" si="93"/>
        <v>8.701442642672248</v>
      </c>
      <c r="O160" s="85">
        <f t="shared" si="94"/>
        <v>20.286357872499952</v>
      </c>
      <c r="P160" s="85">
        <f t="shared" si="95"/>
        <v>29.992787276511418</v>
      </c>
      <c r="Q160" s="85">
        <f t="shared" si="96"/>
        <v>5.9082637384304491</v>
      </c>
      <c r="R160" s="85">
        <f t="shared" si="97"/>
        <v>36.875468785842102</v>
      </c>
      <c r="T160" s="52">
        <v>18</v>
      </c>
      <c r="U160" s="87">
        <f>Annual_Days*L160*T_2!J65*I91_AADT_2014</f>
        <v>2172741.4359752662</v>
      </c>
      <c r="V160" s="87">
        <f>Annual_Days*M160*T_2!K65*I91_AADT_2014</f>
        <v>1902244.030598436</v>
      </c>
      <c r="W160" s="87">
        <f>Annual_Days*N160*T_2!L65*I91_AADT_2014</f>
        <v>1391770.6596384379</v>
      </c>
      <c r="X160" s="87">
        <f>Annual_Days*O160*T_2!M65*I91_AADT_2014</f>
        <v>3356940.92318265</v>
      </c>
      <c r="Y160" s="87">
        <f>Annual_Days*P160*T_2!N65*I91_AADT_2014</f>
        <v>5357158.6894647526</v>
      </c>
      <c r="Z160" s="87">
        <f>Annual_Days*Q160*T_2!O65*I91_AADT_2014</f>
        <v>781598.97215419961</v>
      </c>
      <c r="AA160" s="87">
        <f>Annual_Days*R160*T_2!P65*I91_AADT_2014</f>
        <v>4654468.227466614</v>
      </c>
      <c r="AB160" s="44">
        <f t="shared" si="98"/>
        <v>19616922.938480355</v>
      </c>
      <c r="AD160" s="52">
        <v>18</v>
      </c>
      <c r="AE160" s="87">
        <f>Annual_Days*T_2!B65*L160*I91_AADT_2014</f>
        <v>220846.66314845759</v>
      </c>
      <c r="AF160" s="87">
        <f>Annual_Days*T_2!C65*M160*I91_AADT_2014</f>
        <v>261965.79799223482</v>
      </c>
      <c r="AG160" s="87">
        <f>Annual_Days*T_2!D65*N160*I91_AADT_2014</f>
        <v>179143.15574726253</v>
      </c>
      <c r="AH160" s="87">
        <f>Annual_Days*T_2!E65*O160*I91_AADT_2014</f>
        <v>458053.84675139119</v>
      </c>
      <c r="AI160" s="87">
        <f>Annual_Days*T_2!F65*P160*I91_AADT_2014</f>
        <v>570650.42398842599</v>
      </c>
      <c r="AJ160" s="87">
        <f>Annual_Days*T_2!G65*Q160*I91_AADT_2014</f>
        <v>45862.419027229887</v>
      </c>
      <c r="AK160" s="87">
        <f>Annual_Days*T_2!H65*R160*I91_AADT_2014</f>
        <v>328675.43291905476</v>
      </c>
      <c r="AL160" s="44">
        <f t="shared" si="99"/>
        <v>2065197.7395740566</v>
      </c>
    </row>
    <row r="161" spans="1:41" x14ac:dyDescent="0.25">
      <c r="A161" s="210"/>
      <c r="B161" s="52">
        <v>19</v>
      </c>
      <c r="C161" s="86">
        <v>23.498469629573403</v>
      </c>
      <c r="D161" s="86">
        <v>23.44067041107003</v>
      </c>
      <c r="E161" s="86">
        <v>22.978964521728106</v>
      </c>
      <c r="F161" s="86">
        <v>29.052275947682006</v>
      </c>
      <c r="G161" s="86">
        <v>43.398338751321283</v>
      </c>
      <c r="H161" s="86">
        <v>25.956299630384169</v>
      </c>
      <c r="I161" s="86">
        <v>53.771144111530347</v>
      </c>
      <c r="K161" s="52">
        <v>19</v>
      </c>
      <c r="L161" s="85">
        <f t="shared" si="91"/>
        <v>0.22283326593704089</v>
      </c>
      <c r="M161" s="85">
        <f t="shared" si="92"/>
        <v>0.16503404743366801</v>
      </c>
      <c r="N161" s="85">
        <f t="shared" si="93"/>
        <v>0</v>
      </c>
      <c r="O161" s="85">
        <f t="shared" si="94"/>
        <v>5.7766395840456433</v>
      </c>
      <c r="P161" s="85">
        <f t="shared" si="95"/>
        <v>20.122702387684921</v>
      </c>
      <c r="Q161" s="85">
        <f t="shared" si="96"/>
        <v>2.680663266747807</v>
      </c>
      <c r="R161" s="85">
        <f t="shared" si="97"/>
        <v>30.495507747893985</v>
      </c>
      <c r="T161" s="52">
        <v>19</v>
      </c>
      <c r="U161" s="87">
        <f>Annual_Days*L161*T_2!J66*I91_AADT_2014</f>
        <v>25905.275191717268</v>
      </c>
      <c r="V161" s="87">
        <f>Annual_Days*M161*T_2!K66*I91_AADT_2014</f>
        <v>17793.02205684454</v>
      </c>
      <c r="W161" s="87">
        <f>Annual_Days*N161*T_2!L66*I91_AADT_2014</f>
        <v>0</v>
      </c>
      <c r="X161" s="87">
        <f>Annual_Days*O161*T_2!M66*I91_AADT_2014</f>
        <v>672125.48396651552</v>
      </c>
      <c r="Y161" s="87">
        <f>Annual_Days*P161*T_2!N66*I91_AADT_2014</f>
        <v>2538439.3525975458</v>
      </c>
      <c r="Z161" s="87">
        <f>Annual_Days*Q161*T_2!O66*I91_AADT_2014</f>
        <v>247416.17824821192</v>
      </c>
      <c r="AA161" s="87">
        <f>Annual_Days*R161*T_2!P66*I91_AADT_2014</f>
        <v>2635508.2940182113</v>
      </c>
      <c r="AB161" s="44">
        <f t="shared" si="98"/>
        <v>6137187.6060790457</v>
      </c>
      <c r="AD161" s="52">
        <v>19</v>
      </c>
      <c r="AE161" s="87">
        <f>Annual_Days*T_2!B66*L161*I91_AADT_2014</f>
        <v>3021.3247784574905</v>
      </c>
      <c r="AF161" s="87">
        <f>Annual_Days*T_2!C66*M161*I91_AADT_2014</f>
        <v>2639.5759680188289</v>
      </c>
      <c r="AG161" s="87">
        <f>Annual_Days*T_2!D66*N161*I91_AADT_2014</f>
        <v>0</v>
      </c>
      <c r="AH161" s="87">
        <f>Annual_Days*T_2!E66*O161*I91_AADT_2014</f>
        <v>78071.329389981154</v>
      </c>
      <c r="AI161" s="87">
        <f>Annual_Days*T_2!F66*P161*I91_AADT_2014</f>
        <v>208023.73033922122</v>
      </c>
      <c r="AJ161" s="87">
        <f>Annual_Days*T_2!G66*Q161*I91_AADT_2014</f>
        <v>11846.622094088112</v>
      </c>
      <c r="AK161" s="87">
        <f>Annual_Days*T_2!H66*R161*I91_AADT_2014</f>
        <v>210340.3944751377</v>
      </c>
      <c r="AL161" s="44">
        <f t="shared" si="99"/>
        <v>513942.97704490449</v>
      </c>
    </row>
    <row r="162" spans="1:41" x14ac:dyDescent="0.25">
      <c r="A162" s="210"/>
      <c r="B162" s="52">
        <v>20</v>
      </c>
      <c r="C162" s="86">
        <v>24.340557669852249</v>
      </c>
      <c r="D162" s="86">
        <v>23.16249268193225</v>
      </c>
      <c r="E162" s="86">
        <v>23.120757878790847</v>
      </c>
      <c r="F162" s="86">
        <v>25.815315207765387</v>
      </c>
      <c r="G162" s="86">
        <v>38.384188336204147</v>
      </c>
      <c r="H162" s="86">
        <v>24.436774952653892</v>
      </c>
      <c r="I162" s="86">
        <v>46.114306949084117</v>
      </c>
      <c r="K162" s="52">
        <v>20</v>
      </c>
      <c r="L162" s="85">
        <f t="shared" si="91"/>
        <v>1.0649213062158864</v>
      </c>
      <c r="M162" s="85">
        <f t="shared" si="92"/>
        <v>0</v>
      </c>
      <c r="N162" s="85">
        <f t="shared" si="93"/>
        <v>0</v>
      </c>
      <c r="O162" s="85">
        <f t="shared" si="94"/>
        <v>2.5396788441290248</v>
      </c>
      <c r="P162" s="85">
        <f t="shared" si="95"/>
        <v>15.108551972567785</v>
      </c>
      <c r="Q162" s="85">
        <f t="shared" si="96"/>
        <v>1.1611385890175292</v>
      </c>
      <c r="R162" s="85">
        <f t="shared" si="97"/>
        <v>22.838670585447755</v>
      </c>
      <c r="T162" s="52">
        <v>20</v>
      </c>
      <c r="U162" s="87">
        <f>Annual_Days*L162*T_2!J67*I91_AADT_2014</f>
        <v>115555.04675788232</v>
      </c>
      <c r="V162" s="87">
        <f>Annual_Days*M162*T_2!K67*I91_AADT_2014</f>
        <v>0</v>
      </c>
      <c r="W162" s="87">
        <f>Annual_Days*N162*T_2!L67*I91_AADT_2014</f>
        <v>0</v>
      </c>
      <c r="X162" s="87">
        <f>Annual_Days*O162*T_2!M67*I91_AADT_2014</f>
        <v>266815.6243936125</v>
      </c>
      <c r="Y162" s="87">
        <f>Annual_Days*P162*T_2!N67*I91_AADT_2014</f>
        <v>1746733.4814669599</v>
      </c>
      <c r="Z162" s="87">
        <f>Annual_Days*Q162*T_2!O67*I91_AADT_2014</f>
        <v>95834.180099127974</v>
      </c>
      <c r="AA162" s="87">
        <f>Annual_Days*R162*T_2!P67*I91_AADT_2014</f>
        <v>1802399.7526050427</v>
      </c>
      <c r="AB162" s="44">
        <f t="shared" si="98"/>
        <v>4027338.085322625</v>
      </c>
      <c r="AD162" s="52">
        <v>20</v>
      </c>
      <c r="AE162" s="87">
        <f>Annual_Days*T_2!B67*L162*I91_AADT_2014</f>
        <v>11609.683197375989</v>
      </c>
      <c r="AF162" s="87">
        <f>Annual_Days*T_2!C67*M162*I91_AADT_2014</f>
        <v>0</v>
      </c>
      <c r="AG162" s="87">
        <f>Annual_Days*T_2!D67*N162*I91_AADT_2014</f>
        <v>0</v>
      </c>
      <c r="AH162" s="87">
        <f>Annual_Days*T_2!E67*O162*I91_AADT_2014</f>
        <v>36580.855298703333</v>
      </c>
      <c r="AI162" s="87">
        <f>Annual_Days*T_2!F67*P162*I91_AADT_2014</f>
        <v>150156.3021950713</v>
      </c>
      <c r="AJ162" s="87">
        <f>Annual_Days*T_2!G67*Q162*I91_AADT_2014</f>
        <v>7469.0249246311751</v>
      </c>
      <c r="AK162" s="87">
        <f>Annual_Days*T_2!H67*R162*I91_AADT_2014</f>
        <v>158153.07965369511</v>
      </c>
      <c r="AL162" s="44">
        <f t="shared" si="99"/>
        <v>363968.94526947691</v>
      </c>
    </row>
    <row r="163" spans="1:41" x14ac:dyDescent="0.25">
      <c r="A163" s="210"/>
      <c r="B163" s="52">
        <v>21</v>
      </c>
      <c r="C163" s="86">
        <v>23.969971186280098</v>
      </c>
      <c r="D163" s="86">
        <v>23.670264174772633</v>
      </c>
      <c r="E163" s="86">
        <v>23.455855852974192</v>
      </c>
      <c r="F163" s="86">
        <v>25.978538378002892</v>
      </c>
      <c r="G163" s="86">
        <v>31.135013509433637</v>
      </c>
      <c r="H163" s="86">
        <v>23.916793285093615</v>
      </c>
      <c r="I163" s="86">
        <v>35.150752522751759</v>
      </c>
      <c r="K163" s="52">
        <v>21</v>
      </c>
      <c r="L163" s="85">
        <f t="shared" si="91"/>
        <v>0.69433482264373581</v>
      </c>
      <c r="M163" s="85">
        <f t="shared" si="92"/>
        <v>0.39462781113627088</v>
      </c>
      <c r="N163" s="85">
        <f t="shared" si="93"/>
        <v>0.18021948933782994</v>
      </c>
      <c r="O163" s="85">
        <f t="shared" si="94"/>
        <v>2.7029020143665292</v>
      </c>
      <c r="P163" s="85">
        <f t="shared" si="95"/>
        <v>7.859377145797275</v>
      </c>
      <c r="Q163" s="85">
        <f t="shared" si="96"/>
        <v>0.64115692145725234</v>
      </c>
      <c r="R163" s="85">
        <f t="shared" si="97"/>
        <v>11.875116159115397</v>
      </c>
      <c r="T163" s="52">
        <v>21</v>
      </c>
      <c r="U163" s="87">
        <f>Annual_Days*L163*T_2!J68*I91_AADT_2014</f>
        <v>54222.869251416399</v>
      </c>
      <c r="V163" s="87">
        <f>Annual_Days*M163*T_2!K68*I91_AADT_2014</f>
        <v>28784.72281316929</v>
      </c>
      <c r="W163" s="87">
        <f>Annual_Days*N163*T_2!L68*I91_AADT_2014</f>
        <v>13190.948277209443</v>
      </c>
      <c r="X163" s="87">
        <f>Annual_Days*O163*T_2!M68*I91_AADT_2014</f>
        <v>216440.26725183026</v>
      </c>
      <c r="Y163" s="87">
        <f>Annual_Days*P163*T_2!N68*I91_AADT_2014</f>
        <v>682341.43292646029</v>
      </c>
      <c r="Z163" s="87">
        <f>Annual_Days*Q163*T_2!O68*I91_AADT_2014</f>
        <v>39334.303380246543</v>
      </c>
      <c r="AA163" s="87">
        <f>Annual_Days*R163*T_2!P68*I91_AADT_2014</f>
        <v>676401.84991979087</v>
      </c>
      <c r="AB163" s="44">
        <f t="shared" si="98"/>
        <v>1710716.393820123</v>
      </c>
      <c r="AD163" s="52">
        <v>21</v>
      </c>
      <c r="AE163" s="87">
        <f>Annual_Days*T_2!B68*L163*I91_AADT_2014</f>
        <v>7506.5533278838584</v>
      </c>
      <c r="AF163" s="87">
        <f>Annual_Days*T_2!C68*M163*I91_AADT_2014</f>
        <v>4676.6405870299423</v>
      </c>
      <c r="AG163" s="87">
        <f>Annual_Days*T_2!D68*N163*I91_AADT_2014</f>
        <v>2196.933270832189</v>
      </c>
      <c r="AH163" s="87">
        <f>Annual_Days*T_2!E68*O163*I91_AADT_2014</f>
        <v>23960.66567130353</v>
      </c>
      <c r="AI163" s="87">
        <f>Annual_Days*T_2!F68*P163*I91_AADT_2014</f>
        <v>52310.278961667762</v>
      </c>
      <c r="AJ163" s="87">
        <f>Annual_Days*T_2!G68*Q163*I91_AADT_2014</f>
        <v>3134.3199391294816</v>
      </c>
      <c r="AK163" s="87">
        <f>Annual_Days*T_2!H68*R163*I91_AADT_2014</f>
        <v>82559.581433828236</v>
      </c>
      <c r="AL163" s="44">
        <f t="shared" si="99"/>
        <v>176344.973191675</v>
      </c>
    </row>
    <row r="164" spans="1:41" x14ac:dyDescent="0.25">
      <c r="A164" s="210"/>
      <c r="B164" s="52">
        <v>22</v>
      </c>
      <c r="C164" s="86">
        <v>23.442661420386891</v>
      </c>
      <c r="D164" s="86">
        <v>24.793017626925387</v>
      </c>
      <c r="E164" s="86">
        <v>23.585765940766233</v>
      </c>
      <c r="F164" s="86">
        <v>23.730829106294408</v>
      </c>
      <c r="G164" s="86">
        <v>25.900922532935546</v>
      </c>
      <c r="H164" s="86">
        <v>23.348242556697322</v>
      </c>
      <c r="I164" s="86">
        <v>23.477579623293128</v>
      </c>
      <c r="K164" s="52">
        <v>22</v>
      </c>
      <c r="L164" s="85">
        <f t="shared" si="91"/>
        <v>0.16702505675052848</v>
      </c>
      <c r="M164" s="85">
        <f t="shared" si="92"/>
        <v>1.5173812632890247</v>
      </c>
      <c r="N164" s="85">
        <f t="shared" si="93"/>
        <v>0.31012957712987088</v>
      </c>
      <c r="O164" s="85">
        <f t="shared" si="94"/>
        <v>0.45519274265804555</v>
      </c>
      <c r="P164" s="85">
        <f t="shared" si="95"/>
        <v>2.6252861692991836</v>
      </c>
      <c r="Q164" s="85">
        <f t="shared" si="96"/>
        <v>7.2606193060959612E-2</v>
      </c>
      <c r="R164" s="85">
        <f t="shared" si="97"/>
        <v>0.20194325965676541</v>
      </c>
      <c r="T164" s="52">
        <v>22</v>
      </c>
      <c r="U164" s="87">
        <f>Annual_Days*L164*T_2!J69*I91_AADT_2014</f>
        <v>9462.3346853259118</v>
      </c>
      <c r="V164" s="87">
        <f>Annual_Days*M164*T_2!K69*I91_AADT_2014</f>
        <v>81631.105066000557</v>
      </c>
      <c r="W164" s="87">
        <f>Annual_Days*N164*T_2!L69*I91_AADT_2014</f>
        <v>17168.935123452571</v>
      </c>
      <c r="X164" s="87">
        <f>Annual_Days*O164*T_2!M69*I91_AADT_2014</f>
        <v>25533.537433619429</v>
      </c>
      <c r="Y164" s="87">
        <f>Annual_Days*P164*T_2!N69*I91_AADT_2014</f>
        <v>169081.34844479806</v>
      </c>
      <c r="Z164" s="87">
        <f>Annual_Days*Q164*T_2!O69*I91_AADT_2014</f>
        <v>3335.4614884746343</v>
      </c>
      <c r="AA164" s="87">
        <f>Annual_Days*R164*T_2!P69*I91_AADT_2014</f>
        <v>8781.3550170314302</v>
      </c>
      <c r="AB164" s="44">
        <f t="shared" si="98"/>
        <v>314994.0772587026</v>
      </c>
      <c r="AD164" s="52">
        <v>22</v>
      </c>
      <c r="AE164" s="87">
        <f>Annual_Days*T_2!B69*L164*I91_AADT_2014</f>
        <v>1874.0609810017716</v>
      </c>
      <c r="AF164" s="87">
        <f>Annual_Days*T_2!C69*M164*I91_AADT_2014</f>
        <v>16593.606135766975</v>
      </c>
      <c r="AG164" s="87">
        <f>Annual_Days*T_2!D69*N164*I91_AADT_2014</f>
        <v>3046.8385312249466</v>
      </c>
      <c r="AH164" s="87">
        <f>Annual_Days*T_2!E69*O164*I91_AADT_2014</f>
        <v>5374.4890462197463</v>
      </c>
      <c r="AI164" s="87">
        <f>Annual_Days*T_2!F69*P164*I91_AADT_2014</f>
        <v>18262.792532316467</v>
      </c>
      <c r="AJ164" s="87">
        <f>Annual_Days*T_2!G69*Q164*I91_AADT_2014</f>
        <v>336.07301361145937</v>
      </c>
      <c r="AK164" s="87">
        <f>Annual_Days*T_2!H69*R164*I91_AADT_2014</f>
        <v>1071.93581857053</v>
      </c>
      <c r="AL164" s="44">
        <f t="shared" si="99"/>
        <v>46559.796058711894</v>
      </c>
    </row>
    <row r="165" spans="1:41" x14ac:dyDescent="0.25">
      <c r="A165" s="210"/>
      <c r="B165" s="52">
        <v>23</v>
      </c>
      <c r="C165" s="86">
        <v>23.375729036760738</v>
      </c>
      <c r="D165" s="86">
        <v>25.926588193320448</v>
      </c>
      <c r="E165" s="86">
        <v>25.734383880997864</v>
      </c>
      <c r="F165" s="86">
        <v>23.513448090420493</v>
      </c>
      <c r="G165" s="86">
        <v>23.30367663622393</v>
      </c>
      <c r="H165" s="86">
        <v>22.441918918937734</v>
      </c>
      <c r="I165" s="86">
        <v>23.427112013795519</v>
      </c>
      <c r="K165" s="52">
        <v>23</v>
      </c>
      <c r="L165" s="85">
        <f t="shared" si="91"/>
        <v>0.10009267312437586</v>
      </c>
      <c r="M165" s="85">
        <f t="shared" si="92"/>
        <v>2.6509518296840859</v>
      </c>
      <c r="N165" s="85">
        <f t="shared" si="93"/>
        <v>2.4587475173615019</v>
      </c>
      <c r="O165" s="85">
        <f t="shared" si="94"/>
        <v>0.23781172678413043</v>
      </c>
      <c r="P165" s="85">
        <f t="shared" si="95"/>
        <v>2.8040272587567472E-2</v>
      </c>
      <c r="Q165" s="85">
        <f t="shared" si="96"/>
        <v>0</v>
      </c>
      <c r="R165" s="85">
        <f t="shared" si="97"/>
        <v>0.15147565015915632</v>
      </c>
      <c r="T165" s="52">
        <v>23</v>
      </c>
      <c r="U165" s="87">
        <f>Annual_Days*L165*T_2!J70*I91_AADT_2014</f>
        <v>4234.9228885982684</v>
      </c>
      <c r="V165" s="87">
        <f>Annual_Days*M165*T_2!K70*I91_AADT_2014</f>
        <v>102921.0156854103</v>
      </c>
      <c r="W165" s="87">
        <f>Annual_Days*N165*T_2!L70*I91_AADT_2014</f>
        <v>92282.362627513488</v>
      </c>
      <c r="X165" s="87">
        <f>Annual_Days*O165*T_2!M70*I91_AADT_2014</f>
        <v>9952.9832867003752</v>
      </c>
      <c r="Y165" s="87">
        <f>Annual_Days*P165*T_2!N70*I91_AADT_2014</f>
        <v>1317.304805408588</v>
      </c>
      <c r="Z165" s="87">
        <f>Annual_Days*Q165*T_2!O70*I91_AADT_2014</f>
        <v>0</v>
      </c>
      <c r="AA165" s="87">
        <f>Annual_Days*R165*T_2!P70*I91_AADT_2014</f>
        <v>4909.8951323634037</v>
      </c>
      <c r="AB165" s="44">
        <f t="shared" si="98"/>
        <v>215618.48442599442</v>
      </c>
      <c r="AD165" s="52">
        <v>23</v>
      </c>
      <c r="AE165" s="87">
        <f>Annual_Days*T_2!B70*L165*I91_AADT_2014</f>
        <v>823.59844892307217</v>
      </c>
      <c r="AF165" s="87">
        <f>Annual_Days*T_2!C70*M165*I91_AADT_2014</f>
        <v>24856.903266058627</v>
      </c>
      <c r="AG165" s="87">
        <f>Annual_Days*T_2!D70*N165*I91_AADT_2014</f>
        <v>27058.464842126232</v>
      </c>
      <c r="AH165" s="87">
        <f>Annual_Days*T_2!E70*O165*I91_AADT_2014</f>
        <v>2070.689358960235</v>
      </c>
      <c r="AI165" s="87">
        <f>Annual_Days*T_2!F70*P165*I91_AADT_2014</f>
        <v>172.6518246046013</v>
      </c>
      <c r="AJ165" s="87">
        <f>Annual_Days*T_2!G70*Q165*I91_AADT_2014</f>
        <v>0</v>
      </c>
      <c r="AK165" s="87">
        <f>Annual_Days*T_2!H70*R165*I91_AADT_2014</f>
        <v>593.39863198154194</v>
      </c>
      <c r="AL165" s="44">
        <f t="shared" si="99"/>
        <v>55575.706372654313</v>
      </c>
    </row>
    <row r="166" spans="1:41" x14ac:dyDescent="0.25">
      <c r="A166" s="210"/>
      <c r="B166" s="15" t="s">
        <v>12</v>
      </c>
      <c r="C166" s="12">
        <v>2185.5576475159482</v>
      </c>
      <c r="D166" s="12">
        <v>2219.7200101465032</v>
      </c>
      <c r="E166" s="12">
        <v>2247.5228826410266</v>
      </c>
      <c r="F166" s="12">
        <v>2268.0396581317541</v>
      </c>
      <c r="G166" s="12">
        <v>2596.8674019297814</v>
      </c>
      <c r="H166" s="12">
        <v>2344.1295170192143</v>
      </c>
      <c r="I166" s="12">
        <v>2270.7174131675401</v>
      </c>
      <c r="K166" s="15" t="s">
        <v>12</v>
      </c>
      <c r="L166" s="12">
        <f t="shared" ref="L166:R166" si="100">SUM(L142:L165)</f>
        <v>130.95114832497251</v>
      </c>
      <c r="M166" s="12">
        <f t="shared" si="100"/>
        <v>115.49108967611301</v>
      </c>
      <c r="N166" s="12">
        <f t="shared" si="100"/>
        <v>120.84153055557435</v>
      </c>
      <c r="O166" s="12">
        <f t="shared" si="100"/>
        <v>183.58447219514625</v>
      </c>
      <c r="P166" s="12">
        <f t="shared" si="100"/>
        <v>268.19764623264473</v>
      </c>
      <c r="Q166" s="12">
        <f t="shared" si="100"/>
        <v>241.25597457209258</v>
      </c>
      <c r="R166" s="12">
        <f t="shared" si="100"/>
        <v>376.72502329061899</v>
      </c>
      <c r="T166" s="53" t="s">
        <v>97</v>
      </c>
      <c r="U166" s="44">
        <f t="shared" ref="U166:AB166" si="101">SUM(U142:U165)</f>
        <v>29391155.988962565</v>
      </c>
      <c r="V166" s="44">
        <f t="shared" si="101"/>
        <v>23268258.459624011</v>
      </c>
      <c r="W166" s="44">
        <f t="shared" si="101"/>
        <v>26269054.406557709</v>
      </c>
      <c r="X166" s="44">
        <f t="shared" si="101"/>
        <v>39772548.718946643</v>
      </c>
      <c r="Y166" s="44">
        <f t="shared" si="101"/>
        <v>54606831.571326189</v>
      </c>
      <c r="Z166" s="44">
        <f t="shared" si="101"/>
        <v>35198575.420472726</v>
      </c>
      <c r="AA166" s="44">
        <f t="shared" si="101"/>
        <v>56932021.420148931</v>
      </c>
      <c r="AB166" s="44">
        <f t="shared" si="101"/>
        <v>265438445.9860388</v>
      </c>
      <c r="AD166" s="53" t="s">
        <v>97</v>
      </c>
      <c r="AE166" s="44">
        <f t="shared" ref="AE166:AL166" si="102">SUM(AE142:AE165)</f>
        <v>4101045.8403784335</v>
      </c>
      <c r="AF166" s="44">
        <f t="shared" si="102"/>
        <v>3467447.3648147429</v>
      </c>
      <c r="AG166" s="44">
        <f t="shared" si="102"/>
        <v>4370932.7282648422</v>
      </c>
      <c r="AH166" s="44">
        <f t="shared" si="102"/>
        <v>6183545.8356404481</v>
      </c>
      <c r="AI166" s="44">
        <f t="shared" si="102"/>
        <v>7371984.0615081964</v>
      </c>
      <c r="AJ166" s="44">
        <f t="shared" si="102"/>
        <v>2770604.0766089815</v>
      </c>
      <c r="AK166" s="44">
        <f t="shared" si="102"/>
        <v>4470325.0839368198</v>
      </c>
      <c r="AL166" s="44">
        <f t="shared" si="102"/>
        <v>32735884.991152462</v>
      </c>
    </row>
    <row r="167" spans="1:41" x14ac:dyDescent="0.25">
      <c r="U167" s="44"/>
      <c r="V167" s="44"/>
      <c r="W167" s="44"/>
      <c r="X167" s="44"/>
      <c r="Y167" s="44"/>
      <c r="Z167" s="50" t="s">
        <v>102</v>
      </c>
      <c r="AA167" s="49">
        <f>SUM(U142:AA165)</f>
        <v>265438445.98603874</v>
      </c>
      <c r="AB167" s="44"/>
      <c r="AE167" s="44"/>
      <c r="AF167" s="44"/>
      <c r="AG167" s="44"/>
      <c r="AH167" s="44"/>
      <c r="AI167" s="44"/>
      <c r="AJ167" s="50" t="s">
        <v>102</v>
      </c>
      <c r="AK167" s="49">
        <f>SUM(AE142:AK165)</f>
        <v>32735884.991152454</v>
      </c>
      <c r="AL167" s="44"/>
    </row>
    <row r="168" spans="1:41" x14ac:dyDescent="0.25">
      <c r="U168" s="44"/>
      <c r="V168" s="44"/>
      <c r="W168" s="44"/>
      <c r="X168" s="44"/>
      <c r="Y168" s="44"/>
      <c r="Z168" s="50"/>
      <c r="AA168" s="49"/>
      <c r="AB168" s="44"/>
      <c r="AE168" s="44"/>
      <c r="AF168" s="44"/>
      <c r="AG168" s="44"/>
      <c r="AH168" s="44"/>
      <c r="AI168" s="44"/>
      <c r="AJ168" s="50"/>
      <c r="AK168" s="49"/>
      <c r="AL168" s="44"/>
    </row>
    <row r="169" spans="1:41" x14ac:dyDescent="0.25">
      <c r="A169" s="201" t="s">
        <v>146</v>
      </c>
      <c r="B169" s="201"/>
      <c r="C169" s="201"/>
      <c r="D169" s="201"/>
      <c r="E169" s="201"/>
      <c r="F169" s="201"/>
      <c r="G169" s="201"/>
      <c r="H169" s="201"/>
      <c r="I169" s="201"/>
      <c r="J169" s="201"/>
      <c r="K169" s="201" t="s">
        <v>147</v>
      </c>
      <c r="L169" s="201"/>
      <c r="M169" s="201"/>
      <c r="N169" s="201"/>
      <c r="O169" s="201"/>
      <c r="P169" s="201"/>
      <c r="Q169" s="201"/>
      <c r="R169" s="201"/>
      <c r="S169" s="201"/>
      <c r="T169" s="201"/>
      <c r="V169" s="201" t="s">
        <v>150</v>
      </c>
      <c r="W169" s="201"/>
      <c r="X169" s="201"/>
      <c r="Y169" s="201"/>
      <c r="Z169" s="201"/>
      <c r="AA169" s="201"/>
      <c r="AB169" s="201"/>
      <c r="AC169" s="201"/>
      <c r="AD169" s="201"/>
      <c r="AE169" s="201"/>
      <c r="AF169" s="201" t="s">
        <v>151</v>
      </c>
      <c r="AG169" s="201"/>
      <c r="AH169" s="201"/>
      <c r="AI169" s="201"/>
      <c r="AJ169" s="201"/>
      <c r="AK169" s="201"/>
      <c r="AL169" s="201"/>
      <c r="AM169" s="201"/>
      <c r="AN169" s="201"/>
      <c r="AO169" s="201"/>
    </row>
    <row r="170" spans="1:41" ht="30" x14ac:dyDescent="0.25">
      <c r="A170" s="57" t="s">
        <v>48</v>
      </c>
      <c r="B170" s="57" t="s">
        <v>7</v>
      </c>
      <c r="C170" s="57" t="s">
        <v>8</v>
      </c>
      <c r="D170" s="57" t="s">
        <v>2</v>
      </c>
      <c r="E170" s="57" t="s">
        <v>3</v>
      </c>
      <c r="F170" s="57" t="s">
        <v>4</v>
      </c>
      <c r="G170" s="57" t="s">
        <v>5</v>
      </c>
      <c r="H170" s="57" t="s">
        <v>6</v>
      </c>
      <c r="I170" s="57" t="s">
        <v>79</v>
      </c>
      <c r="J170" s="57" t="s">
        <v>78</v>
      </c>
      <c r="K170" s="57" t="s">
        <v>48</v>
      </c>
      <c r="L170" s="57" t="s">
        <v>7</v>
      </c>
      <c r="M170" s="57" t="s">
        <v>8</v>
      </c>
      <c r="N170" s="57" t="s">
        <v>2</v>
      </c>
      <c r="O170" s="57" t="s">
        <v>3</v>
      </c>
      <c r="P170" s="57" t="s">
        <v>4</v>
      </c>
      <c r="Q170" s="57" t="s">
        <v>5</v>
      </c>
      <c r="R170" s="57" t="s">
        <v>6</v>
      </c>
      <c r="S170" s="57" t="s">
        <v>79</v>
      </c>
      <c r="T170" s="57" t="s">
        <v>78</v>
      </c>
      <c r="V170" s="57" t="s">
        <v>48</v>
      </c>
      <c r="W170" s="57" t="s">
        <v>7</v>
      </c>
      <c r="X170" s="57" t="s">
        <v>8</v>
      </c>
      <c r="Y170" s="57" t="s">
        <v>2</v>
      </c>
      <c r="Z170" s="57" t="s">
        <v>3</v>
      </c>
      <c r="AA170" s="57" t="s">
        <v>4</v>
      </c>
      <c r="AB170" s="57" t="s">
        <v>5</v>
      </c>
      <c r="AC170" s="57" t="s">
        <v>6</v>
      </c>
      <c r="AD170" s="57" t="s">
        <v>79</v>
      </c>
      <c r="AE170" s="57" t="s">
        <v>78</v>
      </c>
      <c r="AF170" s="57" t="s">
        <v>48</v>
      </c>
      <c r="AG170" s="57" t="s">
        <v>7</v>
      </c>
      <c r="AH170" s="57" t="s">
        <v>8</v>
      </c>
      <c r="AI170" s="57" t="s">
        <v>2</v>
      </c>
      <c r="AJ170" s="57" t="s">
        <v>3</v>
      </c>
      <c r="AK170" s="57" t="s">
        <v>4</v>
      </c>
      <c r="AL170" s="57" t="s">
        <v>5</v>
      </c>
      <c r="AM170" s="57" t="s">
        <v>6</v>
      </c>
      <c r="AN170" s="57" t="s">
        <v>79</v>
      </c>
      <c r="AO170" s="57" t="s">
        <v>78</v>
      </c>
    </row>
    <row r="171" spans="1:41" x14ac:dyDescent="0.25">
      <c r="A171" s="15">
        <v>1</v>
      </c>
      <c r="B171" s="66">
        <f t="shared" ref="B171:B194" si="103">U202+U233</f>
        <v>13921.852935988856</v>
      </c>
      <c r="C171" s="66">
        <f t="shared" ref="C171:C194" si="104">V202+V233</f>
        <v>229204.0076024337</v>
      </c>
      <c r="D171" s="66">
        <f t="shared" ref="D171:D194" si="105">W202+W233</f>
        <v>21372.088378380769</v>
      </c>
      <c r="E171" s="66">
        <f t="shared" ref="E171:E194" si="106">X202+X233</f>
        <v>50128.89385126908</v>
      </c>
      <c r="F171" s="66">
        <f t="shared" ref="F171:F194" si="107">Y202+Y233</f>
        <v>420740.12554931745</v>
      </c>
      <c r="G171" s="66">
        <f t="shared" ref="G171:G194" si="108">Z202+Z233</f>
        <v>27857.311432223541</v>
      </c>
      <c r="H171" s="66">
        <f t="shared" ref="H171:H194" si="109">AA202+AA233</f>
        <v>0</v>
      </c>
      <c r="I171" s="66">
        <f t="shared" ref="I171:I196" si="110">SUM(B171:H171)</f>
        <v>763224.27974961349</v>
      </c>
      <c r="J171" s="211" t="s">
        <v>38</v>
      </c>
      <c r="K171" s="15">
        <v>1</v>
      </c>
      <c r="L171" s="66">
        <f t="shared" ref="L171:L194" si="111">AE202+AE233</f>
        <v>1939.6738922051884</v>
      </c>
      <c r="M171" s="66">
        <f t="shared" ref="M171:M194" si="112">AF202+AF233</f>
        <v>53996.990258892947</v>
      </c>
      <c r="N171" s="66">
        <f t="shared" ref="N171:N194" si="113">AG202+AG233</f>
        <v>5668.582580645796</v>
      </c>
      <c r="O171" s="66">
        <f t="shared" ref="O171:O194" si="114">AH202+AH233</f>
        <v>13895.377593860554</v>
      </c>
      <c r="P171" s="66">
        <f t="shared" ref="P171:P194" si="115">AI202+AI233</f>
        <v>77290.658422733744</v>
      </c>
      <c r="Q171" s="66">
        <f t="shared" ref="Q171:Q194" si="116">AJ202+AJ233</f>
        <v>3411.6475910244844</v>
      </c>
      <c r="R171" s="66">
        <f t="shared" ref="R171:R194" si="117">AK202+AK233</f>
        <v>0</v>
      </c>
      <c r="S171" s="66">
        <f t="shared" ref="S171:S196" si="118">SUM(L171:R171)</f>
        <v>156202.93033936273</v>
      </c>
      <c r="T171" s="211" t="s">
        <v>38</v>
      </c>
      <c r="V171" s="15">
        <v>1</v>
      </c>
      <c r="W171" s="66">
        <f t="shared" ref="W171:W181" si="119">B171*(1+$O$6)^26</f>
        <v>42177.042145975982</v>
      </c>
      <c r="X171" s="66">
        <f t="shared" ref="X171:X181" si="120">C171*(1+$O$6)^26</f>
        <v>694386.52549505595</v>
      </c>
      <c r="Y171" s="66">
        <f t="shared" ref="Y171:Y181" si="121">D171*(1+$O$6)^26</f>
        <v>64747.952476375074</v>
      </c>
      <c r="Z171" s="66">
        <f t="shared" ref="Z171:Z181" si="122">E171*(1+$O$6)^26</f>
        <v>151868.32373660299</v>
      </c>
      <c r="AA171" s="66">
        <f t="shared" ref="AA171:AA181" si="123">F171*(1+$O$6)^26</f>
        <v>1274656.0453833968</v>
      </c>
      <c r="AB171" s="66">
        <f t="shared" ref="AB171:AB181" si="124">G171*(1+$O$6)^26</f>
        <v>84395.303107475047</v>
      </c>
      <c r="AC171" s="66">
        <f t="shared" ref="AC171:AC181" si="125">H171*(1+$O$6)^26</f>
        <v>0</v>
      </c>
      <c r="AD171" s="66">
        <f t="shared" ref="AD171:AD196" si="126">SUM(W171:AC171)</f>
        <v>2312231.1923448816</v>
      </c>
      <c r="AE171" s="211" t="s">
        <v>38</v>
      </c>
      <c r="AF171" s="15">
        <v>1</v>
      </c>
      <c r="AG171" s="66">
        <f t="shared" ref="AG171:AG181" si="127">L171*(1+$O$6)^26</f>
        <v>5876.3519394393488</v>
      </c>
      <c r="AH171" s="66">
        <f t="shared" ref="AH171:AH181" si="128">M171*(1+$O$6)^26</f>
        <v>163586.94093211368</v>
      </c>
      <c r="AI171" s="66">
        <f t="shared" ref="AI171:AI181" si="129">N171*(1+$O$6)^26</f>
        <v>17173.292054665792</v>
      </c>
      <c r="AJ171" s="66">
        <f t="shared" ref="AJ171:AJ181" si="130">O171*(1+$O$6)^26</f>
        <v>42096.833597163641</v>
      </c>
      <c r="AK171" s="66">
        <f t="shared" ref="AK171:AK181" si="131">P171*(1+$O$6)^26</f>
        <v>234156.42822650803</v>
      </c>
      <c r="AL171" s="66">
        <f t="shared" ref="AL171:AL181" si="132">Q171*(1+$O$6)^26</f>
        <v>10335.779647684987</v>
      </c>
      <c r="AM171" s="66">
        <f t="shared" ref="AM171:AM181" si="133">R171*(1+$O$6)^26</f>
        <v>0</v>
      </c>
      <c r="AN171" s="66">
        <f t="shared" ref="AN171:AN196" si="134">SUM(AG171:AM171)</f>
        <v>473225.62639757548</v>
      </c>
      <c r="AO171" s="211" t="s">
        <v>38</v>
      </c>
    </row>
    <row r="172" spans="1:41" x14ac:dyDescent="0.25">
      <c r="A172" s="15">
        <v>2</v>
      </c>
      <c r="B172" s="66">
        <f t="shared" si="103"/>
        <v>18070.817079430268</v>
      </c>
      <c r="C172" s="66">
        <f t="shared" si="104"/>
        <v>48082.797524965208</v>
      </c>
      <c r="D172" s="66">
        <f t="shared" si="105"/>
        <v>21295.885641077639</v>
      </c>
      <c r="E172" s="66">
        <f t="shared" si="106"/>
        <v>50741.144730305488</v>
      </c>
      <c r="F172" s="66">
        <f t="shared" si="107"/>
        <v>11728.563258328202</v>
      </c>
      <c r="G172" s="66">
        <f t="shared" si="108"/>
        <v>145729.54558299904</v>
      </c>
      <c r="H172" s="66">
        <f t="shared" si="109"/>
        <v>6393.0464804243657</v>
      </c>
      <c r="I172" s="66">
        <f t="shared" si="110"/>
        <v>302041.80029753019</v>
      </c>
      <c r="J172" s="211"/>
      <c r="K172" s="15">
        <v>2</v>
      </c>
      <c r="L172" s="66">
        <f t="shared" si="111"/>
        <v>4420.4542757901836</v>
      </c>
      <c r="M172" s="66">
        <f t="shared" si="112"/>
        <v>22923.194168878763</v>
      </c>
      <c r="N172" s="66">
        <f t="shared" si="113"/>
        <v>9493.3466110828031</v>
      </c>
      <c r="O172" s="66">
        <f t="shared" si="114"/>
        <v>21287.182090022623</v>
      </c>
      <c r="P172" s="66">
        <f t="shared" si="115"/>
        <v>3720.072927751678</v>
      </c>
      <c r="Q172" s="66">
        <f t="shared" si="116"/>
        <v>33573.751736984763</v>
      </c>
      <c r="R172" s="66">
        <f t="shared" si="117"/>
        <v>638.2042958082842</v>
      </c>
      <c r="S172" s="66">
        <f t="shared" si="118"/>
        <v>96056.206106319107</v>
      </c>
      <c r="T172" s="211"/>
      <c r="V172" s="15">
        <v>2</v>
      </c>
      <c r="W172" s="66">
        <f t="shared" si="119"/>
        <v>54746.564058372343</v>
      </c>
      <c r="X172" s="66">
        <f t="shared" si="120"/>
        <v>145669.55900420455</v>
      </c>
      <c r="Y172" s="66">
        <f t="shared" si="121"/>
        <v>64517.0919668114</v>
      </c>
      <c r="Z172" s="66">
        <f t="shared" si="122"/>
        <v>153723.17245880686</v>
      </c>
      <c r="AA172" s="66">
        <f t="shared" si="123"/>
        <v>35532.346817102589</v>
      </c>
      <c r="AB172" s="66">
        <f t="shared" si="124"/>
        <v>441495.91395834571</v>
      </c>
      <c r="AC172" s="66">
        <f t="shared" si="125"/>
        <v>19368.096480103322</v>
      </c>
      <c r="AD172" s="66">
        <f t="shared" si="126"/>
        <v>915052.74474374682</v>
      </c>
      <c r="AE172" s="211"/>
      <c r="AF172" s="15">
        <v>2</v>
      </c>
      <c r="AG172" s="66">
        <f t="shared" si="127"/>
        <v>13392.016648329833</v>
      </c>
      <c r="AH172" s="66">
        <f t="shared" si="128"/>
        <v>69447.115339213808</v>
      </c>
      <c r="AI172" s="66">
        <f t="shared" si="129"/>
        <v>28760.631358699058</v>
      </c>
      <c r="AJ172" s="66">
        <f t="shared" si="130"/>
        <v>64490.724065831921</v>
      </c>
      <c r="AK172" s="66">
        <f t="shared" si="131"/>
        <v>11270.171677671311</v>
      </c>
      <c r="AL172" s="66">
        <f t="shared" si="132"/>
        <v>101713.58284850037</v>
      </c>
      <c r="AM172" s="66">
        <f t="shared" si="133"/>
        <v>1933.4760685817428</v>
      </c>
      <c r="AN172" s="66">
        <f t="shared" si="134"/>
        <v>291007.71800682804</v>
      </c>
      <c r="AO172" s="211"/>
    </row>
    <row r="173" spans="1:41" x14ac:dyDescent="0.25">
      <c r="A173" s="15">
        <v>3</v>
      </c>
      <c r="B173" s="66">
        <f t="shared" si="103"/>
        <v>6942.7751825929445</v>
      </c>
      <c r="C173" s="66">
        <f t="shared" si="104"/>
        <v>56006.756316313491</v>
      </c>
      <c r="D173" s="66">
        <f t="shared" si="105"/>
        <v>12488.503688002864</v>
      </c>
      <c r="E173" s="66">
        <f t="shared" si="106"/>
        <v>18544.159694843598</v>
      </c>
      <c r="F173" s="66">
        <f t="shared" si="107"/>
        <v>10005.79906122144</v>
      </c>
      <c r="G173" s="66">
        <f t="shared" si="108"/>
        <v>68011.004273837141</v>
      </c>
      <c r="H173" s="66">
        <f t="shared" si="109"/>
        <v>212536.55477796079</v>
      </c>
      <c r="I173" s="66">
        <f t="shared" si="110"/>
        <v>384535.55299477221</v>
      </c>
      <c r="J173" s="211"/>
      <c r="K173" s="15">
        <v>3</v>
      </c>
      <c r="L173" s="66">
        <f t="shared" si="111"/>
        <v>2981.9788489169691</v>
      </c>
      <c r="M173" s="66">
        <f t="shared" si="112"/>
        <v>49692.269084572246</v>
      </c>
      <c r="N173" s="66">
        <f t="shared" si="113"/>
        <v>13404.327291789741</v>
      </c>
      <c r="O173" s="66">
        <f t="shared" si="114"/>
        <v>18071.094396505752</v>
      </c>
      <c r="P173" s="66">
        <f t="shared" si="115"/>
        <v>8504.9292020382236</v>
      </c>
      <c r="Q173" s="66">
        <f t="shared" si="116"/>
        <v>24087.230680317323</v>
      </c>
      <c r="R173" s="66">
        <f t="shared" si="117"/>
        <v>27261.220802873835</v>
      </c>
      <c r="S173" s="66">
        <f t="shared" si="118"/>
        <v>144003.05030701408</v>
      </c>
      <c r="T173" s="211"/>
      <c r="V173" s="15">
        <v>3</v>
      </c>
      <c r="W173" s="66">
        <f t="shared" si="119"/>
        <v>21033.530725589408</v>
      </c>
      <c r="X173" s="66">
        <f t="shared" si="120"/>
        <v>169675.64105681138</v>
      </c>
      <c r="Y173" s="66">
        <f t="shared" si="121"/>
        <v>37834.629399614489</v>
      </c>
      <c r="Z173" s="66">
        <f t="shared" si="122"/>
        <v>56180.582326742777</v>
      </c>
      <c r="AA173" s="66">
        <f t="shared" si="123"/>
        <v>30313.135086951574</v>
      </c>
      <c r="AB173" s="66">
        <f t="shared" si="124"/>
        <v>206043.19028773269</v>
      </c>
      <c r="AC173" s="66">
        <f t="shared" si="125"/>
        <v>643891.53294800757</v>
      </c>
      <c r="AD173" s="66">
        <f t="shared" si="126"/>
        <v>1164972.2418314498</v>
      </c>
      <c r="AE173" s="211"/>
      <c r="AF173" s="15">
        <v>3</v>
      </c>
      <c r="AG173" s="66">
        <f t="shared" si="127"/>
        <v>9034.073852630203</v>
      </c>
      <c r="AH173" s="66">
        <f t="shared" si="128"/>
        <v>150545.54427099435</v>
      </c>
      <c r="AI173" s="66">
        <f t="shared" si="129"/>
        <v>40609.168888919558</v>
      </c>
      <c r="AJ173" s="66">
        <f t="shared" si="130"/>
        <v>54747.404206162602</v>
      </c>
      <c r="AK173" s="66">
        <f t="shared" si="131"/>
        <v>25766.164823908839</v>
      </c>
      <c r="AL173" s="66">
        <f t="shared" si="132"/>
        <v>72973.629893571997</v>
      </c>
      <c r="AM173" s="66">
        <f t="shared" si="133"/>
        <v>82589.412777179139</v>
      </c>
      <c r="AN173" s="66">
        <f t="shared" si="134"/>
        <v>436265.39871336671</v>
      </c>
      <c r="AO173" s="211"/>
    </row>
    <row r="174" spans="1:41" x14ac:dyDescent="0.25">
      <c r="A174" s="15">
        <v>4</v>
      </c>
      <c r="B174" s="66">
        <f t="shared" si="103"/>
        <v>118830.87461246847</v>
      </c>
      <c r="C174" s="66">
        <f t="shared" si="104"/>
        <v>10267.359634201071</v>
      </c>
      <c r="D174" s="66">
        <f t="shared" si="105"/>
        <v>8082.9546459069716</v>
      </c>
      <c r="E174" s="66">
        <f t="shared" si="106"/>
        <v>21453.653373749781</v>
      </c>
      <c r="F174" s="66">
        <f t="shared" si="107"/>
        <v>10665.331223517664</v>
      </c>
      <c r="G174" s="66">
        <f t="shared" si="108"/>
        <v>86565.4050099694</v>
      </c>
      <c r="H174" s="66">
        <f t="shared" si="109"/>
        <v>7478.7390471579229</v>
      </c>
      <c r="I174" s="66">
        <f t="shared" si="110"/>
        <v>263344.31754697126</v>
      </c>
      <c r="J174" s="211"/>
      <c r="K174" s="15">
        <v>4</v>
      </c>
      <c r="L174" s="66">
        <f t="shared" si="111"/>
        <v>81440.125273200392</v>
      </c>
      <c r="M174" s="66">
        <f t="shared" si="112"/>
        <v>10925.523713316523</v>
      </c>
      <c r="N174" s="66">
        <f t="shared" si="113"/>
        <v>12292.826857316857</v>
      </c>
      <c r="O174" s="66">
        <f t="shared" si="114"/>
        <v>32793.441585588953</v>
      </c>
      <c r="P174" s="66">
        <f t="shared" si="115"/>
        <v>12116.826005416518</v>
      </c>
      <c r="Q174" s="66">
        <f t="shared" si="116"/>
        <v>40356.114079380757</v>
      </c>
      <c r="R174" s="66">
        <f t="shared" si="117"/>
        <v>1400.7002897687082</v>
      </c>
      <c r="S174" s="66">
        <f t="shared" si="118"/>
        <v>191325.55780398872</v>
      </c>
      <c r="T174" s="211"/>
      <c r="V174" s="15">
        <v>4</v>
      </c>
      <c r="W174" s="66">
        <f t="shared" si="119"/>
        <v>360004.86643678776</v>
      </c>
      <c r="X174" s="66">
        <f t="shared" si="120"/>
        <v>31105.547660264248</v>
      </c>
      <c r="Y174" s="66">
        <f t="shared" si="121"/>
        <v>24487.769001146673</v>
      </c>
      <c r="Z174" s="66">
        <f t="shared" si="122"/>
        <v>64995.058250522568</v>
      </c>
      <c r="AA174" s="66">
        <f t="shared" si="123"/>
        <v>32311.225135287419</v>
      </c>
      <c r="AB174" s="66">
        <f t="shared" si="124"/>
        <v>262254.79842921696</v>
      </c>
      <c r="AC174" s="66">
        <f t="shared" si="125"/>
        <v>22657.263615773943</v>
      </c>
      <c r="AD174" s="66">
        <f t="shared" si="126"/>
        <v>797816.52852899965</v>
      </c>
      <c r="AE174" s="211"/>
      <c r="AF174" s="15">
        <v>4</v>
      </c>
      <c r="AG174" s="66">
        <f t="shared" si="127"/>
        <v>246727.47311831583</v>
      </c>
      <c r="AH174" s="66">
        <f t="shared" si="128"/>
        <v>33099.493023101699</v>
      </c>
      <c r="AI174" s="66">
        <f t="shared" si="129"/>
        <v>37241.815355910578</v>
      </c>
      <c r="AJ174" s="66">
        <f t="shared" si="130"/>
        <v>99349.589040084509</v>
      </c>
      <c r="AK174" s="66">
        <f t="shared" si="131"/>
        <v>36708.610804586897</v>
      </c>
      <c r="AL174" s="66">
        <f t="shared" si="132"/>
        <v>122261.13378728622</v>
      </c>
      <c r="AM174" s="66">
        <f t="shared" si="133"/>
        <v>4243.5008778707061</v>
      </c>
      <c r="AN174" s="66">
        <f t="shared" si="134"/>
        <v>579631.61600715644</v>
      </c>
      <c r="AO174" s="211"/>
    </row>
    <row r="175" spans="1:41" x14ac:dyDescent="0.25">
      <c r="A175" s="15">
        <v>5</v>
      </c>
      <c r="B175" s="66">
        <f t="shared" si="103"/>
        <v>47430.645335961206</v>
      </c>
      <c r="C175" s="66">
        <f t="shared" si="104"/>
        <v>11672.779633259066</v>
      </c>
      <c r="D175" s="66">
        <f t="shared" si="105"/>
        <v>17653.489543242795</v>
      </c>
      <c r="E175" s="66">
        <f t="shared" si="106"/>
        <v>131461.97321136738</v>
      </c>
      <c r="F175" s="66">
        <f t="shared" si="107"/>
        <v>15158.000879439141</v>
      </c>
      <c r="G175" s="66">
        <f t="shared" si="108"/>
        <v>76110.589208002333</v>
      </c>
      <c r="H175" s="66">
        <f t="shared" si="109"/>
        <v>21407.662060715695</v>
      </c>
      <c r="I175" s="66">
        <f t="shared" si="110"/>
        <v>320895.13987198763</v>
      </c>
      <c r="J175" s="211"/>
      <c r="K175" s="15">
        <v>5</v>
      </c>
      <c r="L175" s="66">
        <f t="shared" si="111"/>
        <v>38325.655383075798</v>
      </c>
      <c r="M175" s="66">
        <f t="shared" si="112"/>
        <v>15781.076375691031</v>
      </c>
      <c r="N175" s="66">
        <f t="shared" si="113"/>
        <v>25463.82128055628</v>
      </c>
      <c r="O175" s="66">
        <f t="shared" si="114"/>
        <v>164673.41907529175</v>
      </c>
      <c r="P175" s="66">
        <f t="shared" si="115"/>
        <v>21399.530653325841</v>
      </c>
      <c r="Q175" s="66">
        <f t="shared" si="116"/>
        <v>55428.36387974082</v>
      </c>
      <c r="R175" s="66">
        <f t="shared" si="117"/>
        <v>7061.1660200266415</v>
      </c>
      <c r="S175" s="66">
        <f t="shared" si="118"/>
        <v>328133.03266770818</v>
      </c>
      <c r="T175" s="211"/>
      <c r="V175" s="15">
        <v>5</v>
      </c>
      <c r="W175" s="66">
        <f t="shared" si="119"/>
        <v>143693.82700303482</v>
      </c>
      <c r="X175" s="66">
        <f t="shared" si="120"/>
        <v>35363.347164799539</v>
      </c>
      <c r="Y175" s="66">
        <f t="shared" si="121"/>
        <v>53482.246645784682</v>
      </c>
      <c r="Z175" s="66">
        <f t="shared" si="122"/>
        <v>398271.4951969987</v>
      </c>
      <c r="AA175" s="66">
        <f t="shared" si="123"/>
        <v>45922.022368744081</v>
      </c>
      <c r="AB175" s="66">
        <f t="shared" si="124"/>
        <v>230581.34168926755</v>
      </c>
      <c r="AC175" s="66">
        <f t="shared" si="125"/>
        <v>64855.724962266591</v>
      </c>
      <c r="AD175" s="66">
        <f t="shared" si="126"/>
        <v>972170.00503089605</v>
      </c>
      <c r="AE175" s="211"/>
      <c r="AF175" s="15">
        <v>5</v>
      </c>
      <c r="AG175" s="66">
        <f t="shared" si="127"/>
        <v>116109.7441408451</v>
      </c>
      <c r="AH175" s="66">
        <f t="shared" si="128"/>
        <v>47809.664882019504</v>
      </c>
      <c r="AI175" s="66">
        <f t="shared" si="129"/>
        <v>77144.089101192469</v>
      </c>
      <c r="AJ175" s="66">
        <f t="shared" si="130"/>
        <v>498887.45187834563</v>
      </c>
      <c r="AK175" s="66">
        <f t="shared" si="131"/>
        <v>64831.090402932801</v>
      </c>
      <c r="AL175" s="66">
        <f t="shared" si="132"/>
        <v>167923.36840414046</v>
      </c>
      <c r="AM175" s="66">
        <f t="shared" si="133"/>
        <v>21392.202474464892</v>
      </c>
      <c r="AN175" s="66">
        <f t="shared" si="134"/>
        <v>994097.61128394096</v>
      </c>
      <c r="AO175" s="211"/>
    </row>
    <row r="176" spans="1:41" x14ac:dyDescent="0.25">
      <c r="A176" s="15">
        <v>6</v>
      </c>
      <c r="B176" s="66">
        <f t="shared" si="103"/>
        <v>9987.5187608452998</v>
      </c>
      <c r="C176" s="66">
        <f t="shared" si="104"/>
        <v>58973.794615615101</v>
      </c>
      <c r="D176" s="66">
        <f t="shared" si="105"/>
        <v>250884.59404259475</v>
      </c>
      <c r="E176" s="66">
        <f t="shared" si="106"/>
        <v>85484.967162923305</v>
      </c>
      <c r="F176" s="66">
        <f t="shared" si="107"/>
        <v>223846.82360778659</v>
      </c>
      <c r="G176" s="66">
        <f t="shared" si="108"/>
        <v>48132.983745280377</v>
      </c>
      <c r="H176" s="66">
        <f t="shared" si="109"/>
        <v>25297.92236267832</v>
      </c>
      <c r="I176" s="66">
        <f t="shared" si="110"/>
        <v>702608.60429772374</v>
      </c>
      <c r="J176" s="28" t="s">
        <v>28</v>
      </c>
      <c r="K176" s="15">
        <v>6</v>
      </c>
      <c r="L176" s="66">
        <f t="shared" si="111"/>
        <v>4043.4544237004288</v>
      </c>
      <c r="M176" s="66">
        <f t="shared" si="112"/>
        <v>37062.087486671058</v>
      </c>
      <c r="N176" s="66">
        <f t="shared" si="113"/>
        <v>168905.40274980324</v>
      </c>
      <c r="O176" s="66">
        <f t="shared" si="114"/>
        <v>80374.452821661602</v>
      </c>
      <c r="P176" s="66">
        <f t="shared" si="115"/>
        <v>185719.0679383284</v>
      </c>
      <c r="Q176" s="66">
        <f t="shared" si="116"/>
        <v>22159.335912921531</v>
      </c>
      <c r="R176" s="66">
        <f t="shared" si="117"/>
        <v>7870.4647350554787</v>
      </c>
      <c r="S176" s="66">
        <f t="shared" si="118"/>
        <v>506134.26606814173</v>
      </c>
      <c r="T176" s="28" t="s">
        <v>28</v>
      </c>
      <c r="V176" s="15">
        <v>6</v>
      </c>
      <c r="W176" s="66">
        <f t="shared" si="119"/>
        <v>30257.75388137854</v>
      </c>
      <c r="X176" s="66">
        <f t="shared" si="120"/>
        <v>178664.45166799604</v>
      </c>
      <c r="Y176" s="66">
        <f t="shared" si="121"/>
        <v>760069.09032608557</v>
      </c>
      <c r="Z176" s="66">
        <f t="shared" si="122"/>
        <v>258981.55076452068</v>
      </c>
      <c r="AA176" s="66">
        <f t="shared" si="123"/>
        <v>678156.63309747982</v>
      </c>
      <c r="AB176" s="66">
        <f t="shared" si="124"/>
        <v>145821.6010017111</v>
      </c>
      <c r="AC176" s="66">
        <f t="shared" si="125"/>
        <v>76641.488931266635</v>
      </c>
      <c r="AD176" s="66">
        <f t="shared" si="126"/>
        <v>2128592.5696704383</v>
      </c>
      <c r="AE176" s="28" t="s">
        <v>28</v>
      </c>
      <c r="AF176" s="15">
        <v>6</v>
      </c>
      <c r="AG176" s="66">
        <f t="shared" si="127"/>
        <v>12249.874239289446</v>
      </c>
      <c r="AH176" s="66">
        <f t="shared" si="128"/>
        <v>112281.69361725439</v>
      </c>
      <c r="AI176" s="66">
        <f t="shared" si="129"/>
        <v>511708.48616319569</v>
      </c>
      <c r="AJ176" s="66">
        <f t="shared" si="130"/>
        <v>243498.95805577221</v>
      </c>
      <c r="AK176" s="66">
        <f t="shared" si="131"/>
        <v>562646.43735010677</v>
      </c>
      <c r="AL176" s="66">
        <f t="shared" si="132"/>
        <v>67132.963480033039</v>
      </c>
      <c r="AM176" s="66">
        <f t="shared" si="133"/>
        <v>23844.01877861629</v>
      </c>
      <c r="AN176" s="66">
        <f t="shared" si="134"/>
        <v>1533362.4316842679</v>
      </c>
      <c r="AO176" s="28" t="s">
        <v>28</v>
      </c>
    </row>
    <row r="177" spans="1:41" x14ac:dyDescent="0.25">
      <c r="A177" s="15">
        <v>7</v>
      </c>
      <c r="B177" s="66">
        <f t="shared" si="103"/>
        <v>32531.949996259147</v>
      </c>
      <c r="C177" s="66">
        <f t="shared" si="104"/>
        <v>21922.177176953701</v>
      </c>
      <c r="D177" s="66">
        <f t="shared" si="105"/>
        <v>575858.50678687601</v>
      </c>
      <c r="E177" s="66">
        <f t="shared" si="106"/>
        <v>412290.84569917241</v>
      </c>
      <c r="F177" s="66">
        <f t="shared" si="107"/>
        <v>60188.64722963384</v>
      </c>
      <c r="G177" s="66">
        <f t="shared" si="108"/>
        <v>0</v>
      </c>
      <c r="H177" s="66">
        <f t="shared" si="109"/>
        <v>9453.1271335892397</v>
      </c>
      <c r="I177" s="66">
        <f t="shared" si="110"/>
        <v>1112245.2540224842</v>
      </c>
      <c r="J177" s="34">
        <f>SUM(I176:I179)/3600</f>
        <v>843.33432064302565</v>
      </c>
      <c r="K177" s="15">
        <v>7</v>
      </c>
      <c r="L177" s="66">
        <f t="shared" si="111"/>
        <v>8369.1064909731176</v>
      </c>
      <c r="M177" s="66">
        <f t="shared" si="112"/>
        <v>8164.1211555551727</v>
      </c>
      <c r="N177" s="66">
        <f t="shared" si="113"/>
        <v>241374.26597554944</v>
      </c>
      <c r="O177" s="66">
        <f t="shared" si="114"/>
        <v>178504.63432011253</v>
      </c>
      <c r="P177" s="66">
        <f t="shared" si="115"/>
        <v>27275.029681402699</v>
      </c>
      <c r="Q177" s="66">
        <f t="shared" si="116"/>
        <v>0</v>
      </c>
      <c r="R177" s="66">
        <f t="shared" si="117"/>
        <v>2074.3539164615886</v>
      </c>
      <c r="S177" s="66">
        <f t="shared" si="118"/>
        <v>465761.51154005458</v>
      </c>
      <c r="T177" s="34">
        <f>SUM(S176:S179)/3600</f>
        <v>323.19445985301957</v>
      </c>
      <c r="V177" s="15">
        <v>7</v>
      </c>
      <c r="W177" s="66">
        <f t="shared" si="119"/>
        <v>98557.385456646909</v>
      </c>
      <c r="X177" s="66">
        <f t="shared" si="120"/>
        <v>66414.477654317685</v>
      </c>
      <c r="Y177" s="66">
        <f t="shared" si="121"/>
        <v>1744595.9688370829</v>
      </c>
      <c r="Z177" s="66">
        <f t="shared" si="122"/>
        <v>1249058.4734235979</v>
      </c>
      <c r="AA177" s="66">
        <f t="shared" si="123"/>
        <v>182344.91648386559</v>
      </c>
      <c r="AB177" s="66">
        <f t="shared" si="124"/>
        <v>0</v>
      </c>
      <c r="AC177" s="66">
        <f t="shared" si="125"/>
        <v>28638.784173189004</v>
      </c>
      <c r="AD177" s="66">
        <f t="shared" si="126"/>
        <v>3369610.0060287002</v>
      </c>
      <c r="AE177" s="34">
        <f>SUM(AD176:AD179)/3600</f>
        <v>2554.9290994850226</v>
      </c>
      <c r="AF177" s="15">
        <v>7</v>
      </c>
      <c r="AG177" s="66">
        <f t="shared" si="127"/>
        <v>25354.682226347064</v>
      </c>
      <c r="AH177" s="66">
        <f t="shared" si="128"/>
        <v>24733.66754022866</v>
      </c>
      <c r="AI177" s="66">
        <f t="shared" si="129"/>
        <v>731257.01268454443</v>
      </c>
      <c r="AJ177" s="66">
        <f t="shared" si="130"/>
        <v>540789.90200428036</v>
      </c>
      <c r="AK177" s="66">
        <f t="shared" si="131"/>
        <v>82631.247556958697</v>
      </c>
      <c r="AL177" s="66">
        <f t="shared" si="132"/>
        <v>0</v>
      </c>
      <c r="AM177" s="66">
        <f t="shared" si="133"/>
        <v>6284.3727025806584</v>
      </c>
      <c r="AN177" s="66">
        <f t="shared" si="134"/>
        <v>1411050.8847149399</v>
      </c>
      <c r="AO177" s="34">
        <f>SUM(AN176:AN179)/3600</f>
        <v>979.13592517047539</v>
      </c>
    </row>
    <row r="178" spans="1:41" x14ac:dyDescent="0.25">
      <c r="A178" s="15">
        <v>8</v>
      </c>
      <c r="B178" s="66">
        <f t="shared" si="103"/>
        <v>387032.94497062353</v>
      </c>
      <c r="C178" s="66">
        <f t="shared" si="104"/>
        <v>52623.110825272241</v>
      </c>
      <c r="D178" s="66">
        <f t="shared" si="105"/>
        <v>238899.14899788023</v>
      </c>
      <c r="E178" s="66">
        <f t="shared" si="106"/>
        <v>120358.66601681792</v>
      </c>
      <c r="F178" s="66">
        <f t="shared" si="107"/>
        <v>158033.15929240594</v>
      </c>
      <c r="G178" s="66">
        <f t="shared" si="108"/>
        <v>0</v>
      </c>
      <c r="H178" s="66">
        <f t="shared" si="109"/>
        <v>86016.052728725437</v>
      </c>
      <c r="I178" s="66">
        <f t="shared" si="110"/>
        <v>1042963.0828317252</v>
      </c>
      <c r="J178" s="38">
        <f>J177/$J$195</f>
        <v>8.6541093797104215E-2</v>
      </c>
      <c r="K178" s="15">
        <v>8</v>
      </c>
      <c r="L178" s="66">
        <f t="shared" si="111"/>
        <v>50953.257881508056</v>
      </c>
      <c r="M178" s="66">
        <f t="shared" si="112"/>
        <v>9511.2425086755611</v>
      </c>
      <c r="N178" s="66">
        <f t="shared" si="113"/>
        <v>44452.128555738629</v>
      </c>
      <c r="O178" s="66">
        <f t="shared" si="114"/>
        <v>21680.016555242979</v>
      </c>
      <c r="P178" s="66">
        <f t="shared" si="115"/>
        <v>30058.505807493737</v>
      </c>
      <c r="Q178" s="66">
        <f t="shared" si="116"/>
        <v>0</v>
      </c>
      <c r="R178" s="66">
        <f t="shared" si="117"/>
        <v>11496.509462937536</v>
      </c>
      <c r="S178" s="66">
        <f t="shared" si="118"/>
        <v>168151.66077159651</v>
      </c>
      <c r="T178" s="38">
        <f>T177/$J$195</f>
        <v>3.3165497217661363E-2</v>
      </c>
      <c r="V178" s="15">
        <v>8</v>
      </c>
      <c r="W178" s="66">
        <f t="shared" si="119"/>
        <v>1172538.2323001618</v>
      </c>
      <c r="X178" s="66">
        <f t="shared" si="120"/>
        <v>159424.69535735145</v>
      </c>
      <c r="Y178" s="66">
        <f t="shared" si="121"/>
        <v>723758.50558470911</v>
      </c>
      <c r="Z178" s="66">
        <f t="shared" si="122"/>
        <v>364633.39704602381</v>
      </c>
      <c r="AA178" s="66">
        <f t="shared" si="123"/>
        <v>478770.4086937409</v>
      </c>
      <c r="AB178" s="66">
        <f t="shared" si="124"/>
        <v>0</v>
      </c>
      <c r="AC178" s="66">
        <f t="shared" si="125"/>
        <v>260590.50457224634</v>
      </c>
      <c r="AD178" s="66">
        <f t="shared" si="126"/>
        <v>3159715.7435542336</v>
      </c>
      <c r="AE178" s="38">
        <f>AE177/$AE$195</f>
        <v>0.1153562400413309</v>
      </c>
      <c r="AF178" s="15">
        <v>8</v>
      </c>
      <c r="AG178" s="66">
        <f t="shared" si="127"/>
        <v>154365.78126663732</v>
      </c>
      <c r="AH178" s="66">
        <f t="shared" si="128"/>
        <v>28814.847994263324</v>
      </c>
      <c r="AI178" s="66">
        <f t="shared" si="129"/>
        <v>134670.2416836413</v>
      </c>
      <c r="AJ178" s="66">
        <f t="shared" si="130"/>
        <v>65680.838332386193</v>
      </c>
      <c r="AK178" s="66">
        <f t="shared" si="131"/>
        <v>91063.94616555961</v>
      </c>
      <c r="AL178" s="66">
        <f t="shared" si="132"/>
        <v>0</v>
      </c>
      <c r="AM178" s="66">
        <f t="shared" si="133"/>
        <v>34829.326698061901</v>
      </c>
      <c r="AN178" s="66">
        <f t="shared" si="134"/>
        <v>509424.98214054957</v>
      </c>
      <c r="AO178" s="38">
        <f>AO177/$AE$195</f>
        <v>4.4208443529733299E-2</v>
      </c>
    </row>
    <row r="179" spans="1:41" x14ac:dyDescent="0.25">
      <c r="A179" s="15">
        <v>9</v>
      </c>
      <c r="B179" s="66">
        <f t="shared" si="103"/>
        <v>18726.67691676486</v>
      </c>
      <c r="C179" s="66">
        <f t="shared" si="104"/>
        <v>35898.217922384931</v>
      </c>
      <c r="D179" s="66">
        <f t="shared" si="105"/>
        <v>39784.980579850613</v>
      </c>
      <c r="E179" s="66">
        <f t="shared" si="106"/>
        <v>69986.101981237705</v>
      </c>
      <c r="F179" s="66">
        <f t="shared" si="107"/>
        <v>13790.635762721526</v>
      </c>
      <c r="G179" s="66">
        <f t="shared" si="108"/>
        <v>0</v>
      </c>
      <c r="H179" s="66">
        <f t="shared" si="109"/>
        <v>0</v>
      </c>
      <c r="I179" s="66">
        <f t="shared" si="110"/>
        <v>178186.61316295963</v>
      </c>
      <c r="J179" s="34"/>
      <c r="K179" s="15">
        <v>9</v>
      </c>
      <c r="L179" s="66">
        <f t="shared" si="111"/>
        <v>1980.5580113615506</v>
      </c>
      <c r="M179" s="66">
        <f t="shared" si="112"/>
        <v>4665.7962890164954</v>
      </c>
      <c r="N179" s="66">
        <f t="shared" si="113"/>
        <v>5460.8543834427182</v>
      </c>
      <c r="O179" s="66">
        <f t="shared" si="114"/>
        <v>9399.6142726754861</v>
      </c>
      <c r="P179" s="66">
        <f t="shared" si="115"/>
        <v>1945.794134581319</v>
      </c>
      <c r="Q179" s="66">
        <f t="shared" si="116"/>
        <v>0</v>
      </c>
      <c r="R179" s="66">
        <f t="shared" si="117"/>
        <v>0</v>
      </c>
      <c r="S179" s="66">
        <f t="shared" si="118"/>
        <v>23452.617091077573</v>
      </c>
      <c r="T179" s="34"/>
      <c r="V179" s="15">
        <v>9</v>
      </c>
      <c r="W179" s="66">
        <f t="shared" si="119"/>
        <v>56733.528590198817</v>
      </c>
      <c r="X179" s="66">
        <f t="shared" si="120"/>
        <v>108755.6848387521</v>
      </c>
      <c r="Y179" s="66">
        <f t="shared" si="121"/>
        <v>120530.85249560623</v>
      </c>
      <c r="Z179" s="66">
        <f t="shared" si="122"/>
        <v>212026.86068207427</v>
      </c>
      <c r="AA179" s="66">
        <f t="shared" si="123"/>
        <v>41779.512286077421</v>
      </c>
      <c r="AB179" s="66">
        <f t="shared" si="124"/>
        <v>0</v>
      </c>
      <c r="AC179" s="66">
        <f t="shared" si="125"/>
        <v>0</v>
      </c>
      <c r="AD179" s="66">
        <f t="shared" si="126"/>
        <v>539826.43889270886</v>
      </c>
      <c r="AE179" s="34"/>
      <c r="AF179" s="15">
        <v>9</v>
      </c>
      <c r="AG179" s="66">
        <f t="shared" si="127"/>
        <v>6000.2126945189675</v>
      </c>
      <c r="AH179" s="66">
        <f t="shared" si="128"/>
        <v>14135.294176084421</v>
      </c>
      <c r="AI179" s="66">
        <f t="shared" si="129"/>
        <v>16543.967713385533</v>
      </c>
      <c r="AJ179" s="66">
        <f t="shared" si="130"/>
        <v>28476.663929534036</v>
      </c>
      <c r="AK179" s="66">
        <f t="shared" si="131"/>
        <v>5894.8935604310745</v>
      </c>
      <c r="AL179" s="66">
        <f t="shared" si="132"/>
        <v>0</v>
      </c>
      <c r="AM179" s="66">
        <f t="shared" si="133"/>
        <v>0</v>
      </c>
      <c r="AN179" s="66">
        <f t="shared" si="134"/>
        <v>71051.032073954033</v>
      </c>
      <c r="AO179" s="34"/>
    </row>
    <row r="180" spans="1:41" x14ac:dyDescent="0.25">
      <c r="A180" s="15">
        <v>10</v>
      </c>
      <c r="B180" s="66">
        <f t="shared" si="103"/>
        <v>467.4559944150347</v>
      </c>
      <c r="C180" s="66">
        <f t="shared" si="104"/>
        <v>1924.0936707836163</v>
      </c>
      <c r="D180" s="66">
        <f t="shared" si="105"/>
        <v>49756.671739957863</v>
      </c>
      <c r="E180" s="66">
        <f t="shared" si="106"/>
        <v>46967.425925875956</v>
      </c>
      <c r="F180" s="66">
        <f t="shared" si="107"/>
        <v>5894.9690394449008</v>
      </c>
      <c r="G180" s="66">
        <f t="shared" si="108"/>
        <v>44379.329694924993</v>
      </c>
      <c r="H180" s="66">
        <f t="shared" si="109"/>
        <v>0</v>
      </c>
      <c r="I180" s="66">
        <f t="shared" si="110"/>
        <v>149389.94606540236</v>
      </c>
      <c r="J180" s="32" t="s">
        <v>37</v>
      </c>
      <c r="K180" s="15">
        <v>10</v>
      </c>
      <c r="L180" s="66">
        <f t="shared" si="111"/>
        <v>61.307434030504574</v>
      </c>
      <c r="M180" s="66">
        <f t="shared" si="112"/>
        <v>247.36525654872202</v>
      </c>
      <c r="N180" s="66">
        <f t="shared" si="113"/>
        <v>8906.1120191963601</v>
      </c>
      <c r="O180" s="66">
        <f t="shared" si="114"/>
        <v>5913.2412370641132</v>
      </c>
      <c r="P180" s="66">
        <f t="shared" si="115"/>
        <v>844.65666525811537</v>
      </c>
      <c r="Q180" s="66">
        <f t="shared" si="116"/>
        <v>4883.6228189928124</v>
      </c>
      <c r="R180" s="66">
        <f t="shared" si="117"/>
        <v>0</v>
      </c>
      <c r="S180" s="66">
        <f t="shared" si="118"/>
        <v>20856.30543109063</v>
      </c>
      <c r="T180" s="32" t="s">
        <v>37</v>
      </c>
      <c r="V180" s="15">
        <v>10</v>
      </c>
      <c r="W180" s="66">
        <f t="shared" si="119"/>
        <v>1416.1844165775644</v>
      </c>
      <c r="X180" s="66">
        <f t="shared" si="120"/>
        <v>5829.1507760193153</v>
      </c>
      <c r="Y180" s="66">
        <f t="shared" si="121"/>
        <v>150740.65576391137</v>
      </c>
      <c r="Z180" s="66">
        <f t="shared" si="122"/>
        <v>142290.47755868788</v>
      </c>
      <c r="AA180" s="66">
        <f t="shared" si="123"/>
        <v>17859.142656446329</v>
      </c>
      <c r="AB180" s="66">
        <f t="shared" si="124"/>
        <v>134449.69341073302</v>
      </c>
      <c r="AC180" s="66">
        <f t="shared" si="125"/>
        <v>0</v>
      </c>
      <c r="AD180" s="66">
        <f t="shared" si="126"/>
        <v>452585.30458237545</v>
      </c>
      <c r="AE180" s="32" t="s">
        <v>37</v>
      </c>
      <c r="AF180" s="15">
        <v>10</v>
      </c>
      <c r="AG180" s="66">
        <f t="shared" si="127"/>
        <v>185.7343444766513</v>
      </c>
      <c r="AH180" s="66">
        <f t="shared" si="128"/>
        <v>749.40705801706235</v>
      </c>
      <c r="AI180" s="66">
        <f t="shared" si="129"/>
        <v>26981.570895594814</v>
      </c>
      <c r="AJ180" s="66">
        <f t="shared" si="130"/>
        <v>17914.499314258228</v>
      </c>
      <c r="AK180" s="66">
        <f t="shared" si="131"/>
        <v>2558.9352174075843</v>
      </c>
      <c r="AL180" s="66">
        <f t="shared" si="132"/>
        <v>14795.211988574245</v>
      </c>
      <c r="AM180" s="66">
        <f t="shared" si="133"/>
        <v>0</v>
      </c>
      <c r="AN180" s="66">
        <f t="shared" si="134"/>
        <v>63185.358818328583</v>
      </c>
      <c r="AO180" s="32" t="s">
        <v>37</v>
      </c>
    </row>
    <row r="181" spans="1:41" x14ac:dyDescent="0.25">
      <c r="A181" s="15">
        <v>11</v>
      </c>
      <c r="B181" s="66">
        <f t="shared" si="103"/>
        <v>15285.862138582457</v>
      </c>
      <c r="C181" s="66">
        <f t="shared" si="104"/>
        <v>5887.0019224136086</v>
      </c>
      <c r="D181" s="66">
        <f t="shared" si="105"/>
        <v>86068.21248075577</v>
      </c>
      <c r="E181" s="66">
        <f t="shared" si="106"/>
        <v>57075.856695150433</v>
      </c>
      <c r="F181" s="66">
        <f t="shared" si="107"/>
        <v>53128.46398207506</v>
      </c>
      <c r="G181" s="66">
        <f t="shared" si="108"/>
        <v>64648.680191875363</v>
      </c>
      <c r="H181" s="66">
        <f t="shared" si="109"/>
        <v>0</v>
      </c>
      <c r="I181" s="66">
        <f t="shared" si="110"/>
        <v>282094.07741085271</v>
      </c>
      <c r="J181" s="79">
        <f>SUM(I180:I184)/3600</f>
        <v>1208.1664877889939</v>
      </c>
      <c r="K181" s="15">
        <v>11</v>
      </c>
      <c r="L181" s="66">
        <f t="shared" si="111"/>
        <v>2142.4425910261816</v>
      </c>
      <c r="M181" s="66">
        <f t="shared" si="112"/>
        <v>811.65301906694629</v>
      </c>
      <c r="N181" s="66">
        <f t="shared" si="113"/>
        <v>11926.951777868184</v>
      </c>
      <c r="O181" s="66">
        <f t="shared" si="114"/>
        <v>7382.2891061210121</v>
      </c>
      <c r="P181" s="66">
        <f t="shared" si="115"/>
        <v>8381.9178612497071</v>
      </c>
      <c r="Q181" s="66">
        <f t="shared" si="116"/>
        <v>6551.0662594433679</v>
      </c>
      <c r="R181" s="66">
        <f t="shared" si="117"/>
        <v>0</v>
      </c>
      <c r="S181" s="66">
        <f t="shared" si="118"/>
        <v>37196.320614775395</v>
      </c>
      <c r="T181" s="79">
        <f>SUM(S180:S184)/3600</f>
        <v>190.65395448830787</v>
      </c>
      <c r="V181" s="15">
        <v>11</v>
      </c>
      <c r="W181" s="66">
        <f t="shared" si="119"/>
        <v>46309.385296690576</v>
      </c>
      <c r="X181" s="66">
        <f t="shared" si="120"/>
        <v>17835.005824060885</v>
      </c>
      <c r="Y181" s="66">
        <f t="shared" si="121"/>
        <v>260748.52549588503</v>
      </c>
      <c r="Z181" s="66">
        <f t="shared" si="122"/>
        <v>172914.54121929765</v>
      </c>
      <c r="AA181" s="66">
        <f t="shared" si="123"/>
        <v>160955.6913742664</v>
      </c>
      <c r="AB181" s="66">
        <f t="shared" si="124"/>
        <v>195856.8390049421</v>
      </c>
      <c r="AC181" s="66">
        <f t="shared" si="125"/>
        <v>0</v>
      </c>
      <c r="AD181" s="66">
        <f t="shared" si="126"/>
        <v>854619.98821514263</v>
      </c>
      <c r="AE181" s="79">
        <f>SUM(AD180:AD184)/3600</f>
        <v>2683.4407765579399</v>
      </c>
      <c r="AF181" s="15">
        <v>11</v>
      </c>
      <c r="AG181" s="66">
        <f t="shared" si="127"/>
        <v>6490.6511994142775</v>
      </c>
      <c r="AH181" s="66">
        <f t="shared" si="128"/>
        <v>2458.9488016067521</v>
      </c>
      <c r="AI181" s="66">
        <f t="shared" si="129"/>
        <v>36133.376075807457</v>
      </c>
      <c r="AJ181" s="66">
        <f t="shared" si="130"/>
        <v>22365.063055489707</v>
      </c>
      <c r="AK181" s="66">
        <f t="shared" si="131"/>
        <v>25393.494998367274</v>
      </c>
      <c r="AL181" s="66">
        <f t="shared" si="132"/>
        <v>19846.826352500793</v>
      </c>
      <c r="AM181" s="66">
        <f t="shared" si="133"/>
        <v>0</v>
      </c>
      <c r="AN181" s="66">
        <f t="shared" si="134"/>
        <v>112688.36048318626</v>
      </c>
      <c r="AO181" s="79">
        <f>SUM(AN180:AN184)/3600</f>
        <v>420.95627288997201</v>
      </c>
    </row>
    <row r="182" spans="1:41" x14ac:dyDescent="0.25">
      <c r="A182" s="15">
        <v>12</v>
      </c>
      <c r="B182" s="66">
        <f t="shared" si="103"/>
        <v>77543.508450474546</v>
      </c>
      <c r="C182" s="66">
        <f t="shared" si="104"/>
        <v>76653.403045429615</v>
      </c>
      <c r="D182" s="66">
        <f t="shared" si="105"/>
        <v>89501.667311756537</v>
      </c>
      <c r="E182" s="66">
        <f t="shared" si="106"/>
        <v>138067.68637845531</v>
      </c>
      <c r="F182" s="66">
        <f t="shared" si="107"/>
        <v>118652.44936465978</v>
      </c>
      <c r="G182" s="66">
        <f t="shared" si="108"/>
        <v>67967.524877176329</v>
      </c>
      <c r="H182" s="66">
        <f t="shared" si="109"/>
        <v>65912.834312735737</v>
      </c>
      <c r="I182" s="66">
        <f t="shared" si="110"/>
        <v>634299.0737406878</v>
      </c>
      <c r="J182" s="39">
        <f>J181/$J$195</f>
        <v>0.12397936000344843</v>
      </c>
      <c r="K182" s="15">
        <v>12</v>
      </c>
      <c r="L182" s="66">
        <f t="shared" si="111"/>
        <v>11466.858585533495</v>
      </c>
      <c r="M182" s="66">
        <f t="shared" si="112"/>
        <v>13218.338310454474</v>
      </c>
      <c r="N182" s="66">
        <f t="shared" si="113"/>
        <v>15697.831582196224</v>
      </c>
      <c r="O182" s="66">
        <f t="shared" si="114"/>
        <v>24333.768480494051</v>
      </c>
      <c r="P182" s="66">
        <f t="shared" si="115"/>
        <v>18661.300721671847</v>
      </c>
      <c r="Q182" s="66">
        <f t="shared" si="116"/>
        <v>5577.2039013000258</v>
      </c>
      <c r="R182" s="66">
        <f t="shared" si="117"/>
        <v>4090.7440875911166</v>
      </c>
      <c r="S182" s="66">
        <f t="shared" si="118"/>
        <v>93046.045669241241</v>
      </c>
      <c r="T182" s="39">
        <f>T181/$J$195</f>
        <v>1.9564485109038399E-2</v>
      </c>
      <c r="V182" s="15">
        <v>12</v>
      </c>
      <c r="W182" s="66">
        <f t="shared" ref="W182:W194" si="135">B182*(1+$O$7)^26</f>
        <v>165326.4416073178</v>
      </c>
      <c r="X182" s="66">
        <f t="shared" ref="X182:X194" si="136">C182*(1+$O$7)^26</f>
        <v>163428.69462356472</v>
      </c>
      <c r="Y182" s="66">
        <f t="shared" ref="Y182:Y194" si="137">D182*(1+$O$7)^26</f>
        <v>190821.80404598583</v>
      </c>
      <c r="Z182" s="66">
        <f t="shared" ref="Z182:Z194" si="138">E182*(1+$O$7)^26</f>
        <v>294366.86250124744</v>
      </c>
      <c r="AA182" s="66">
        <f t="shared" ref="AA182:AA194" si="139">F182*(1+$O$7)^26</f>
        <v>252972.65539616693</v>
      </c>
      <c r="AB182" s="66">
        <f t="shared" ref="AB182:AB194" si="140">G182*(1+$O$7)^26</f>
        <v>144909.98998294157</v>
      </c>
      <c r="AC182" s="66">
        <f t="shared" ref="AC182:AC194" si="141">H182*(1+$O$7)^26</f>
        <v>140529.29214747995</v>
      </c>
      <c r="AD182" s="66">
        <f t="shared" si="126"/>
        <v>1352355.7403047043</v>
      </c>
      <c r="AE182" s="39">
        <f>AE181/$AE$195</f>
        <v>0.12115860217792621</v>
      </c>
      <c r="AF182" s="15">
        <v>12</v>
      </c>
      <c r="AG182" s="66">
        <f t="shared" ref="AG182:AG194" si="142">L182*(1+$O$7)^26</f>
        <v>24447.886924943134</v>
      </c>
      <c r="AH182" s="66">
        <f t="shared" ref="AH182:AH194" si="143">M182*(1+$O$7)^26</f>
        <v>28182.124854782083</v>
      </c>
      <c r="AI182" s="66">
        <f t="shared" ref="AI182:AI194" si="144">N182*(1+$O$7)^26</f>
        <v>33468.522230884315</v>
      </c>
      <c r="AJ182" s="66">
        <f t="shared" ref="AJ182:AJ194" si="145">O182*(1+$O$7)^26</f>
        <v>51880.749712863551</v>
      </c>
      <c r="AK182" s="66">
        <f t="shared" ref="AK182:AK194" si="146">P182*(1+$O$7)^26</f>
        <v>39786.779135077908</v>
      </c>
      <c r="AL182" s="66">
        <f t="shared" ref="AL182:AL194" si="147">Q182*(1+$O$7)^26</f>
        <v>11890.863510635247</v>
      </c>
      <c r="AM182" s="66">
        <f t="shared" ref="AM182:AM194" si="148">R182*(1+$O$7)^26</f>
        <v>8721.6606140481435</v>
      </c>
      <c r="AN182" s="66">
        <f t="shared" si="134"/>
        <v>198378.58698323436</v>
      </c>
      <c r="AO182" s="39">
        <f>AO181/$AE$195</f>
        <v>1.9006371985894818E-2</v>
      </c>
    </row>
    <row r="183" spans="1:41" x14ac:dyDescent="0.25">
      <c r="A183" s="15">
        <v>13</v>
      </c>
      <c r="B183" s="66">
        <f t="shared" si="103"/>
        <v>193181.18806924805</v>
      </c>
      <c r="C183" s="66">
        <f t="shared" si="104"/>
        <v>376142.94680523634</v>
      </c>
      <c r="D183" s="66">
        <f t="shared" si="105"/>
        <v>230517.86242856478</v>
      </c>
      <c r="E183" s="66">
        <f t="shared" si="106"/>
        <v>152162.08642127868</v>
      </c>
      <c r="F183" s="66">
        <f t="shared" si="107"/>
        <v>800106.24402101221</v>
      </c>
      <c r="G183" s="66">
        <f t="shared" si="108"/>
        <v>257782.03524797203</v>
      </c>
      <c r="H183" s="66">
        <f t="shared" si="109"/>
        <v>132669.76809787139</v>
      </c>
      <c r="I183" s="66">
        <f t="shared" si="110"/>
        <v>2142562.1310911835</v>
      </c>
      <c r="J183" s="35"/>
      <c r="K183" s="15">
        <v>13</v>
      </c>
      <c r="L183" s="66">
        <f t="shared" si="111"/>
        <v>32596.149358546551</v>
      </c>
      <c r="M183" s="66">
        <f t="shared" si="112"/>
        <v>70826.740533498101</v>
      </c>
      <c r="N183" s="66">
        <f t="shared" si="113"/>
        <v>54497.720379070823</v>
      </c>
      <c r="O183" s="66">
        <f t="shared" si="114"/>
        <v>30622.619892282342</v>
      </c>
      <c r="P183" s="66">
        <f t="shared" si="115"/>
        <v>129746.95848989385</v>
      </c>
      <c r="Q183" s="66">
        <f t="shared" si="116"/>
        <v>20967.916742658017</v>
      </c>
      <c r="R183" s="66">
        <f t="shared" si="117"/>
        <v>8688.1970828112972</v>
      </c>
      <c r="S183" s="66">
        <f t="shared" si="118"/>
        <v>347946.30247876095</v>
      </c>
      <c r="T183" s="35"/>
      <c r="V183" s="15">
        <v>13</v>
      </c>
      <c r="W183" s="66">
        <f t="shared" si="135"/>
        <v>411871.46477078652</v>
      </c>
      <c r="X183" s="66">
        <f t="shared" si="136"/>
        <v>801954.62100760522</v>
      </c>
      <c r="Y183" s="66">
        <f t="shared" si="137"/>
        <v>491475.02716594713</v>
      </c>
      <c r="Z183" s="66">
        <f t="shared" si="138"/>
        <v>324416.79256287537</v>
      </c>
      <c r="AA183" s="66">
        <f t="shared" si="139"/>
        <v>1705864.4994928744</v>
      </c>
      <c r="AB183" s="66">
        <f t="shared" si="140"/>
        <v>549603.53805836302</v>
      </c>
      <c r="AC183" s="66">
        <f t="shared" si="141"/>
        <v>282858.24444605585</v>
      </c>
      <c r="AD183" s="66">
        <f t="shared" si="126"/>
        <v>4568044.1875045076</v>
      </c>
      <c r="AE183" s="35"/>
      <c r="AF183" s="15">
        <v>13</v>
      </c>
      <c r="AG183" s="66">
        <f t="shared" si="142"/>
        <v>69496.538024082343</v>
      </c>
      <c r="AH183" s="66">
        <f t="shared" si="143"/>
        <v>151005.97351133087</v>
      </c>
      <c r="AI183" s="66">
        <f t="shared" si="144"/>
        <v>116191.72727704</v>
      </c>
      <c r="AJ183" s="66">
        <f t="shared" si="145"/>
        <v>65288.87950327868</v>
      </c>
      <c r="AK183" s="66">
        <f t="shared" si="146"/>
        <v>276626.67559343902</v>
      </c>
      <c r="AL183" s="66">
        <f t="shared" si="147"/>
        <v>44704.594004747247</v>
      </c>
      <c r="AM183" s="66">
        <f t="shared" si="148"/>
        <v>18523.648676557663</v>
      </c>
      <c r="AN183" s="66">
        <f t="shared" si="134"/>
        <v>741838.03659047582</v>
      </c>
      <c r="AO183" s="35"/>
    </row>
    <row r="184" spans="1:41" x14ac:dyDescent="0.25">
      <c r="A184" s="15">
        <v>14</v>
      </c>
      <c r="B184" s="66">
        <f t="shared" si="103"/>
        <v>186842.25604984848</v>
      </c>
      <c r="C184" s="66">
        <f t="shared" si="104"/>
        <v>123721.101522581</v>
      </c>
      <c r="D184" s="66">
        <f t="shared" si="105"/>
        <v>145438.8128059679</v>
      </c>
      <c r="E184" s="66">
        <f t="shared" si="106"/>
        <v>199235.86620472121</v>
      </c>
      <c r="F184" s="66">
        <f t="shared" si="107"/>
        <v>225896.77916780734</v>
      </c>
      <c r="G184" s="66">
        <f t="shared" si="108"/>
        <v>94057.400248909689</v>
      </c>
      <c r="H184" s="66">
        <f t="shared" si="109"/>
        <v>165861.91173241593</v>
      </c>
      <c r="I184" s="66">
        <f t="shared" si="110"/>
        <v>1141054.1277322515</v>
      </c>
      <c r="J184" s="35"/>
      <c r="K184" s="15">
        <v>14</v>
      </c>
      <c r="L184" s="66">
        <f t="shared" si="111"/>
        <v>30474.452780874166</v>
      </c>
      <c r="M184" s="66">
        <f t="shared" si="112"/>
        <v>26881.949920457122</v>
      </c>
      <c r="N184" s="66">
        <f t="shared" si="113"/>
        <v>35944.953735315263</v>
      </c>
      <c r="O184" s="66">
        <f t="shared" si="114"/>
        <v>40129.332610864374</v>
      </c>
      <c r="P184" s="66">
        <f t="shared" si="115"/>
        <v>36809.798907559983</v>
      </c>
      <c r="Q184" s="66">
        <f t="shared" si="116"/>
        <v>6809.2743141806668</v>
      </c>
      <c r="R184" s="66">
        <f t="shared" si="117"/>
        <v>10259.499694788614</v>
      </c>
      <c r="S184" s="66">
        <f t="shared" si="118"/>
        <v>187309.26196404017</v>
      </c>
      <c r="T184" s="35"/>
      <c r="V184" s="15">
        <v>14</v>
      </c>
      <c r="W184" s="66">
        <f t="shared" si="135"/>
        <v>398356.56074722984</v>
      </c>
      <c r="X184" s="66">
        <f t="shared" si="136"/>
        <v>263779.26244502864</v>
      </c>
      <c r="Y184" s="66">
        <f t="shared" si="137"/>
        <v>310082.45400916378</v>
      </c>
      <c r="Z184" s="66">
        <f t="shared" si="138"/>
        <v>424780.32601807872</v>
      </c>
      <c r="AA184" s="66">
        <f t="shared" si="139"/>
        <v>481622.65825540049</v>
      </c>
      <c r="AB184" s="66">
        <f t="shared" si="140"/>
        <v>200534.84296392219</v>
      </c>
      <c r="AC184" s="66">
        <f t="shared" si="141"/>
        <v>353625.47056303005</v>
      </c>
      <c r="AD184" s="66">
        <f t="shared" si="126"/>
        <v>2432781.5750018535</v>
      </c>
      <c r="AE184" s="35"/>
      <c r="AF184" s="15">
        <v>14</v>
      </c>
      <c r="AG184" s="66">
        <f t="shared" si="142"/>
        <v>64972.98018711614</v>
      </c>
      <c r="AH184" s="66">
        <f t="shared" si="143"/>
        <v>57313.593524772965</v>
      </c>
      <c r="AI184" s="66">
        <f t="shared" si="144"/>
        <v>76636.347949032875</v>
      </c>
      <c r="AJ184" s="66">
        <f t="shared" si="145"/>
        <v>85557.642376576026</v>
      </c>
      <c r="AK184" s="66">
        <f t="shared" si="146"/>
        <v>78480.23891715701</v>
      </c>
      <c r="AL184" s="66">
        <f t="shared" si="147"/>
        <v>14517.696126821427</v>
      </c>
      <c r="AM184" s="66">
        <f t="shared" si="148"/>
        <v>21873.740447197735</v>
      </c>
      <c r="AN184" s="66">
        <f t="shared" si="134"/>
        <v>399352.23952867417</v>
      </c>
      <c r="AO184" s="35"/>
    </row>
    <row r="185" spans="1:41" x14ac:dyDescent="0.25">
      <c r="A185" s="15">
        <v>15</v>
      </c>
      <c r="B185" s="66">
        <f t="shared" si="103"/>
        <v>135824.32400556537</v>
      </c>
      <c r="C185" s="66">
        <f t="shared" si="104"/>
        <v>153935.55223827524</v>
      </c>
      <c r="D185" s="66">
        <f t="shared" si="105"/>
        <v>269734.46415953827</v>
      </c>
      <c r="E185" s="66">
        <f t="shared" si="106"/>
        <v>282313.93336350075</v>
      </c>
      <c r="F185" s="66">
        <f t="shared" si="107"/>
        <v>468804.03733495501</v>
      </c>
      <c r="G185" s="66">
        <f t="shared" si="108"/>
        <v>119330.11359421542</v>
      </c>
      <c r="H185" s="66">
        <f t="shared" si="109"/>
        <v>263125.83845652378</v>
      </c>
      <c r="I185" s="66">
        <f t="shared" si="110"/>
        <v>1693068.263152574</v>
      </c>
      <c r="J185" s="33" t="s">
        <v>29</v>
      </c>
      <c r="K185" s="15">
        <v>15</v>
      </c>
      <c r="L185" s="66">
        <f t="shared" si="111"/>
        <v>23763.003279058397</v>
      </c>
      <c r="M185" s="66">
        <f t="shared" si="112"/>
        <v>33288.644601675267</v>
      </c>
      <c r="N185" s="66">
        <f t="shared" si="113"/>
        <v>50669.543627091531</v>
      </c>
      <c r="O185" s="66">
        <f t="shared" si="114"/>
        <v>46963.577749265867</v>
      </c>
      <c r="P185" s="66">
        <f t="shared" si="115"/>
        <v>75777.541785419715</v>
      </c>
      <c r="Q185" s="66">
        <f t="shared" si="116"/>
        <v>9575.279276310026</v>
      </c>
      <c r="R185" s="66">
        <f t="shared" si="117"/>
        <v>17541.722563768257</v>
      </c>
      <c r="S185" s="66">
        <f t="shared" si="118"/>
        <v>257579.31288258906</v>
      </c>
      <c r="T185" s="33" t="s">
        <v>29</v>
      </c>
      <c r="V185" s="15">
        <v>15</v>
      </c>
      <c r="W185" s="66">
        <f t="shared" si="135"/>
        <v>289583.90741245978</v>
      </c>
      <c r="X185" s="66">
        <f t="shared" si="136"/>
        <v>328197.90588486951</v>
      </c>
      <c r="Y185" s="66">
        <f t="shared" si="137"/>
        <v>575086.683972192</v>
      </c>
      <c r="Z185" s="66">
        <f t="shared" si="138"/>
        <v>601906.70955986879</v>
      </c>
      <c r="AA185" s="66">
        <f t="shared" si="139"/>
        <v>999512.46535657556</v>
      </c>
      <c r="AB185" s="66">
        <f t="shared" si="140"/>
        <v>254417.4677075489</v>
      </c>
      <c r="AC185" s="66">
        <f t="shared" si="141"/>
        <v>560996.78021072038</v>
      </c>
      <c r="AD185" s="66">
        <f t="shared" si="126"/>
        <v>3609701.9201042349</v>
      </c>
      <c r="AE185" s="33" t="s">
        <v>29</v>
      </c>
      <c r="AF185" s="15">
        <v>15</v>
      </c>
      <c r="AG185" s="66">
        <f t="shared" si="142"/>
        <v>50663.851204758161</v>
      </c>
      <c r="AH185" s="66">
        <f t="shared" si="143"/>
        <v>70972.970760545213</v>
      </c>
      <c r="AI185" s="66">
        <f t="shared" si="144"/>
        <v>108029.87268862122</v>
      </c>
      <c r="AJ185" s="66">
        <f t="shared" si="145"/>
        <v>100128.57748619467</v>
      </c>
      <c r="AK185" s="66">
        <f t="shared" si="146"/>
        <v>161561.31683330622</v>
      </c>
      <c r="AL185" s="66">
        <f t="shared" si="147"/>
        <v>20414.950029758962</v>
      </c>
      <c r="AM185" s="66">
        <f t="shared" si="148"/>
        <v>37399.785347381374</v>
      </c>
      <c r="AN185" s="66">
        <f t="shared" si="134"/>
        <v>549171.3243505659</v>
      </c>
      <c r="AO185" s="33" t="s">
        <v>29</v>
      </c>
    </row>
    <row r="186" spans="1:41" x14ac:dyDescent="0.25">
      <c r="A186" s="15">
        <v>16</v>
      </c>
      <c r="B186" s="66">
        <f t="shared" si="103"/>
        <v>247352.73863754491</v>
      </c>
      <c r="C186" s="66">
        <f t="shared" si="104"/>
        <v>707688.85009701923</v>
      </c>
      <c r="D186" s="66">
        <f t="shared" si="105"/>
        <v>413241.45672379457</v>
      </c>
      <c r="E186" s="66">
        <f t="shared" si="106"/>
        <v>362234.715702507</v>
      </c>
      <c r="F186" s="66">
        <f t="shared" si="107"/>
        <v>726527.8129209351</v>
      </c>
      <c r="G186" s="66">
        <f t="shared" si="108"/>
        <v>259392.77216711274</v>
      </c>
      <c r="H186" s="66">
        <f t="shared" si="109"/>
        <v>426534.80745280726</v>
      </c>
      <c r="I186" s="66">
        <f t="shared" si="110"/>
        <v>3142973.1537017208</v>
      </c>
      <c r="J186" s="80">
        <f>SUM(I185:I188)/3600</f>
        <v>5381.0459970163865</v>
      </c>
      <c r="K186" s="15">
        <v>16</v>
      </c>
      <c r="L186" s="66">
        <f t="shared" si="111"/>
        <v>40791.504266542492</v>
      </c>
      <c r="M186" s="66">
        <f t="shared" si="112"/>
        <v>126514.20783857329</v>
      </c>
      <c r="N186" s="66">
        <f t="shared" si="113"/>
        <v>77642.202710064812</v>
      </c>
      <c r="O186" s="66">
        <f t="shared" si="114"/>
        <v>63326.849234516281</v>
      </c>
      <c r="P186" s="66">
        <f t="shared" si="115"/>
        <v>107934.99429475919</v>
      </c>
      <c r="Q186" s="66">
        <f t="shared" si="116"/>
        <v>19057.428159216448</v>
      </c>
      <c r="R186" s="66">
        <f t="shared" si="117"/>
        <v>28733.21462893338</v>
      </c>
      <c r="S186" s="66">
        <f t="shared" si="118"/>
        <v>464000.40113260591</v>
      </c>
      <c r="T186" s="80">
        <f>SUM(S185:S188)/3600</f>
        <v>703.1101222497125</v>
      </c>
      <c r="V186" s="15">
        <v>16</v>
      </c>
      <c r="W186" s="66">
        <f t="shared" si="135"/>
        <v>527367.78252544941</v>
      </c>
      <c r="X186" s="66">
        <f t="shared" si="136"/>
        <v>1508826.2278774763</v>
      </c>
      <c r="Y186" s="66">
        <f t="shared" si="137"/>
        <v>881050.40550755814</v>
      </c>
      <c r="Z186" s="66">
        <f t="shared" si="138"/>
        <v>772301.61196513916</v>
      </c>
      <c r="AA186" s="66">
        <f t="shared" si="139"/>
        <v>1548991.7910495345</v>
      </c>
      <c r="AB186" s="66">
        <f t="shared" si="140"/>
        <v>553037.70564412745</v>
      </c>
      <c r="AC186" s="66">
        <f t="shared" si="141"/>
        <v>909392.46040012687</v>
      </c>
      <c r="AD186" s="66">
        <f t="shared" si="126"/>
        <v>6700967.984969411</v>
      </c>
      <c r="AE186" s="80">
        <f>SUM(AD185:AD188)/3600</f>
        <v>11472.645545567606</v>
      </c>
      <c r="AF186" s="15">
        <v>16</v>
      </c>
      <c r="AG186" s="66">
        <f t="shared" si="142"/>
        <v>86969.423784898667</v>
      </c>
      <c r="AH186" s="66">
        <f t="shared" si="143"/>
        <v>269734.29772111314</v>
      </c>
      <c r="AI186" s="66">
        <f t="shared" si="144"/>
        <v>165536.8624545451</v>
      </c>
      <c r="AJ186" s="66">
        <f t="shared" si="145"/>
        <v>135015.84918397642</v>
      </c>
      <c r="AK186" s="66">
        <f t="shared" si="146"/>
        <v>230122.53234654202</v>
      </c>
      <c r="AL186" s="66">
        <f t="shared" si="147"/>
        <v>40631.34163916039</v>
      </c>
      <c r="AM186" s="66">
        <f t="shared" si="148"/>
        <v>61260.577777117753</v>
      </c>
      <c r="AN186" s="66">
        <f t="shared" si="134"/>
        <v>989270.88490735344</v>
      </c>
      <c r="AO186" s="80">
        <f>SUM(AN185:AN188)/3600</f>
        <v>1499.0641627193459</v>
      </c>
    </row>
    <row r="187" spans="1:41" x14ac:dyDescent="0.25">
      <c r="A187" s="15">
        <v>17</v>
      </c>
      <c r="B187" s="66">
        <f t="shared" si="103"/>
        <v>544684.13155368867</v>
      </c>
      <c r="C187" s="66">
        <f t="shared" si="104"/>
        <v>914046.5086188342</v>
      </c>
      <c r="D187" s="66">
        <f t="shared" si="105"/>
        <v>682986.53598126082</v>
      </c>
      <c r="E187" s="66">
        <f t="shared" si="106"/>
        <v>739502.1919845934</v>
      </c>
      <c r="F187" s="66">
        <f t="shared" si="107"/>
        <v>2252418.1124798614</v>
      </c>
      <c r="G187" s="66">
        <f t="shared" si="108"/>
        <v>734993.75385808619</v>
      </c>
      <c r="H187" s="66">
        <f t="shared" si="109"/>
        <v>743333.3878400618</v>
      </c>
      <c r="I187" s="66">
        <f t="shared" si="110"/>
        <v>6611964.6223163856</v>
      </c>
      <c r="J187" s="40">
        <f>J186/$J$195</f>
        <v>0.5521909816254772</v>
      </c>
      <c r="K187" s="15">
        <v>17</v>
      </c>
      <c r="L187" s="66">
        <f t="shared" si="111"/>
        <v>67576.148490763138</v>
      </c>
      <c r="M187" s="66">
        <f t="shared" si="112"/>
        <v>114992.04312173119</v>
      </c>
      <c r="N187" s="66">
        <f t="shared" si="113"/>
        <v>109642.5796935075</v>
      </c>
      <c r="O187" s="66">
        <f t="shared" si="114"/>
        <v>114449.61226514386</v>
      </c>
      <c r="P187" s="66">
        <f t="shared" si="115"/>
        <v>332184.07604628673</v>
      </c>
      <c r="Q187" s="66">
        <f t="shared" si="116"/>
        <v>53046.635264940996</v>
      </c>
      <c r="R187" s="66">
        <f t="shared" si="117"/>
        <v>59632.605233070877</v>
      </c>
      <c r="S187" s="66">
        <f t="shared" si="118"/>
        <v>851523.70011544437</v>
      </c>
      <c r="T187" s="40">
        <f>T186/$J$195</f>
        <v>7.2151598185771049E-2</v>
      </c>
      <c r="V187" s="15">
        <v>17</v>
      </c>
      <c r="W187" s="66">
        <f t="shared" si="135"/>
        <v>1161292.4288466654</v>
      </c>
      <c r="X187" s="66">
        <f t="shared" si="136"/>
        <v>1948790.5532422371</v>
      </c>
      <c r="Y187" s="66">
        <f t="shared" si="137"/>
        <v>1456159.7213725136</v>
      </c>
      <c r="Z187" s="66">
        <f t="shared" si="138"/>
        <v>1576653.7832075122</v>
      </c>
      <c r="AA187" s="66">
        <f t="shared" si="139"/>
        <v>4802262.3555394188</v>
      </c>
      <c r="AB187" s="66">
        <f t="shared" si="140"/>
        <v>1567041.5790713241</v>
      </c>
      <c r="AC187" s="66">
        <f t="shared" si="141"/>
        <v>1584822.0746679099</v>
      </c>
      <c r="AD187" s="66">
        <f t="shared" si="126"/>
        <v>14097022.495947583</v>
      </c>
      <c r="AE187" s="40">
        <f>AE186/$AE$195</f>
        <v>0.51799529534121247</v>
      </c>
      <c r="AF187" s="15">
        <v>17</v>
      </c>
      <c r="AG187" s="66">
        <f t="shared" si="142"/>
        <v>144075.55694544045</v>
      </c>
      <c r="AH187" s="66">
        <f t="shared" si="143"/>
        <v>245168.49549840964</v>
      </c>
      <c r="AI187" s="66">
        <f t="shared" si="144"/>
        <v>233763.18548897724</v>
      </c>
      <c r="AJ187" s="66">
        <f t="shared" si="145"/>
        <v>244012.00715877168</v>
      </c>
      <c r="AK187" s="66">
        <f t="shared" si="146"/>
        <v>708232.22148147656</v>
      </c>
      <c r="AL187" s="66">
        <f t="shared" si="147"/>
        <v>113097.94491946646</v>
      </c>
      <c r="AM187" s="66">
        <f t="shared" si="148"/>
        <v>127139.54557852085</v>
      </c>
      <c r="AN187" s="66">
        <f t="shared" si="134"/>
        <v>1815488.9570710626</v>
      </c>
      <c r="AO187" s="40">
        <f>AO186/$AE$195</f>
        <v>6.7683445864257064E-2</v>
      </c>
    </row>
    <row r="188" spans="1:41" x14ac:dyDescent="0.25">
      <c r="A188" s="15">
        <v>18</v>
      </c>
      <c r="B188" s="66">
        <f t="shared" si="103"/>
        <v>757975.00113730528</v>
      </c>
      <c r="C188" s="66">
        <f t="shared" si="104"/>
        <v>1219906.4075807375</v>
      </c>
      <c r="D188" s="66">
        <f t="shared" si="105"/>
        <v>1123427.223417643</v>
      </c>
      <c r="E188" s="66">
        <f t="shared" si="106"/>
        <v>1298959.5238987943</v>
      </c>
      <c r="F188" s="66">
        <f t="shared" si="107"/>
        <v>2775483.3110421188</v>
      </c>
      <c r="G188" s="66">
        <f t="shared" si="108"/>
        <v>319207.32907915395</v>
      </c>
      <c r="H188" s="66">
        <f t="shared" si="109"/>
        <v>428800.75393255887</v>
      </c>
      <c r="I188" s="66">
        <f t="shared" si="110"/>
        <v>7923759.5500883115</v>
      </c>
      <c r="J188" s="36"/>
      <c r="K188" s="15">
        <v>18</v>
      </c>
      <c r="L188" s="66">
        <f t="shared" si="111"/>
        <v>98681.103800891753</v>
      </c>
      <c r="M188" s="66">
        <f t="shared" si="112"/>
        <v>148415.91308845766</v>
      </c>
      <c r="N188" s="66">
        <f t="shared" si="113"/>
        <v>158239.04798528345</v>
      </c>
      <c r="O188" s="66">
        <f t="shared" si="114"/>
        <v>173489.65361782876</v>
      </c>
      <c r="P188" s="66">
        <f t="shared" si="115"/>
        <v>319381.70274890476</v>
      </c>
      <c r="Q188" s="66">
        <f t="shared" si="116"/>
        <v>23920.615834407879</v>
      </c>
      <c r="R188" s="66">
        <f t="shared" si="117"/>
        <v>35964.988892551635</v>
      </c>
      <c r="S188" s="66">
        <f t="shared" si="118"/>
        <v>958093.02596832579</v>
      </c>
      <c r="T188" s="36"/>
      <c r="V188" s="15">
        <v>18</v>
      </c>
      <c r="W188" s="66">
        <f t="shared" si="135"/>
        <v>1616038.6893684128</v>
      </c>
      <c r="X188" s="66">
        <f t="shared" si="136"/>
        <v>2600898.3793672463</v>
      </c>
      <c r="Y188" s="66">
        <f t="shared" si="137"/>
        <v>2395200.1781174433</v>
      </c>
      <c r="Z188" s="66">
        <f t="shared" si="138"/>
        <v>2769443.3766210265</v>
      </c>
      <c r="AA188" s="66">
        <f t="shared" si="139"/>
        <v>5917462.1928301696</v>
      </c>
      <c r="AB188" s="66">
        <f t="shared" si="140"/>
        <v>680565.18084086839</v>
      </c>
      <c r="AC188" s="66">
        <f t="shared" si="141"/>
        <v>914223.56587698602</v>
      </c>
      <c r="AD188" s="66">
        <f t="shared" si="126"/>
        <v>16893831.563022152</v>
      </c>
      <c r="AE188" s="36"/>
      <c r="AF188" s="15">
        <v>18</v>
      </c>
      <c r="AG188" s="66">
        <f t="shared" si="142"/>
        <v>210392.79845976527</v>
      </c>
      <c r="AH188" s="66">
        <f t="shared" si="143"/>
        <v>316429.77315743943</v>
      </c>
      <c r="AI188" s="66">
        <f t="shared" si="144"/>
        <v>337373.16313776391</v>
      </c>
      <c r="AJ188" s="66">
        <f t="shared" si="145"/>
        <v>369888.17841071292</v>
      </c>
      <c r="AK188" s="66">
        <f t="shared" si="146"/>
        <v>680936.95378364576</v>
      </c>
      <c r="AL188" s="66">
        <f t="shared" si="147"/>
        <v>50999.888655851937</v>
      </c>
      <c r="AM188" s="66">
        <f t="shared" si="148"/>
        <v>76679.063855484899</v>
      </c>
      <c r="AN188" s="66">
        <f t="shared" si="134"/>
        <v>2042699.8194606639</v>
      </c>
      <c r="AO188" s="36"/>
    </row>
    <row r="189" spans="1:41" x14ac:dyDescent="0.25">
      <c r="A189" s="15">
        <v>19</v>
      </c>
      <c r="B189" s="66">
        <f t="shared" si="103"/>
        <v>890486.48094406817</v>
      </c>
      <c r="C189" s="66">
        <f t="shared" si="104"/>
        <v>202138.24288124687</v>
      </c>
      <c r="D189" s="66">
        <f t="shared" si="105"/>
        <v>181120.66672784061</v>
      </c>
      <c r="E189" s="66">
        <f t="shared" si="106"/>
        <v>480800.32159557519</v>
      </c>
      <c r="F189" s="66">
        <f t="shared" si="107"/>
        <v>830436.98387420131</v>
      </c>
      <c r="G189" s="66">
        <f t="shared" si="108"/>
        <v>236389.68069448567</v>
      </c>
      <c r="H189" s="66">
        <f t="shared" si="109"/>
        <v>303498.02534260188</v>
      </c>
      <c r="I189" s="66">
        <f t="shared" si="110"/>
        <v>3124870.4020600198</v>
      </c>
      <c r="J189" s="31" t="s">
        <v>38</v>
      </c>
      <c r="K189" s="15">
        <v>19</v>
      </c>
      <c r="L189" s="66">
        <f t="shared" si="111"/>
        <v>90512.826164718455</v>
      </c>
      <c r="M189" s="66">
        <f t="shared" si="112"/>
        <v>27837.283360786882</v>
      </c>
      <c r="N189" s="66">
        <f t="shared" si="113"/>
        <v>23313.128196784037</v>
      </c>
      <c r="O189" s="66">
        <f t="shared" si="114"/>
        <v>65605.097577159962</v>
      </c>
      <c r="P189" s="66">
        <f t="shared" si="115"/>
        <v>88459.059067154551</v>
      </c>
      <c r="Q189" s="66">
        <f t="shared" si="116"/>
        <v>13870.79944570949</v>
      </c>
      <c r="R189" s="66">
        <f t="shared" si="117"/>
        <v>21431.523429659817</v>
      </c>
      <c r="S189" s="66">
        <f t="shared" si="118"/>
        <v>331029.71724197321</v>
      </c>
      <c r="T189" s="31" t="s">
        <v>38</v>
      </c>
      <c r="V189" s="15">
        <v>19</v>
      </c>
      <c r="W189" s="66">
        <f t="shared" si="135"/>
        <v>1898559.4556626542</v>
      </c>
      <c r="X189" s="66">
        <f t="shared" si="136"/>
        <v>430968.33089073061</v>
      </c>
      <c r="Y189" s="66">
        <f t="shared" si="137"/>
        <v>386157.86066455132</v>
      </c>
      <c r="Z189" s="66">
        <f t="shared" si="138"/>
        <v>1025089.1129567407</v>
      </c>
      <c r="AA189" s="66">
        <f t="shared" si="139"/>
        <v>1770531.0768950002</v>
      </c>
      <c r="AB189" s="66">
        <f t="shared" si="140"/>
        <v>503994.02248957969</v>
      </c>
      <c r="AC189" s="66">
        <f t="shared" si="141"/>
        <v>647072.19943222543</v>
      </c>
      <c r="AD189" s="66">
        <f t="shared" si="126"/>
        <v>6662372.0589914825</v>
      </c>
      <c r="AE189" s="31" t="s">
        <v>38</v>
      </c>
      <c r="AF189" s="15">
        <v>19</v>
      </c>
      <c r="AG189" s="66">
        <f t="shared" si="142"/>
        <v>192977.64272804261</v>
      </c>
      <c r="AH189" s="66">
        <f t="shared" si="143"/>
        <v>59350.4097766333</v>
      </c>
      <c r="AI189" s="66">
        <f t="shared" si="144"/>
        <v>49704.696170294868</v>
      </c>
      <c r="AJ189" s="66">
        <f t="shared" si="145"/>
        <v>139873.1828165862</v>
      </c>
      <c r="AK189" s="66">
        <f t="shared" si="146"/>
        <v>188598.91376780623</v>
      </c>
      <c r="AL189" s="66">
        <f t="shared" si="147"/>
        <v>29573.202972529056</v>
      </c>
      <c r="AM189" s="66">
        <f t="shared" si="148"/>
        <v>45693.02547243506</v>
      </c>
      <c r="AN189" s="66">
        <f t="shared" si="134"/>
        <v>705771.07370432746</v>
      </c>
      <c r="AO189" s="31" t="s">
        <v>38</v>
      </c>
    </row>
    <row r="190" spans="1:41" x14ac:dyDescent="0.25">
      <c r="A190" s="15">
        <v>20</v>
      </c>
      <c r="B190" s="66">
        <f t="shared" si="103"/>
        <v>45519.684044643283</v>
      </c>
      <c r="C190" s="66">
        <f t="shared" si="104"/>
        <v>19522.296056965763</v>
      </c>
      <c r="D190" s="66">
        <f t="shared" si="105"/>
        <v>49350.096322606274</v>
      </c>
      <c r="E190" s="66">
        <f t="shared" si="106"/>
        <v>79406.933440376306</v>
      </c>
      <c r="F190" s="66">
        <f t="shared" si="107"/>
        <v>231308.05732514808</v>
      </c>
      <c r="G190" s="66">
        <f t="shared" si="108"/>
        <v>35904.666808119007</v>
      </c>
      <c r="H190" s="66">
        <f t="shared" si="109"/>
        <v>155654.47417570394</v>
      </c>
      <c r="I190" s="66">
        <f t="shared" si="110"/>
        <v>616666.20817356266</v>
      </c>
      <c r="J190" s="81">
        <f>SUM(I189:I194,I171:I175)/3600</f>
        <v>2312.3533759639618</v>
      </c>
      <c r="K190" s="15">
        <v>20</v>
      </c>
      <c r="L190" s="66">
        <f t="shared" si="111"/>
        <v>5308.9476291535184</v>
      </c>
      <c r="M190" s="66">
        <f t="shared" si="112"/>
        <v>2896.1119335370586</v>
      </c>
      <c r="N190" s="66">
        <f t="shared" si="113"/>
        <v>5631.6014491403585</v>
      </c>
      <c r="O190" s="66">
        <f t="shared" si="114"/>
        <v>9223.5825070735991</v>
      </c>
      <c r="P190" s="66">
        <f t="shared" si="115"/>
        <v>18955.570040725128</v>
      </c>
      <c r="Q190" s="66">
        <f t="shared" si="116"/>
        <v>1719.1641310667153</v>
      </c>
      <c r="R190" s="66">
        <f t="shared" si="117"/>
        <v>12422.811787103208</v>
      </c>
      <c r="S190" s="66">
        <f t="shared" si="118"/>
        <v>56157.78947779959</v>
      </c>
      <c r="T190" s="81">
        <f>SUM(S189:S194,S171:S175)/3600</f>
        <v>451.04110141121191</v>
      </c>
      <c r="V190" s="15">
        <v>20</v>
      </c>
      <c r="W190" s="66">
        <f t="shared" si="135"/>
        <v>97050.127555122483</v>
      </c>
      <c r="X190" s="66">
        <f t="shared" si="136"/>
        <v>41622.462068041343</v>
      </c>
      <c r="Y190" s="66">
        <f t="shared" si="137"/>
        <v>105216.74839107624</v>
      </c>
      <c r="Z190" s="66">
        <f t="shared" si="138"/>
        <v>169299.3521570045</v>
      </c>
      <c r="AA190" s="66">
        <f t="shared" si="139"/>
        <v>493159.76020213438</v>
      </c>
      <c r="AB190" s="66">
        <f t="shared" si="140"/>
        <v>76550.454307518012</v>
      </c>
      <c r="AC190" s="66">
        <f t="shared" si="141"/>
        <v>331862.72906600457</v>
      </c>
      <c r="AD190" s="66">
        <f t="shared" si="126"/>
        <v>1314761.6337469015</v>
      </c>
      <c r="AE190" s="81">
        <f>SUM(AD189:AD194,AD171:AD175)/3600</f>
        <v>5437.1501095268768</v>
      </c>
      <c r="AF190" s="15">
        <v>20</v>
      </c>
      <c r="AG190" s="66">
        <f t="shared" si="142"/>
        <v>11318.928402216059</v>
      </c>
      <c r="AH190" s="66">
        <f t="shared" si="143"/>
        <v>6174.6481431643369</v>
      </c>
      <c r="AI190" s="66">
        <f t="shared" si="144"/>
        <v>12006.841665303731</v>
      </c>
      <c r="AJ190" s="66">
        <f t="shared" si="145"/>
        <v>19665.11581997744</v>
      </c>
      <c r="AK190" s="66">
        <f t="shared" si="146"/>
        <v>40414.175294543136</v>
      </c>
      <c r="AL190" s="66">
        <f t="shared" si="147"/>
        <v>3665.3395494701422</v>
      </c>
      <c r="AM190" s="66">
        <f t="shared" si="148"/>
        <v>26486.024537191919</v>
      </c>
      <c r="AN190" s="66">
        <f t="shared" si="134"/>
        <v>119731.07341186676</v>
      </c>
      <c r="AO190" s="81">
        <f>SUM(AN189:AN194,AN171:AN175)/3600</f>
        <v>1189.9376529033173</v>
      </c>
    </row>
    <row r="191" spans="1:41" x14ac:dyDescent="0.25">
      <c r="A191" s="15">
        <v>21</v>
      </c>
      <c r="B191" s="66">
        <f t="shared" si="103"/>
        <v>60560.822007028641</v>
      </c>
      <c r="C191" s="66">
        <f t="shared" si="104"/>
        <v>59255.05687177139</v>
      </c>
      <c r="D191" s="66">
        <f t="shared" si="105"/>
        <v>49057.497492816961</v>
      </c>
      <c r="E191" s="66">
        <f t="shared" si="106"/>
        <v>96049.837154983965</v>
      </c>
      <c r="F191" s="66">
        <f t="shared" si="107"/>
        <v>106856.53183203391</v>
      </c>
      <c r="G191" s="66">
        <f t="shared" si="108"/>
        <v>32890.056941291594</v>
      </c>
      <c r="H191" s="66">
        <f t="shared" si="109"/>
        <v>180340.48002525771</v>
      </c>
      <c r="I191" s="66">
        <f t="shared" si="110"/>
        <v>585010.28232518421</v>
      </c>
      <c r="J191" s="41">
        <f>J190/$J$195</f>
        <v>0.23728856457397013</v>
      </c>
      <c r="K191" s="15">
        <v>21</v>
      </c>
      <c r="L191" s="66">
        <f t="shared" si="111"/>
        <v>6084.4764240149334</v>
      </c>
      <c r="M191" s="66">
        <f t="shared" si="112"/>
        <v>7797.7867850446237</v>
      </c>
      <c r="N191" s="66">
        <f t="shared" si="113"/>
        <v>6910.7083424663879</v>
      </c>
      <c r="O191" s="66">
        <f t="shared" si="114"/>
        <v>13168.588617760879</v>
      </c>
      <c r="P191" s="66">
        <f t="shared" si="115"/>
        <v>9185.8213376736294</v>
      </c>
      <c r="Q191" s="66">
        <f t="shared" si="116"/>
        <v>2563.3511427023814</v>
      </c>
      <c r="R191" s="66">
        <f t="shared" si="117"/>
        <v>15824.126840340314</v>
      </c>
      <c r="S191" s="66">
        <f t="shared" si="118"/>
        <v>61534.859490003153</v>
      </c>
      <c r="T191" s="41">
        <f>T190/$J$195</f>
        <v>4.6284835453885655E-2</v>
      </c>
      <c r="V191" s="15">
        <v>21</v>
      </c>
      <c r="W191" s="66">
        <f t="shared" si="135"/>
        <v>129118.54781023793</v>
      </c>
      <c r="X191" s="66">
        <f t="shared" si="136"/>
        <v>126334.59454708559</v>
      </c>
      <c r="Y191" s="66">
        <f t="shared" si="137"/>
        <v>104592.91379403285</v>
      </c>
      <c r="Z191" s="66">
        <f t="shared" si="138"/>
        <v>204782.81304408351</v>
      </c>
      <c r="AA191" s="66">
        <f t="shared" si="139"/>
        <v>227823.19917304613</v>
      </c>
      <c r="AB191" s="66">
        <f t="shared" si="140"/>
        <v>70123.162944563999</v>
      </c>
      <c r="AC191" s="66">
        <f t="shared" si="141"/>
        <v>384494.46557313937</v>
      </c>
      <c r="AD191" s="66">
        <f t="shared" si="126"/>
        <v>1247269.6968861893</v>
      </c>
      <c r="AE191" s="41">
        <f>AE190/$AE$195</f>
        <v>0.24548986243953022</v>
      </c>
      <c r="AF191" s="15">
        <v>21</v>
      </c>
      <c r="AG191" s="66">
        <f t="shared" si="142"/>
        <v>12972.392613218813</v>
      </c>
      <c r="AH191" s="66">
        <f t="shared" si="143"/>
        <v>16625.251647046218</v>
      </c>
      <c r="AI191" s="66">
        <f t="shared" si="144"/>
        <v>14733.958290985494</v>
      </c>
      <c r="AJ191" s="66">
        <f t="shared" si="145"/>
        <v>28076.056147956126</v>
      </c>
      <c r="AK191" s="66">
        <f t="shared" si="146"/>
        <v>19584.607214001539</v>
      </c>
      <c r="AL191" s="66">
        <f t="shared" si="147"/>
        <v>5465.1863383728942</v>
      </c>
      <c r="AM191" s="66">
        <f t="shared" si="148"/>
        <v>33737.78971746155</v>
      </c>
      <c r="AN191" s="66">
        <f t="shared" si="134"/>
        <v>131195.24196904263</v>
      </c>
      <c r="AO191" s="41">
        <f>AO190/$AE$195</f>
        <v>5.3726239820197259E-2</v>
      </c>
    </row>
    <row r="192" spans="1:41" x14ac:dyDescent="0.25">
      <c r="A192" s="15">
        <v>22</v>
      </c>
      <c r="B192" s="66">
        <f t="shared" si="103"/>
        <v>69565.413800518814</v>
      </c>
      <c r="C192" s="66">
        <f t="shared" si="104"/>
        <v>53500.338713397949</v>
      </c>
      <c r="D192" s="66">
        <f t="shared" si="105"/>
        <v>75176.583935494826</v>
      </c>
      <c r="E192" s="66">
        <f t="shared" si="106"/>
        <v>107182.2862549361</v>
      </c>
      <c r="F192" s="66">
        <f t="shared" si="107"/>
        <v>80281.164218259655</v>
      </c>
      <c r="G192" s="66">
        <f t="shared" si="108"/>
        <v>10660.426719005554</v>
      </c>
      <c r="H192" s="66">
        <f t="shared" si="109"/>
        <v>372837.72748766077</v>
      </c>
      <c r="I192" s="66">
        <f t="shared" si="110"/>
        <v>769203.94112927373</v>
      </c>
      <c r="J192" s="37"/>
      <c r="K192" s="15">
        <v>22</v>
      </c>
      <c r="L192" s="66">
        <f t="shared" si="111"/>
        <v>9630.5580224576825</v>
      </c>
      <c r="M192" s="66">
        <f t="shared" si="112"/>
        <v>8692.1752580662778</v>
      </c>
      <c r="N192" s="66">
        <f t="shared" si="113"/>
        <v>12520.550832630248</v>
      </c>
      <c r="O192" s="66">
        <f t="shared" si="114"/>
        <v>11865.439640454697</v>
      </c>
      <c r="P192" s="66">
        <f t="shared" si="115"/>
        <v>6154.5875612645523</v>
      </c>
      <c r="Q192" s="66">
        <f t="shared" si="116"/>
        <v>849.46688141393884</v>
      </c>
      <c r="R192" s="66">
        <f t="shared" si="117"/>
        <v>45507.454965966026</v>
      </c>
      <c r="S192" s="66">
        <f t="shared" si="118"/>
        <v>95220.233162253426</v>
      </c>
      <c r="T192" s="37"/>
      <c r="V192" s="15">
        <v>22</v>
      </c>
      <c r="W192" s="66">
        <f t="shared" si="135"/>
        <v>148316.76503167028</v>
      </c>
      <c r="X192" s="66">
        <f t="shared" si="136"/>
        <v>114065.26221239322</v>
      </c>
      <c r="Y192" s="66">
        <f t="shared" si="137"/>
        <v>160280.04616514291</v>
      </c>
      <c r="Z192" s="66">
        <f t="shared" si="138"/>
        <v>228517.72306875896</v>
      </c>
      <c r="AA192" s="66">
        <f t="shared" si="139"/>
        <v>171163.25368195758</v>
      </c>
      <c r="AB192" s="66">
        <f t="shared" si="140"/>
        <v>22728.535897939197</v>
      </c>
      <c r="AC192" s="66">
        <f t="shared" si="141"/>
        <v>794907.73649817472</v>
      </c>
      <c r="AD192" s="66">
        <f t="shared" si="126"/>
        <v>1639979.322556037</v>
      </c>
      <c r="AE192" s="37"/>
      <c r="AF192" s="15">
        <v>22</v>
      </c>
      <c r="AG192" s="66">
        <f t="shared" si="142"/>
        <v>20532.806941055969</v>
      </c>
      <c r="AH192" s="66">
        <f t="shared" si="143"/>
        <v>18532.130335076068</v>
      </c>
      <c r="AI192" s="66">
        <f t="shared" si="144"/>
        <v>26694.408822685029</v>
      </c>
      <c r="AJ192" s="66">
        <f t="shared" si="145"/>
        <v>25297.680657764748</v>
      </c>
      <c r="AK192" s="66">
        <f t="shared" si="146"/>
        <v>13121.872886553683</v>
      </c>
      <c r="AL192" s="66">
        <f t="shared" si="147"/>
        <v>1811.1037219463399</v>
      </c>
      <c r="AM192" s="66">
        <f t="shared" si="148"/>
        <v>97024.054578773488</v>
      </c>
      <c r="AN192" s="66">
        <f t="shared" si="134"/>
        <v>203014.05794385535</v>
      </c>
      <c r="AO192" s="37"/>
    </row>
    <row r="193" spans="1:41" x14ac:dyDescent="0.25">
      <c r="A193" s="15">
        <v>23</v>
      </c>
      <c r="B193" s="66">
        <f t="shared" si="103"/>
        <v>26542.530890168437</v>
      </c>
      <c r="C193" s="66">
        <f t="shared" si="104"/>
        <v>74760.993193363829</v>
      </c>
      <c r="D193" s="66">
        <f t="shared" si="105"/>
        <v>35558.549872277559</v>
      </c>
      <c r="E193" s="66">
        <f t="shared" si="106"/>
        <v>39062.104481542417</v>
      </c>
      <c r="F193" s="66">
        <f t="shared" si="107"/>
        <v>176762.15557632007</v>
      </c>
      <c r="G193" s="66">
        <f t="shared" si="108"/>
        <v>10249.775875890664</v>
      </c>
      <c r="H193" s="66">
        <f t="shared" si="109"/>
        <v>126324.15577243533</v>
      </c>
      <c r="I193" s="66">
        <f t="shared" si="110"/>
        <v>489260.2656619983</v>
      </c>
      <c r="J193" s="37"/>
      <c r="K193" s="15">
        <v>23</v>
      </c>
      <c r="L193" s="66">
        <f t="shared" si="111"/>
        <v>5256.8761444719103</v>
      </c>
      <c r="M193" s="66">
        <f t="shared" si="112"/>
        <v>15197.080504624057</v>
      </c>
      <c r="N193" s="66">
        <f t="shared" si="113"/>
        <v>6310.3016632258314</v>
      </c>
      <c r="O193" s="66">
        <f t="shared" si="114"/>
        <v>8222.0825533527259</v>
      </c>
      <c r="P193" s="66">
        <f t="shared" si="115"/>
        <v>19092.410869371073</v>
      </c>
      <c r="Q193" s="66">
        <f t="shared" si="116"/>
        <v>1032.7425693132261</v>
      </c>
      <c r="R193" s="66">
        <f t="shared" si="117"/>
        <v>15420.329443522825</v>
      </c>
      <c r="S193" s="66">
        <f t="shared" si="118"/>
        <v>70531.823747881645</v>
      </c>
      <c r="T193" s="37"/>
      <c r="V193" s="15">
        <v>23</v>
      </c>
      <c r="W193" s="66">
        <f t="shared" si="135"/>
        <v>56589.936037347383</v>
      </c>
      <c r="X193" s="66">
        <f t="shared" si="136"/>
        <v>159393.98697160842</v>
      </c>
      <c r="Y193" s="66">
        <f t="shared" si="137"/>
        <v>75812.516567452491</v>
      </c>
      <c r="Z193" s="66">
        <f t="shared" si="138"/>
        <v>83282.261335276839</v>
      </c>
      <c r="AA193" s="66">
        <f t="shared" si="139"/>
        <v>376865.30795722932</v>
      </c>
      <c r="AB193" s="66">
        <f t="shared" si="140"/>
        <v>21853.008803642311</v>
      </c>
      <c r="AC193" s="66">
        <f t="shared" si="141"/>
        <v>269329.09769286349</v>
      </c>
      <c r="AD193" s="66">
        <f t="shared" si="126"/>
        <v>1043126.1153654202</v>
      </c>
      <c r="AE193" s="37"/>
      <c r="AF193" s="15">
        <v>23</v>
      </c>
      <c r="AG193" s="66">
        <f t="shared" si="142"/>
        <v>11207.909524638209</v>
      </c>
      <c r="AH193" s="66">
        <f t="shared" si="143"/>
        <v>32400.897158968579</v>
      </c>
      <c r="AI193" s="66">
        <f t="shared" si="144"/>
        <v>13453.862744889528</v>
      </c>
      <c r="AJ193" s="66">
        <f t="shared" si="145"/>
        <v>17529.870369685304</v>
      </c>
      <c r="AK193" s="66">
        <f t="shared" si="146"/>
        <v>40705.926438110233</v>
      </c>
      <c r="AL193" s="66">
        <f t="shared" si="147"/>
        <v>2201.8561900639606</v>
      </c>
      <c r="AM193" s="66">
        <f t="shared" si="148"/>
        <v>32876.874496056902</v>
      </c>
      <c r="AN193" s="66">
        <f t="shared" si="134"/>
        <v>150377.19692241272</v>
      </c>
      <c r="AO193" s="37"/>
    </row>
    <row r="194" spans="1:41" x14ac:dyDescent="0.25">
      <c r="A194" s="15">
        <v>24</v>
      </c>
      <c r="B194" s="66">
        <f t="shared" si="103"/>
        <v>30537.391050564594</v>
      </c>
      <c r="C194" s="66">
        <f t="shared" si="104"/>
        <v>33068.721589805267</v>
      </c>
      <c r="D194" s="66">
        <f t="shared" si="105"/>
        <v>28693.428570470587</v>
      </c>
      <c r="E194" s="66">
        <f t="shared" si="106"/>
        <v>48663.269584391819</v>
      </c>
      <c r="F194" s="66">
        <f t="shared" si="107"/>
        <v>232892.75383279324</v>
      </c>
      <c r="G194" s="66">
        <f t="shared" si="108"/>
        <v>316611.56423763605</v>
      </c>
      <c r="H194" s="66">
        <f t="shared" si="109"/>
        <v>14952.834793688628</v>
      </c>
      <c r="I194" s="66">
        <f t="shared" si="110"/>
        <v>705419.96365935018</v>
      </c>
      <c r="J194" s="37"/>
      <c r="K194" s="15">
        <v>24</v>
      </c>
      <c r="L194" s="66">
        <f t="shared" si="111"/>
        <v>5938.8443579729446</v>
      </c>
      <c r="M194" s="66">
        <f t="shared" si="112"/>
        <v>7986.5711411409602</v>
      </c>
      <c r="N194" s="66">
        <f t="shared" si="113"/>
        <v>8413.3100417897076</v>
      </c>
      <c r="O194" s="66">
        <f t="shared" si="114"/>
        <v>10124.25235710605</v>
      </c>
      <c r="P194" s="66">
        <f t="shared" si="115"/>
        <v>30523.959770988826</v>
      </c>
      <c r="Q194" s="66">
        <f t="shared" si="116"/>
        <v>28758.66184833027</v>
      </c>
      <c r="R194" s="66">
        <f t="shared" si="117"/>
        <v>1807.1652187303994</v>
      </c>
      <c r="S194" s="66">
        <f t="shared" si="118"/>
        <v>93552.764736059151</v>
      </c>
      <c r="T194" s="37"/>
      <c r="V194" s="15">
        <v>24</v>
      </c>
      <c r="W194" s="66">
        <f t="shared" si="135"/>
        <v>65107.167566263241</v>
      </c>
      <c r="X194" s="66">
        <f t="shared" si="136"/>
        <v>70504.084457789737</v>
      </c>
      <c r="Y194" s="66">
        <f t="shared" si="137"/>
        <v>61175.752011522745</v>
      </c>
      <c r="Z194" s="66">
        <f t="shared" si="138"/>
        <v>103752.40117621841</v>
      </c>
      <c r="AA194" s="66">
        <f t="shared" si="139"/>
        <v>496538.40839425026</v>
      </c>
      <c r="AB194" s="66">
        <f t="shared" si="140"/>
        <v>675030.88695769152</v>
      </c>
      <c r="AC194" s="66">
        <f t="shared" si="141"/>
        <v>31880.153707018708</v>
      </c>
      <c r="AD194" s="66">
        <f t="shared" si="126"/>
        <v>1503988.8542707546</v>
      </c>
      <c r="AE194" s="37"/>
      <c r="AF194" s="15">
        <v>24</v>
      </c>
      <c r="AG194" s="66">
        <f t="shared" si="142"/>
        <v>12661.898134135225</v>
      </c>
      <c r="AH194" s="66">
        <f t="shared" si="143"/>
        <v>17027.748857299091</v>
      </c>
      <c r="AI194" s="66">
        <f t="shared" si="144"/>
        <v>17937.576454082846</v>
      </c>
      <c r="AJ194" s="66">
        <f t="shared" si="145"/>
        <v>21585.386702019925</v>
      </c>
      <c r="AK194" s="66">
        <f t="shared" si="146"/>
        <v>65078.531440520841</v>
      </c>
      <c r="AL194" s="66">
        <f t="shared" si="147"/>
        <v>61314.832457048513</v>
      </c>
      <c r="AM194" s="66">
        <f t="shared" si="148"/>
        <v>3852.9620464622999</v>
      </c>
      <c r="AN194" s="66">
        <f t="shared" si="134"/>
        <v>199458.93609156873</v>
      </c>
      <c r="AO194" s="37"/>
    </row>
    <row r="195" spans="1:41" x14ac:dyDescent="0.25">
      <c r="A195" s="53" t="s">
        <v>142</v>
      </c>
      <c r="B195" s="82">
        <f t="shared" ref="B195:H195" si="149">SUM(B171:B194)</f>
        <v>3935844.8445645999</v>
      </c>
      <c r="C195" s="82">
        <f t="shared" si="149"/>
        <v>4546802.5160592608</v>
      </c>
      <c r="D195" s="82">
        <f t="shared" si="149"/>
        <v>4695949.8822745588</v>
      </c>
      <c r="E195" s="82">
        <f t="shared" si="149"/>
        <v>5088134.4448083686</v>
      </c>
      <c r="F195" s="82">
        <f t="shared" si="149"/>
        <v>10009606.911875999</v>
      </c>
      <c r="G195" s="82">
        <f t="shared" si="149"/>
        <v>3056871.9494881672</v>
      </c>
      <c r="H195" s="82">
        <f t="shared" si="149"/>
        <v>3748430.1040135752</v>
      </c>
      <c r="I195" s="82">
        <f t="shared" si="110"/>
        <v>35081640.653084524</v>
      </c>
      <c r="J195" s="83">
        <f>SUM(J190,J186,J181,J177)</f>
        <v>9744.9001814123676</v>
      </c>
      <c r="K195" s="53" t="s">
        <v>142</v>
      </c>
      <c r="L195" s="82">
        <f t="shared" ref="L195:R195" si="150">SUM(L171:L194)</f>
        <v>624739.76381078782</v>
      </c>
      <c r="M195" s="82">
        <f t="shared" si="150"/>
        <v>818326.16571493237</v>
      </c>
      <c r="N195" s="82">
        <f t="shared" si="150"/>
        <v>1112782.1003215562</v>
      </c>
      <c r="O195" s="82">
        <f t="shared" si="150"/>
        <v>1165499.2201574508</v>
      </c>
      <c r="P195" s="82">
        <f t="shared" si="150"/>
        <v>1570124.770941254</v>
      </c>
      <c r="Q195" s="82">
        <f t="shared" si="150"/>
        <v>378199.67247035593</v>
      </c>
      <c r="R195" s="82">
        <f t="shared" si="150"/>
        <v>335127.00339176989</v>
      </c>
      <c r="S195" s="82">
        <f t="shared" si="118"/>
        <v>6004798.6968081072</v>
      </c>
      <c r="T195" s="83">
        <f>SUM(T190,T186,T181,T177)</f>
        <v>1667.9996380022517</v>
      </c>
      <c r="V195" s="53" t="s">
        <v>142</v>
      </c>
      <c r="W195" s="82">
        <f t="shared" ref="W195:AC195" si="151">SUM(W171:W194)</f>
        <v>8992047.5752530321</v>
      </c>
      <c r="X195" s="82">
        <f t="shared" si="151"/>
        <v>10171888.452095313</v>
      </c>
      <c r="Y195" s="82">
        <f t="shared" si="151"/>
        <v>11198625.399777595</v>
      </c>
      <c r="Z195" s="82">
        <f t="shared" si="151"/>
        <v>11803537.058837706</v>
      </c>
      <c r="AA195" s="82">
        <f t="shared" si="151"/>
        <v>22223370.703607112</v>
      </c>
      <c r="AB195" s="82">
        <f t="shared" si="151"/>
        <v>7021289.0565594546</v>
      </c>
      <c r="AC195" s="82">
        <f t="shared" si="151"/>
        <v>8322637.6659645904</v>
      </c>
      <c r="AD195" s="82">
        <f t="shared" si="126"/>
        <v>79733395.912094802</v>
      </c>
      <c r="AE195" s="83">
        <f>SUM(AE190,AE186,AE181,AE177)</f>
        <v>22148.165531137449</v>
      </c>
      <c r="AF195" s="53" t="s">
        <v>142</v>
      </c>
      <c r="AG195" s="82">
        <f t="shared" ref="AG195:AM195" si="152">SUM(AG171:AG194)</f>
        <v>1508477.2095445551</v>
      </c>
      <c r="AH195" s="82">
        <f t="shared" si="152"/>
        <v>1936580.9325814787</v>
      </c>
      <c r="AI195" s="82">
        <f t="shared" si="152"/>
        <v>2863754.6773506622</v>
      </c>
      <c r="AJ195" s="82">
        <f t="shared" si="152"/>
        <v>2982097.1038256735</v>
      </c>
      <c r="AK195" s="82">
        <f t="shared" si="152"/>
        <v>3686172.1659166189</v>
      </c>
      <c r="AL195" s="82">
        <f t="shared" si="152"/>
        <v>977271.2965181648</v>
      </c>
      <c r="AM195" s="82">
        <f t="shared" si="152"/>
        <v>766385.06352204503</v>
      </c>
      <c r="AN195" s="82">
        <f t="shared" si="134"/>
        <v>14720738.449259199</v>
      </c>
      <c r="AO195" s="83">
        <f>SUM(AO190,AO186,AO181,AO177)</f>
        <v>4089.0940136831105</v>
      </c>
    </row>
    <row r="196" spans="1:41" x14ac:dyDescent="0.25">
      <c r="A196" s="53" t="s">
        <v>14</v>
      </c>
      <c r="B196" s="82">
        <f t="shared" ref="B196:H196" si="153">B195/3600</f>
        <v>1093.2902346012777</v>
      </c>
      <c r="C196" s="82">
        <f t="shared" si="153"/>
        <v>1263.0006989053502</v>
      </c>
      <c r="D196" s="82">
        <f t="shared" si="153"/>
        <v>1304.4305228540441</v>
      </c>
      <c r="E196" s="82">
        <f t="shared" si="153"/>
        <v>1413.3706791134357</v>
      </c>
      <c r="F196" s="82">
        <f t="shared" si="153"/>
        <v>2780.4463644099997</v>
      </c>
      <c r="G196" s="82">
        <f t="shared" si="153"/>
        <v>849.1310970800464</v>
      </c>
      <c r="H196" s="82">
        <f t="shared" si="153"/>
        <v>1041.2305844482153</v>
      </c>
      <c r="I196" s="82">
        <f t="shared" si="110"/>
        <v>9744.9001814123694</v>
      </c>
      <c r="J196" s="84">
        <f>SUM(J191,J187,J182,J178)</f>
        <v>0.99999999999999989</v>
      </c>
      <c r="K196" s="53" t="s">
        <v>14</v>
      </c>
      <c r="L196" s="82">
        <f t="shared" ref="L196:R196" si="154">L195/3600</f>
        <v>173.53882328077438</v>
      </c>
      <c r="M196" s="82">
        <f t="shared" si="154"/>
        <v>227.31282380970345</v>
      </c>
      <c r="N196" s="82">
        <f t="shared" si="154"/>
        <v>309.10613897821008</v>
      </c>
      <c r="O196" s="82">
        <f t="shared" si="154"/>
        <v>323.74978337706966</v>
      </c>
      <c r="P196" s="82">
        <f t="shared" si="154"/>
        <v>436.14576970590389</v>
      </c>
      <c r="Q196" s="82">
        <f t="shared" si="154"/>
        <v>105.05546457509887</v>
      </c>
      <c r="R196" s="82">
        <f t="shared" si="154"/>
        <v>93.09083427549163</v>
      </c>
      <c r="S196" s="82">
        <f t="shared" si="118"/>
        <v>1667.9996380022519</v>
      </c>
      <c r="T196" s="84">
        <f>SUM(T191,T187,T182,T178)</f>
        <v>0.17116641596635646</v>
      </c>
      <c r="V196" s="53" t="s">
        <v>14</v>
      </c>
      <c r="W196" s="82">
        <f t="shared" ref="W196:AC196" si="155">W195/3600</f>
        <v>2497.7909931258423</v>
      </c>
      <c r="X196" s="82">
        <f t="shared" si="155"/>
        <v>2825.5245700264759</v>
      </c>
      <c r="Y196" s="82">
        <f t="shared" si="155"/>
        <v>3110.7292777159987</v>
      </c>
      <c r="Z196" s="82">
        <f t="shared" si="155"/>
        <v>3278.760294121585</v>
      </c>
      <c r="AA196" s="82">
        <f t="shared" si="155"/>
        <v>6173.1585287797534</v>
      </c>
      <c r="AB196" s="82">
        <f t="shared" si="155"/>
        <v>1950.3580712665153</v>
      </c>
      <c r="AC196" s="82">
        <f t="shared" si="155"/>
        <v>2311.8437961012751</v>
      </c>
      <c r="AD196" s="82">
        <f t="shared" si="126"/>
        <v>22148.165531137442</v>
      </c>
      <c r="AE196" s="84">
        <f>SUM(AE191,AE187,AE182,AE178)</f>
        <v>0.99999999999999978</v>
      </c>
      <c r="AF196" s="53" t="s">
        <v>14</v>
      </c>
      <c r="AG196" s="82">
        <f t="shared" ref="AG196:AM196" si="156">AG195/3600</f>
        <v>419.02144709570973</v>
      </c>
      <c r="AH196" s="82">
        <f t="shared" si="156"/>
        <v>537.93914793929969</v>
      </c>
      <c r="AI196" s="82">
        <f t="shared" si="156"/>
        <v>795.48741037518391</v>
      </c>
      <c r="AJ196" s="82">
        <f t="shared" si="156"/>
        <v>828.36030661824259</v>
      </c>
      <c r="AK196" s="82">
        <f t="shared" si="156"/>
        <v>1023.9367127546163</v>
      </c>
      <c r="AL196" s="82">
        <f t="shared" si="156"/>
        <v>271.46424903282355</v>
      </c>
      <c r="AM196" s="82">
        <f t="shared" si="156"/>
        <v>212.88473986723474</v>
      </c>
      <c r="AN196" s="82">
        <f t="shared" si="134"/>
        <v>4089.09401368311</v>
      </c>
      <c r="AO196" s="84">
        <f>SUM(AO191,AO187,AO182,AO178)</f>
        <v>0.18462450120008245</v>
      </c>
    </row>
    <row r="199" spans="1:41" x14ac:dyDescent="0.25">
      <c r="K199" s="201" t="s">
        <v>100</v>
      </c>
      <c r="L199" s="201"/>
      <c r="M199" s="201"/>
      <c r="N199" s="201"/>
      <c r="O199" s="201"/>
      <c r="P199" s="201"/>
      <c r="Q199" s="201"/>
      <c r="R199" s="201"/>
      <c r="T199" s="201" t="s">
        <v>98</v>
      </c>
      <c r="U199" s="201"/>
      <c r="V199" s="201"/>
      <c r="W199" s="201"/>
      <c r="X199" s="201"/>
      <c r="Y199" s="201"/>
      <c r="Z199" s="201"/>
      <c r="AA199" s="201"/>
      <c r="AB199" s="201"/>
      <c r="AD199" s="201" t="s">
        <v>99</v>
      </c>
      <c r="AE199" s="201"/>
      <c r="AF199" s="201"/>
      <c r="AG199" s="201"/>
      <c r="AH199" s="201"/>
      <c r="AI199" s="201"/>
      <c r="AJ199" s="201"/>
      <c r="AK199" s="201"/>
      <c r="AL199" s="201"/>
    </row>
    <row r="200" spans="1:41" x14ac:dyDescent="0.25">
      <c r="A200" s="210">
        <v>5723</v>
      </c>
      <c r="B200" s="201" t="s">
        <v>73</v>
      </c>
      <c r="C200" s="201"/>
      <c r="D200" s="201"/>
      <c r="E200" s="201"/>
      <c r="F200" s="201"/>
      <c r="G200" s="201"/>
      <c r="H200" s="201"/>
      <c r="I200" s="201"/>
      <c r="K200" s="201" t="s">
        <v>101</v>
      </c>
      <c r="L200" s="201"/>
      <c r="M200" s="201"/>
      <c r="N200" s="201"/>
      <c r="O200" s="201"/>
      <c r="P200" s="201"/>
      <c r="Q200" s="201"/>
      <c r="R200" s="201"/>
      <c r="T200" s="201" t="s">
        <v>103</v>
      </c>
      <c r="U200" s="201"/>
      <c r="V200" s="201"/>
      <c r="W200" s="201"/>
      <c r="X200" s="201"/>
      <c r="Y200" s="201"/>
      <c r="Z200" s="201"/>
      <c r="AA200" s="201"/>
      <c r="AB200" s="201"/>
      <c r="AD200" s="201" t="s">
        <v>104</v>
      </c>
      <c r="AE200" s="201"/>
      <c r="AF200" s="201"/>
      <c r="AG200" s="201"/>
      <c r="AH200" s="201"/>
      <c r="AI200" s="201"/>
      <c r="AJ200" s="201"/>
      <c r="AK200" s="201"/>
      <c r="AL200" s="201"/>
    </row>
    <row r="201" spans="1:41" x14ac:dyDescent="0.25">
      <c r="A201" s="210"/>
      <c r="B201" s="51" t="s">
        <v>48</v>
      </c>
      <c r="C201" s="51" t="s">
        <v>7</v>
      </c>
      <c r="D201" s="51" t="s">
        <v>8</v>
      </c>
      <c r="E201" s="51" t="s">
        <v>2</v>
      </c>
      <c r="F201" s="51" t="s">
        <v>3</v>
      </c>
      <c r="G201" s="51" t="s">
        <v>4</v>
      </c>
      <c r="H201" s="51" t="s">
        <v>5</v>
      </c>
      <c r="I201" s="51" t="s">
        <v>6</v>
      </c>
      <c r="K201" s="51" t="s">
        <v>13</v>
      </c>
      <c r="L201" s="51" t="s">
        <v>7</v>
      </c>
      <c r="M201" s="51" t="s">
        <v>8</v>
      </c>
      <c r="N201" s="51" t="s">
        <v>2</v>
      </c>
      <c r="O201" s="51" t="s">
        <v>3</v>
      </c>
      <c r="P201" s="51" t="s">
        <v>4</v>
      </c>
      <c r="Q201" s="51" t="s">
        <v>5</v>
      </c>
      <c r="R201" s="51" t="s">
        <v>6</v>
      </c>
      <c r="T201" s="16" t="s">
        <v>48</v>
      </c>
      <c r="U201" s="16" t="s">
        <v>7</v>
      </c>
      <c r="V201" s="16" t="s">
        <v>8</v>
      </c>
      <c r="W201" s="16" t="s">
        <v>2</v>
      </c>
      <c r="X201" s="16" t="s">
        <v>3</v>
      </c>
      <c r="Y201" s="16" t="s">
        <v>4</v>
      </c>
      <c r="Z201" s="16" t="s">
        <v>5</v>
      </c>
      <c r="AA201" s="16" t="s">
        <v>6</v>
      </c>
      <c r="AB201" s="16" t="s">
        <v>30</v>
      </c>
      <c r="AD201" s="16" t="s">
        <v>48</v>
      </c>
      <c r="AE201" s="16" t="s">
        <v>7</v>
      </c>
      <c r="AF201" s="16" t="s">
        <v>8</v>
      </c>
      <c r="AG201" s="16" t="s">
        <v>2</v>
      </c>
      <c r="AH201" s="16" t="s">
        <v>3</v>
      </c>
      <c r="AI201" s="16" t="s">
        <v>4</v>
      </c>
      <c r="AJ201" s="16" t="s">
        <v>5</v>
      </c>
      <c r="AK201" s="16" t="s">
        <v>6</v>
      </c>
      <c r="AL201" s="16" t="s">
        <v>30</v>
      </c>
    </row>
    <row r="202" spans="1:41" x14ac:dyDescent="0.25">
      <c r="A202" s="210"/>
      <c r="B202" s="52">
        <v>0</v>
      </c>
      <c r="C202" s="86">
        <v>26.595209206525663</v>
      </c>
      <c r="D202" s="86">
        <v>34.49419659440165</v>
      </c>
      <c r="E202" s="86">
        <v>27.314380614285724</v>
      </c>
      <c r="F202" s="86">
        <v>27.022783755484188</v>
      </c>
      <c r="G202" s="86">
        <v>29.230125386949965</v>
      </c>
      <c r="H202" s="86">
        <v>28.12246171065323</v>
      </c>
      <c r="I202" s="86">
        <v>25.326002561716052</v>
      </c>
      <c r="K202" s="52">
        <v>0</v>
      </c>
      <c r="L202" s="85">
        <f t="shared" ref="L202:L225" si="157">IF(C202-$G$7&gt;0,C202-$G$7,0)</f>
        <v>0.92786375198020821</v>
      </c>
      <c r="M202" s="85">
        <f t="shared" ref="M202:M225" si="158">IF(D202-$G$7&gt;0,D202-$G$7,0)</f>
        <v>8.8268511398561955</v>
      </c>
      <c r="N202" s="85">
        <f t="shared" ref="N202:N225" si="159">IF(E202-$G$7&gt;0,E202-$G$7,0)</f>
        <v>1.6470351597402697</v>
      </c>
      <c r="O202" s="85">
        <f t="shared" ref="O202:O225" si="160">IF(F202-$G$7&gt;0,F202-$G$7,0)</f>
        <v>1.355438300938733</v>
      </c>
      <c r="P202" s="85">
        <f t="shared" ref="P202:P225" si="161">IF(G202-$G$7&gt;0,G202-$G$7,0)</f>
        <v>3.56277993240451</v>
      </c>
      <c r="Q202" s="85">
        <f t="shared" ref="Q202:Q225" si="162">IF(H202-$G$7&gt;0,H202-$G$7,0)</f>
        <v>2.4551162561077753</v>
      </c>
      <c r="R202" s="85">
        <f t="shared" ref="R202:R225" si="163">IF(I202-$G$7&gt;0,I202-$G$7,0)</f>
        <v>0</v>
      </c>
      <c r="T202" s="52">
        <v>0</v>
      </c>
      <c r="U202" s="87">
        <f>Annual_Days*L202*T_2!J47*CT15_AADT_2014</f>
        <v>13921.852935988856</v>
      </c>
      <c r="V202" s="87">
        <f>Annual_Days*M202*T_2!K47*CT15_AADT_2014</f>
        <v>116473.38238554164</v>
      </c>
      <c r="W202" s="87">
        <f>Annual_Days*N202*T_2!L47*CT15_AADT_2014</f>
        <v>21372.088378380769</v>
      </c>
      <c r="X202" s="87">
        <f>Annual_Days*O202*T_2!M47*CT15_AADT_2014</f>
        <v>18149.580440749662</v>
      </c>
      <c r="Y202" s="87">
        <f>Annual_Days*P202*T_2!N47*CT15_AADT_2014</f>
        <v>54097.55292543723</v>
      </c>
      <c r="Z202" s="87">
        <f>Annual_Days*Q202*T_2!O47*CT15_AADT_2014</f>
        <v>27857.311432223541</v>
      </c>
      <c r="AA202" s="87">
        <f>Annual_Days*R202*T_2!P47*CT15_AADT_2014</f>
        <v>0</v>
      </c>
      <c r="AB202" s="44">
        <f t="shared" ref="AB202:AB225" si="164">SUM(U202:AA202)</f>
        <v>251871.7684983217</v>
      </c>
      <c r="AD202" s="52">
        <v>0</v>
      </c>
      <c r="AE202" s="87">
        <f>Annual_Days*T_2!B47*L202*CT15_AADT_2014</f>
        <v>1939.6738922051884</v>
      </c>
      <c r="AF202" s="87">
        <f>Annual_Days*T_2!C47*M202*CT15_AADT_2014</f>
        <v>27439.363560350008</v>
      </c>
      <c r="AG202" s="87">
        <f>Annual_Days*T_2!D47*N202*CT15_AADT_2014</f>
        <v>5668.582580645796</v>
      </c>
      <c r="AH202" s="87">
        <f>Annual_Days*T_2!E47*O202*CT15_AADT_2014</f>
        <v>5030.9363326990297</v>
      </c>
      <c r="AI202" s="87">
        <f>Annual_Days*T_2!F47*P202*CT15_AADT_2014</f>
        <v>9937.8101368551816</v>
      </c>
      <c r="AJ202" s="87">
        <f>Annual_Days*T_2!G47*Q202*CT15_AADT_2014</f>
        <v>3411.6475910244844</v>
      </c>
      <c r="AK202" s="87">
        <f>Annual_Days*T_2!H47*R202*CT15_AADT_2014</f>
        <v>0</v>
      </c>
      <c r="AL202" s="44">
        <f t="shared" ref="AL202:AL225" si="165">SUM(AE202:AK202)</f>
        <v>53428.014093779682</v>
      </c>
    </row>
    <row r="203" spans="1:41" x14ac:dyDescent="0.25">
      <c r="A203" s="210"/>
      <c r="B203" s="52">
        <v>1</v>
      </c>
      <c r="C203" s="86">
        <v>27.649973489228408</v>
      </c>
      <c r="D203" s="86">
        <v>30.522220170197773</v>
      </c>
      <c r="E203" s="86">
        <v>28.493346285449359</v>
      </c>
      <c r="F203" s="86">
        <v>32.014045670541876</v>
      </c>
      <c r="G203" s="86">
        <v>26.962576620142599</v>
      </c>
      <c r="H203" s="86">
        <v>26.799340145295051</v>
      </c>
      <c r="I203" s="86">
        <v>26.529532023020113</v>
      </c>
      <c r="K203" s="52">
        <v>1</v>
      </c>
      <c r="L203" s="85">
        <f t="shared" si="157"/>
        <v>1.9826280346829535</v>
      </c>
      <c r="M203" s="85">
        <f t="shared" si="158"/>
        <v>4.8548747156523184</v>
      </c>
      <c r="N203" s="85">
        <f t="shared" si="159"/>
        <v>2.8260008309039044</v>
      </c>
      <c r="O203" s="85">
        <f t="shared" si="160"/>
        <v>6.346700215996421</v>
      </c>
      <c r="P203" s="85">
        <f t="shared" si="161"/>
        <v>1.2952311655971442</v>
      </c>
      <c r="Q203" s="85">
        <f t="shared" si="162"/>
        <v>1.1319946907495968</v>
      </c>
      <c r="R203" s="85">
        <f t="shared" si="163"/>
        <v>0.8621865684746588</v>
      </c>
      <c r="T203" s="52">
        <v>1</v>
      </c>
      <c r="U203" s="87">
        <f>Annual_Days*L203*T_2!J48*CT15_AADT_2014</f>
        <v>18070.817079430268</v>
      </c>
      <c r="V203" s="87">
        <f>Annual_Days*M203*T_2!K48*CT15_AADT_2014</f>
        <v>35569.53567042444</v>
      </c>
      <c r="W203" s="87">
        <f>Annual_Days*N203*T_2!L48*CT15_AADT_2014</f>
        <v>21295.885641077639</v>
      </c>
      <c r="X203" s="87">
        <f>Annual_Days*O203*T_2!M48*CT15_AADT_2014</f>
        <v>50741.144730305488</v>
      </c>
      <c r="Y203" s="87">
        <f>Annual_Days*P203*T_2!N48*CT15_AADT_2014</f>
        <v>11728.563258328202</v>
      </c>
      <c r="Z203" s="87">
        <f>Annual_Days*Q203*T_2!O48*CT15_AADT_2014</f>
        <v>7776.0145958801804</v>
      </c>
      <c r="AA203" s="87">
        <f>Annual_Days*R203*T_2!P48*CT15_AADT_2014</f>
        <v>6393.0464804243657</v>
      </c>
      <c r="AB203" s="44">
        <f t="shared" si="164"/>
        <v>151575.00745587057</v>
      </c>
      <c r="AD203" s="52">
        <v>1</v>
      </c>
      <c r="AE203" s="87">
        <f>Annual_Days*T_2!B48*L203*CT15_AADT_2014</f>
        <v>4420.4542757901836</v>
      </c>
      <c r="AF203" s="87">
        <f>Annual_Days*T_2!C48*M203*CT15_AADT_2014</f>
        <v>16957.569331248862</v>
      </c>
      <c r="AG203" s="87">
        <f>Annual_Days*T_2!D48*N203*CT15_AADT_2014</f>
        <v>9493.3466110828031</v>
      </c>
      <c r="AH203" s="87">
        <f>Annual_Days*T_2!E48*O203*CT15_AADT_2014</f>
        <v>21287.182090022623</v>
      </c>
      <c r="AI203" s="87">
        <f>Annual_Days*T_2!F48*P203*CT15_AADT_2014</f>
        <v>3720.072927751678</v>
      </c>
      <c r="AJ203" s="87">
        <f>Annual_Days*T_2!G48*Q203*CT15_AADT_2014</f>
        <v>1791.4691389506929</v>
      </c>
      <c r="AK203" s="87">
        <f>Annual_Days*T_2!H48*R203*CT15_AADT_2014</f>
        <v>638.2042958082842</v>
      </c>
      <c r="AL203" s="44">
        <f t="shared" si="165"/>
        <v>58308.298670655124</v>
      </c>
    </row>
    <row r="204" spans="1:41" x14ac:dyDescent="0.25">
      <c r="A204" s="210"/>
      <c r="B204" s="52">
        <v>2</v>
      </c>
      <c r="C204" s="86">
        <v>27.073629194239093</v>
      </c>
      <c r="D204" s="86">
        <v>28.584489182056913</v>
      </c>
      <c r="E204" s="86">
        <v>27.574338562043753</v>
      </c>
      <c r="F204" s="86">
        <v>28.192012963094637</v>
      </c>
      <c r="G204" s="86">
        <v>28.16197815470084</v>
      </c>
      <c r="H204" s="86">
        <v>31.11680824361472</v>
      </c>
      <c r="I204" s="86">
        <v>28.681651050699312</v>
      </c>
      <c r="K204" s="52">
        <v>2</v>
      </c>
      <c r="L204" s="85">
        <f t="shared" si="157"/>
        <v>1.4062837396936381</v>
      </c>
      <c r="M204" s="85">
        <f t="shared" si="158"/>
        <v>2.9171437275114585</v>
      </c>
      <c r="N204" s="85">
        <f t="shared" si="159"/>
        <v>1.9069931074982982</v>
      </c>
      <c r="O204" s="85">
        <f t="shared" si="160"/>
        <v>2.5246675085491823</v>
      </c>
      <c r="P204" s="85">
        <f t="shared" si="161"/>
        <v>2.4946327001553854</v>
      </c>
      <c r="Q204" s="85">
        <f t="shared" si="162"/>
        <v>5.4494627890692655</v>
      </c>
      <c r="R204" s="85">
        <f t="shared" si="163"/>
        <v>3.0143055961538572</v>
      </c>
      <c r="T204" s="52">
        <v>2</v>
      </c>
      <c r="U204" s="87">
        <f>Annual_Days*L204*T_2!J49*CT15_AADT_2014</f>
        <v>6942.7751825929445</v>
      </c>
      <c r="V204" s="87">
        <f>Annual_Days*M204*T_2!K49*CT15_AADT_2014</f>
        <v>10404.153198334749</v>
      </c>
      <c r="W204" s="87">
        <f>Annual_Days*N204*T_2!L49*CT15_AADT_2014</f>
        <v>6234.1981579048352</v>
      </c>
      <c r="X204" s="87">
        <f>Annual_Days*O204*T_2!M49*CT15_AADT_2014</f>
        <v>9027.7323175058482</v>
      </c>
      <c r="Y204" s="87">
        <f>Annual_Days*P204*T_2!N49*CT15_AADT_2014</f>
        <v>10005.79906122144</v>
      </c>
      <c r="Z204" s="87">
        <f>Annual_Days*Q204*T_2!O49*CT15_AADT_2014</f>
        <v>21159.672881135437</v>
      </c>
      <c r="AA204" s="87">
        <f>Annual_Days*R204*T_2!P49*CT15_AADT_2014</f>
        <v>13554.426143257268</v>
      </c>
      <c r="AB204" s="44">
        <f t="shared" si="164"/>
        <v>77328.756941952524</v>
      </c>
      <c r="AD204" s="52">
        <v>2</v>
      </c>
      <c r="AE204" s="87">
        <f>Annual_Days*T_2!B49*L204*CT15_AADT_2014</f>
        <v>2981.9788489169691</v>
      </c>
      <c r="AF204" s="87">
        <f>Annual_Days*T_2!C49*M204*CT15_AADT_2014</f>
        <v>9231.1359259734763</v>
      </c>
      <c r="AG204" s="87">
        <f>Annual_Days*T_2!D49*N204*CT15_AADT_2014</f>
        <v>6691.3726894845249</v>
      </c>
      <c r="AH204" s="87">
        <f>Annual_Days*T_2!E49*O204*CT15_AADT_2014</f>
        <v>8797.433023691925</v>
      </c>
      <c r="AI204" s="87">
        <f>Annual_Days*T_2!F49*P204*CT15_AADT_2014</f>
        <v>8504.9292020382236</v>
      </c>
      <c r="AJ204" s="87">
        <f>Annual_Days*T_2!G49*Q204*CT15_AADT_2014</f>
        <v>7494.0508120688019</v>
      </c>
      <c r="AK204" s="87">
        <f>Annual_Days*T_2!H49*R204*CT15_AADT_2014</f>
        <v>1738.5724744320482</v>
      </c>
      <c r="AL204" s="44">
        <f t="shared" si="165"/>
        <v>45439.472976605975</v>
      </c>
    </row>
    <row r="205" spans="1:41" x14ac:dyDescent="0.25">
      <c r="A205" s="210"/>
      <c r="B205" s="52">
        <v>3</v>
      </c>
      <c r="C205" s="86">
        <v>44.873839171644022</v>
      </c>
      <c r="D205" s="86">
        <v>27.601538696428577</v>
      </c>
      <c r="E205" s="86">
        <v>27.849243685003959</v>
      </c>
      <c r="F205" s="86">
        <v>27.988013077402602</v>
      </c>
      <c r="G205" s="86">
        <v>27.86810499175494</v>
      </c>
      <c r="H205" s="86">
        <v>26.578527439055396</v>
      </c>
      <c r="I205" s="86">
        <v>26.937629956043953</v>
      </c>
      <c r="K205" s="52">
        <v>3</v>
      </c>
      <c r="L205" s="85">
        <f t="shared" si="157"/>
        <v>19.206493717098567</v>
      </c>
      <c r="M205" s="85">
        <f t="shared" si="158"/>
        <v>1.934193241883122</v>
      </c>
      <c r="N205" s="85">
        <f t="shared" si="159"/>
        <v>2.1818982304585042</v>
      </c>
      <c r="O205" s="85">
        <f t="shared" si="160"/>
        <v>2.3206676228571474</v>
      </c>
      <c r="P205" s="85">
        <f t="shared" si="161"/>
        <v>2.2007595372094855</v>
      </c>
      <c r="Q205" s="85">
        <f t="shared" si="162"/>
        <v>0.91118198450994115</v>
      </c>
      <c r="R205" s="85">
        <f t="shared" si="163"/>
        <v>1.270284501498498</v>
      </c>
      <c r="T205" s="52">
        <v>3</v>
      </c>
      <c r="U205" s="87">
        <f>Annual_Days*L205*T_2!J50*CT15_AADT_2014</f>
        <v>110811.61611854294</v>
      </c>
      <c r="V205" s="87">
        <f>Annual_Days*M205*T_2!K50*CT15_AADT_2014</f>
        <v>8690.1492851281109</v>
      </c>
      <c r="W205" s="87">
        <f>Annual_Days*N205*T_2!L50*CT15_AADT_2014</f>
        <v>8082.9546459069716</v>
      </c>
      <c r="X205" s="87">
        <f>Annual_Days*O205*T_2!M50*CT15_AADT_2014</f>
        <v>8927.8373302119053</v>
      </c>
      <c r="Y205" s="87">
        <f>Annual_Days*P205*T_2!N50*CT15_AADT_2014</f>
        <v>10532.904962264554</v>
      </c>
      <c r="Z205" s="87">
        <f>Annual_Days*Q205*T_2!O50*CT15_AADT_2014</f>
        <v>4502.1585097054967</v>
      </c>
      <c r="AA205" s="87">
        <f>Annual_Days*R205*T_2!P50*CT15_AADT_2014</f>
        <v>7478.7390471579229</v>
      </c>
      <c r="AB205" s="44">
        <f t="shared" si="164"/>
        <v>159026.3598989179</v>
      </c>
      <c r="AD205" s="52">
        <v>3</v>
      </c>
      <c r="AE205" s="87">
        <f>Annual_Days*T_2!B50*L205*CT15_AADT_2014</f>
        <v>75944.167943311768</v>
      </c>
      <c r="AF205" s="87">
        <f>Annual_Days*T_2!C50*M205*CT15_AADT_2014</f>
        <v>9247.2101367388859</v>
      </c>
      <c r="AG205" s="87">
        <f>Annual_Days*T_2!D50*N205*CT15_AADT_2014</f>
        <v>12292.826857316857</v>
      </c>
      <c r="AH205" s="87">
        <f>Annual_Days*T_2!E50*O205*CT15_AADT_2014</f>
        <v>13646.837061895341</v>
      </c>
      <c r="AI205" s="87">
        <f>Annual_Days*T_2!F50*P205*CT15_AADT_2014</f>
        <v>11966.377235235472</v>
      </c>
      <c r="AJ205" s="87">
        <f>Annual_Days*T_2!G50*Q205*CT15_AADT_2014</f>
        <v>2098.8710490086123</v>
      </c>
      <c r="AK205" s="87">
        <f>Annual_Days*T_2!H50*R205*CT15_AADT_2014</f>
        <v>1400.7002897687082</v>
      </c>
      <c r="AL205" s="44">
        <f t="shared" si="165"/>
        <v>126596.99057327563</v>
      </c>
    </row>
    <row r="206" spans="1:41" x14ac:dyDescent="0.25">
      <c r="A206" s="210"/>
      <c r="B206" s="52">
        <v>4</v>
      </c>
      <c r="C206" s="86">
        <v>27.203118092305953</v>
      </c>
      <c r="D206" s="86">
        <v>27.10120406523199</v>
      </c>
      <c r="E206" s="86">
        <v>27.597888617222264</v>
      </c>
      <c r="F206" s="86">
        <v>28.132829446803338</v>
      </c>
      <c r="G206" s="86">
        <v>27.96876551558875</v>
      </c>
      <c r="H206" s="86">
        <v>26.937923453968249</v>
      </c>
      <c r="I206" s="86">
        <v>26.49566607911256</v>
      </c>
      <c r="K206" s="52">
        <v>4</v>
      </c>
      <c r="L206" s="85">
        <f t="shared" si="157"/>
        <v>1.5357726377604983</v>
      </c>
      <c r="M206" s="85">
        <f t="shared" si="158"/>
        <v>1.433858610686535</v>
      </c>
      <c r="N206" s="85">
        <f t="shared" si="159"/>
        <v>1.930543162676809</v>
      </c>
      <c r="O206" s="85">
        <f t="shared" si="160"/>
        <v>2.4654839922578837</v>
      </c>
      <c r="P206" s="85">
        <f t="shared" si="161"/>
        <v>2.3014200610432951</v>
      </c>
      <c r="Q206" s="85">
        <f t="shared" si="162"/>
        <v>1.2705779994227946</v>
      </c>
      <c r="R206" s="85">
        <f t="shared" si="163"/>
        <v>0.82832062456710531</v>
      </c>
      <c r="T206" s="52">
        <v>4</v>
      </c>
      <c r="U206" s="87">
        <f>Annual_Days*L206*T_2!J51*CT15_AADT_2014</f>
        <v>12833.076765065347</v>
      </c>
      <c r="V206" s="87">
        <f>Annual_Days*M206*T_2!K51*CT15_AADT_2014</f>
        <v>8784.5761382341116</v>
      </c>
      <c r="W206" s="87">
        <f>Annual_Days*N206*T_2!L51*CT15_AADT_2014</f>
        <v>11468.935157588339</v>
      </c>
      <c r="X206" s="87">
        <f>Annual_Days*O206*T_2!M51*CT15_AADT_2014</f>
        <v>16542.66478231932</v>
      </c>
      <c r="Y206" s="87">
        <f>Annual_Days*P206*T_2!N51*CT15_AADT_2014</f>
        <v>15158.000879439141</v>
      </c>
      <c r="Z206" s="87">
        <f>Annual_Days*Q206*T_2!O51*CT15_AADT_2014</f>
        <v>8275.2950204472691</v>
      </c>
      <c r="AA206" s="87">
        <f>Annual_Days*R206*T_2!P51*CT15_AADT_2014</f>
        <v>6764.9963939809522</v>
      </c>
      <c r="AB206" s="44">
        <f t="shared" si="164"/>
        <v>79827.545137074485</v>
      </c>
      <c r="AD206" s="52">
        <v>4</v>
      </c>
      <c r="AE206" s="87">
        <f>Annual_Days*T_2!B51*L206*CT15_AADT_2014</f>
        <v>10369.584350342982</v>
      </c>
      <c r="AF206" s="87">
        <f>Annual_Days*T_2!C51*M206*CT15_AADT_2014</f>
        <v>11876.354332137738</v>
      </c>
      <c r="AG206" s="87">
        <f>Annual_Days*T_2!D51*N206*CT15_AADT_2014</f>
        <v>16543.070106097126</v>
      </c>
      <c r="AH206" s="87">
        <f>Annual_Days*T_2!E51*O206*CT15_AADT_2014</f>
        <v>20721.86430627367</v>
      </c>
      <c r="AI206" s="87">
        <f>Annual_Days*T_2!F51*P206*CT15_AADT_2014</f>
        <v>21399.530653325841</v>
      </c>
      <c r="AJ206" s="87">
        <f>Annual_Days*T_2!G51*Q206*CT15_AADT_2014</f>
        <v>6026.5735474996436</v>
      </c>
      <c r="AK206" s="87">
        <f>Annual_Days*T_2!H51*R206*CT15_AADT_2014</f>
        <v>2231.3862451350783</v>
      </c>
      <c r="AL206" s="44">
        <f t="shared" si="165"/>
        <v>89168.363540812075</v>
      </c>
    </row>
    <row r="207" spans="1:41" x14ac:dyDescent="0.25">
      <c r="A207" s="210"/>
      <c r="B207" s="52">
        <v>5</v>
      </c>
      <c r="C207" s="86">
        <v>26.123024933723912</v>
      </c>
      <c r="D207" s="86">
        <v>27.90350401628487</v>
      </c>
      <c r="E207" s="86">
        <v>27.778476391922922</v>
      </c>
      <c r="F207" s="86">
        <v>29.650131597562744</v>
      </c>
      <c r="G207" s="86">
        <v>26.76773868452112</v>
      </c>
      <c r="H207" s="86">
        <v>25.654195485257869</v>
      </c>
      <c r="I207" s="86">
        <v>26.459090409668111</v>
      </c>
      <c r="K207" s="52">
        <v>5</v>
      </c>
      <c r="L207" s="85">
        <f t="shared" si="157"/>
        <v>0.45567947917845686</v>
      </c>
      <c r="M207" s="85">
        <f t="shared" si="158"/>
        <v>2.2361585617394155</v>
      </c>
      <c r="N207" s="85">
        <f t="shared" si="159"/>
        <v>2.1111309373774674</v>
      </c>
      <c r="O207" s="85">
        <f t="shared" si="160"/>
        <v>3.9827861430172895</v>
      </c>
      <c r="P207" s="85">
        <f t="shared" si="161"/>
        <v>1.1003932299756656</v>
      </c>
      <c r="Q207" s="85">
        <f t="shared" si="162"/>
        <v>0</v>
      </c>
      <c r="R207" s="85">
        <f t="shared" si="163"/>
        <v>0.79174495512265608</v>
      </c>
      <c r="T207" s="52">
        <v>5</v>
      </c>
      <c r="U207" s="87">
        <f>Annual_Days*L207*T_2!J52*CT15_AADT_2014</f>
        <v>9987.5187608452998</v>
      </c>
      <c r="V207" s="87">
        <f>Annual_Days*M207*T_2!K52*CT15_AADT_2014</f>
        <v>40326.370693181954</v>
      </c>
      <c r="W207" s="87">
        <f>Annual_Days*N207*T_2!L52*CT15_AADT_2014</f>
        <v>37311.199704975268</v>
      </c>
      <c r="X207" s="87">
        <f>Annual_Days*O207*T_2!M52*CT15_AADT_2014</f>
        <v>63233.540162045261</v>
      </c>
      <c r="Y207" s="87">
        <f>Annual_Days*P207*T_2!N52*CT15_AADT_2014</f>
        <v>19470.337744549703</v>
      </c>
      <c r="Z207" s="87">
        <f>Annual_Days*Q207*T_2!O52*CT15_AADT_2014</f>
        <v>0</v>
      </c>
      <c r="AA207" s="87">
        <f>Annual_Days*R207*T_2!P52*CT15_AADT_2014</f>
        <v>13366.961668724762</v>
      </c>
      <c r="AB207" s="44">
        <f t="shared" si="164"/>
        <v>183695.92873432225</v>
      </c>
      <c r="AD207" s="52">
        <v>5</v>
      </c>
      <c r="AE207" s="87">
        <f>Annual_Days*T_2!B52*L207*CT15_AADT_2014</f>
        <v>4043.4544237004288</v>
      </c>
      <c r="AF207" s="87">
        <f>Annual_Days*T_2!C52*M207*CT15_AADT_2014</f>
        <v>25343.111943061267</v>
      </c>
      <c r="AG207" s="87">
        <f>Annual_Days*T_2!D52*N207*CT15_AADT_2014</f>
        <v>25119.37106898335</v>
      </c>
      <c r="AH207" s="87">
        <f>Annual_Days*T_2!E52*O207*CT15_AADT_2014</f>
        <v>59453.274174096914</v>
      </c>
      <c r="AI207" s="87">
        <f>Annual_Days*T_2!F52*P207*CT15_AADT_2014</f>
        <v>16153.961535313212</v>
      </c>
      <c r="AJ207" s="87">
        <f>Annual_Days*T_2!G52*Q207*CT15_AADT_2014</f>
        <v>0</v>
      </c>
      <c r="AK207" s="87">
        <f>Annual_Days*T_2!H52*R207*CT15_AADT_2014</f>
        <v>4158.6102969365929</v>
      </c>
      <c r="AL207" s="44">
        <f t="shared" si="165"/>
        <v>134271.78344209178</v>
      </c>
    </row>
    <row r="208" spans="1:41" x14ac:dyDescent="0.25">
      <c r="A208" s="210"/>
      <c r="B208" s="52">
        <v>6</v>
      </c>
      <c r="C208" s="86">
        <v>26.203961894271441</v>
      </c>
      <c r="D208" s="86">
        <v>26.081216962026112</v>
      </c>
      <c r="E208" s="86">
        <v>27.144544722493631</v>
      </c>
      <c r="F208" s="86">
        <v>26.926098312755091</v>
      </c>
      <c r="G208" s="86">
        <v>26.758753323714128</v>
      </c>
      <c r="H208" s="86">
        <v>25.424642374999998</v>
      </c>
      <c r="I208" s="86">
        <v>25.773401207142854</v>
      </c>
      <c r="K208" s="52">
        <v>6</v>
      </c>
      <c r="L208" s="85">
        <f t="shared" si="157"/>
        <v>0.53661643972598583</v>
      </c>
      <c r="M208" s="85">
        <f t="shared" si="158"/>
        <v>0.41387150748065693</v>
      </c>
      <c r="N208" s="85">
        <f t="shared" si="159"/>
        <v>1.4771992679481762</v>
      </c>
      <c r="O208" s="85">
        <f t="shared" si="160"/>
        <v>1.2587528582096361</v>
      </c>
      <c r="P208" s="85">
        <f t="shared" si="161"/>
        <v>1.0914078691686733</v>
      </c>
      <c r="Q208" s="85">
        <f t="shared" si="162"/>
        <v>0</v>
      </c>
      <c r="R208" s="85">
        <f t="shared" si="163"/>
        <v>0.10605575259739908</v>
      </c>
      <c r="T208" s="52">
        <v>6</v>
      </c>
      <c r="U208" s="87">
        <f>Annual_Days*L208*T_2!J53*CT15_AADT_2014</f>
        <v>32531.949996259147</v>
      </c>
      <c r="V208" s="87">
        <f>Annual_Days*M208*T_2!K53*CT15_AADT_2014</f>
        <v>21922.177176953701</v>
      </c>
      <c r="W208" s="87">
        <f>Annual_Days*N208*T_2!L53*CT15_AADT_2014</f>
        <v>76196.225896082571</v>
      </c>
      <c r="X208" s="87">
        <f>Annual_Days*O208*T_2!M53*CT15_AADT_2014</f>
        <v>66982.311299392735</v>
      </c>
      <c r="Y208" s="87">
        <f>Annual_Days*P208*T_2!N53*CT15_AADT_2014</f>
        <v>60188.64722963384</v>
      </c>
      <c r="Z208" s="87">
        <f>Annual_Days*Q208*T_2!O53*CT15_AADT_2014</f>
        <v>0</v>
      </c>
      <c r="AA208" s="87">
        <f>Annual_Days*R208*T_2!P53*CT15_AADT_2014</f>
        <v>4765.455701788007</v>
      </c>
      <c r="AB208" s="44">
        <f t="shared" si="164"/>
        <v>262586.76730011002</v>
      </c>
      <c r="AD208" s="52">
        <v>6</v>
      </c>
      <c r="AE208" s="87">
        <f>Annual_Days*T_2!B53*L208*CT15_AADT_2014</f>
        <v>8369.1064909731176</v>
      </c>
      <c r="AF208" s="87">
        <f>Annual_Days*T_2!C53*M208*CT15_AADT_2014</f>
        <v>8164.1211555551727</v>
      </c>
      <c r="AG208" s="87">
        <f>Annual_Days*T_2!D53*N208*CT15_AADT_2014</f>
        <v>31938.067909068592</v>
      </c>
      <c r="AH208" s="87">
        <f>Annual_Days*T_2!E53*O208*CT15_AADT_2014</f>
        <v>29000.529866574347</v>
      </c>
      <c r="AI208" s="87">
        <f>Annual_Days*T_2!F53*P208*CT15_AADT_2014</f>
        <v>27275.029681402699</v>
      </c>
      <c r="AJ208" s="87">
        <f>Annual_Days*T_2!G53*Q208*CT15_AADT_2014</f>
        <v>0</v>
      </c>
      <c r="AK208" s="87">
        <f>Annual_Days*T_2!H53*R208*CT15_AADT_2014</f>
        <v>1045.7112825240142</v>
      </c>
      <c r="AL208" s="44">
        <f t="shared" si="165"/>
        <v>105792.56638609794</v>
      </c>
    </row>
    <row r="209" spans="1:38" x14ac:dyDescent="0.25">
      <c r="A209" s="210"/>
      <c r="B209" s="52">
        <v>7</v>
      </c>
      <c r="C209" s="86">
        <v>27.99572771546644</v>
      </c>
      <c r="D209" s="86">
        <v>26.172286788096105</v>
      </c>
      <c r="E209" s="86">
        <v>26.930661794628822</v>
      </c>
      <c r="F209" s="86">
        <v>26.767784198706366</v>
      </c>
      <c r="G209" s="86">
        <v>27.053913762890012</v>
      </c>
      <c r="H209" s="86">
        <v>24.87572732457167</v>
      </c>
      <c r="I209" s="86">
        <v>25.454498314237529</v>
      </c>
      <c r="K209" s="52">
        <v>7</v>
      </c>
      <c r="L209" s="85">
        <f t="shared" si="157"/>
        <v>2.3283822609209857</v>
      </c>
      <c r="M209" s="85">
        <f t="shared" si="158"/>
        <v>0.50494133355065074</v>
      </c>
      <c r="N209" s="85">
        <f t="shared" si="159"/>
        <v>1.2633163400833674</v>
      </c>
      <c r="O209" s="85">
        <f t="shared" si="160"/>
        <v>1.1004387441609111</v>
      </c>
      <c r="P209" s="85">
        <f t="shared" si="161"/>
        <v>1.3865683083445575</v>
      </c>
      <c r="Q209" s="85">
        <f t="shared" si="162"/>
        <v>0</v>
      </c>
      <c r="R209" s="85">
        <f t="shared" si="163"/>
        <v>0</v>
      </c>
      <c r="T209" s="52">
        <v>7</v>
      </c>
      <c r="U209" s="87">
        <f>Annual_Days*L209*T_2!J54*CT15_AADT_2014</f>
        <v>265460.5381901025</v>
      </c>
      <c r="V209" s="87">
        <f>Annual_Days*M209*T_2!K54*CT15_AADT_2014</f>
        <v>52623.110825272241</v>
      </c>
      <c r="W209" s="87">
        <f>Annual_Days*N209*T_2!L54*CT15_AADT_2014</f>
        <v>131981.64499787815</v>
      </c>
      <c r="X209" s="87">
        <f>Annual_Days*O209*T_2!M54*CT15_AADT_2014</f>
        <v>120358.66601681792</v>
      </c>
      <c r="Y209" s="87">
        <f>Annual_Days*P209*T_2!N54*CT15_AADT_2014</f>
        <v>158033.15929240594</v>
      </c>
      <c r="Z209" s="87">
        <f>Annual_Days*Q209*T_2!O54*CT15_AADT_2014</f>
        <v>0</v>
      </c>
      <c r="AA209" s="87">
        <f>Annual_Days*R209*T_2!P54*CT15_AADT_2014</f>
        <v>0</v>
      </c>
      <c r="AB209" s="44">
        <f t="shared" si="164"/>
        <v>728457.11932247668</v>
      </c>
      <c r="AD209" s="52">
        <v>7</v>
      </c>
      <c r="AE209" s="87">
        <f>Annual_Days*T_2!B54*L209*CT15_AADT_2014</f>
        <v>34948.134094349167</v>
      </c>
      <c r="AF209" s="87">
        <f>Annual_Days*T_2!C54*M209*CT15_AADT_2014</f>
        <v>9511.2425086755611</v>
      </c>
      <c r="AG209" s="87">
        <f>Annual_Days*T_2!D54*N209*CT15_AADT_2014</f>
        <v>24557.915233492913</v>
      </c>
      <c r="AH209" s="87">
        <f>Annual_Days*T_2!E54*O209*CT15_AADT_2014</f>
        <v>21680.016555242979</v>
      </c>
      <c r="AI209" s="87">
        <f>Annual_Days*T_2!F54*P209*CT15_AADT_2014</f>
        <v>30058.505807493737</v>
      </c>
      <c r="AJ209" s="87">
        <f>Annual_Days*T_2!G54*Q209*CT15_AADT_2014</f>
        <v>0</v>
      </c>
      <c r="AK209" s="87">
        <f>Annual_Days*T_2!H54*R209*CT15_AADT_2014</f>
        <v>0</v>
      </c>
      <c r="AL209" s="44">
        <f t="shared" si="165"/>
        <v>120755.81419925437</v>
      </c>
    </row>
    <row r="210" spans="1:38" x14ac:dyDescent="0.25">
      <c r="A210" s="210"/>
      <c r="B210" s="52">
        <v>8</v>
      </c>
      <c r="C210" s="86">
        <v>25.830754640539606</v>
      </c>
      <c r="D210" s="86">
        <v>26.002976871166226</v>
      </c>
      <c r="E210" s="86">
        <v>26.039119571688591</v>
      </c>
      <c r="F210" s="86">
        <v>26.29354701351982</v>
      </c>
      <c r="G210" s="86">
        <v>25.785456488076949</v>
      </c>
      <c r="H210" s="86">
        <v>25.018177058481591</v>
      </c>
      <c r="I210" s="86">
        <v>24.512801122377244</v>
      </c>
      <c r="K210" s="52">
        <v>8</v>
      </c>
      <c r="L210" s="85">
        <f t="shared" si="157"/>
        <v>0.16340918599415133</v>
      </c>
      <c r="M210" s="85">
        <f t="shared" si="158"/>
        <v>0.33563141662077101</v>
      </c>
      <c r="N210" s="85">
        <f t="shared" si="159"/>
        <v>0.37177411714313635</v>
      </c>
      <c r="O210" s="85">
        <f t="shared" si="160"/>
        <v>0.62620155897436547</v>
      </c>
      <c r="P210" s="85">
        <f t="shared" si="161"/>
        <v>0.11811103353149477</v>
      </c>
      <c r="Q210" s="85">
        <f t="shared" si="162"/>
        <v>0</v>
      </c>
      <c r="R210" s="85">
        <f t="shared" si="163"/>
        <v>0</v>
      </c>
      <c r="T210" s="52">
        <v>8</v>
      </c>
      <c r="U210" s="87">
        <f>Annual_Days*L210*T_2!J55*CT15_AADT_2014</f>
        <v>18726.67691676486</v>
      </c>
      <c r="V210" s="87">
        <f>Annual_Days*M210*T_2!K55*CT15_AADT_2014</f>
        <v>35898.217922384931</v>
      </c>
      <c r="W210" s="87">
        <f>Annual_Days*N210*T_2!L55*CT15_AADT_2014</f>
        <v>39784.980579850613</v>
      </c>
      <c r="X210" s="87">
        <f>Annual_Days*O210*T_2!M55*CT15_AADT_2014</f>
        <v>69986.101981237705</v>
      </c>
      <c r="Y210" s="87">
        <f>Annual_Days*P210*T_2!N55*CT15_AADT_2014</f>
        <v>13790.635762721526</v>
      </c>
      <c r="Z210" s="87">
        <f>Annual_Days*Q210*T_2!O55*CT15_AADT_2014</f>
        <v>0</v>
      </c>
      <c r="AA210" s="87">
        <f>Annual_Days*R210*T_2!P55*CT15_AADT_2014</f>
        <v>0</v>
      </c>
      <c r="AB210" s="44">
        <f t="shared" si="164"/>
        <v>178186.61316295963</v>
      </c>
      <c r="AD210" s="52">
        <v>8</v>
      </c>
      <c r="AE210" s="87">
        <f>Annual_Days*T_2!B55*L210*CT15_AADT_2014</f>
        <v>1980.5580113615506</v>
      </c>
      <c r="AF210" s="87">
        <f>Annual_Days*T_2!C55*M210*CT15_AADT_2014</f>
        <v>4665.7962890164954</v>
      </c>
      <c r="AG210" s="87">
        <f>Annual_Days*T_2!D55*N210*CT15_AADT_2014</f>
        <v>5460.8543834427182</v>
      </c>
      <c r="AH210" s="87">
        <f>Annual_Days*T_2!E55*O210*CT15_AADT_2014</f>
        <v>9399.6142726754861</v>
      </c>
      <c r="AI210" s="87">
        <f>Annual_Days*T_2!F55*P210*CT15_AADT_2014</f>
        <v>1945.794134581319</v>
      </c>
      <c r="AJ210" s="87">
        <f>Annual_Days*T_2!G55*Q210*CT15_AADT_2014</f>
        <v>0</v>
      </c>
      <c r="AK210" s="87">
        <f>Annual_Days*T_2!H55*R210*CT15_AADT_2014</f>
        <v>0</v>
      </c>
      <c r="AL210" s="44">
        <f t="shared" si="165"/>
        <v>23452.617091077573</v>
      </c>
    </row>
    <row r="211" spans="1:38" x14ac:dyDescent="0.25">
      <c r="A211" s="210"/>
      <c r="B211" s="52">
        <v>9</v>
      </c>
      <c r="C211" s="86">
        <v>25.672685788381465</v>
      </c>
      <c r="D211" s="86">
        <v>25.690340058810698</v>
      </c>
      <c r="E211" s="86">
        <v>26.284246992139018</v>
      </c>
      <c r="F211" s="86">
        <v>26.201198031591503</v>
      </c>
      <c r="G211" s="86">
        <v>25.732085451891486</v>
      </c>
      <c r="H211" s="86">
        <v>26.335146129599028</v>
      </c>
      <c r="I211" s="86">
        <v>25.17256529567392</v>
      </c>
      <c r="K211" s="52">
        <v>9</v>
      </c>
      <c r="L211" s="85">
        <f t="shared" si="157"/>
        <v>5.3403338360098473E-3</v>
      </c>
      <c r="M211" s="85">
        <f t="shared" si="158"/>
        <v>2.2994604265242913E-2</v>
      </c>
      <c r="N211" s="85">
        <f t="shared" si="159"/>
        <v>0.61690153759356292</v>
      </c>
      <c r="O211" s="85">
        <f t="shared" si="160"/>
        <v>0.53385257704604783</v>
      </c>
      <c r="P211" s="85">
        <f t="shared" si="161"/>
        <v>6.4739997346030975E-2</v>
      </c>
      <c r="Q211" s="85">
        <f t="shared" si="162"/>
        <v>0.66780067505357366</v>
      </c>
      <c r="R211" s="85">
        <f t="shared" si="163"/>
        <v>0</v>
      </c>
      <c r="T211" s="52">
        <v>9</v>
      </c>
      <c r="U211" s="87">
        <f>Annual_Days*L211*T_2!J56*CT15_AADT_2014</f>
        <v>467.4559944150347</v>
      </c>
      <c r="V211" s="87">
        <f>Annual_Days*M211*T_2!K56*CT15_AADT_2014</f>
        <v>1924.0936707836163</v>
      </c>
      <c r="W211" s="87">
        <f>Annual_Days*N211*T_2!L56*CT15_AADT_2014</f>
        <v>49756.671739957863</v>
      </c>
      <c r="X211" s="87">
        <f>Annual_Days*O211*T_2!M56*CT15_AADT_2014</f>
        <v>46967.425925875956</v>
      </c>
      <c r="Y211" s="87">
        <f>Annual_Days*P211*T_2!N56*CT15_AADT_2014</f>
        <v>5894.9690394449008</v>
      </c>
      <c r="Z211" s="87">
        <f>Annual_Days*Q211*T_2!O56*CT15_AADT_2014</f>
        <v>44379.329694924993</v>
      </c>
      <c r="AA211" s="87">
        <f>Annual_Days*R211*T_2!P56*CT15_AADT_2014</f>
        <v>0</v>
      </c>
      <c r="AB211" s="44">
        <f t="shared" si="164"/>
        <v>149389.94606540236</v>
      </c>
      <c r="AD211" s="52">
        <v>9</v>
      </c>
      <c r="AE211" s="87">
        <f>Annual_Days*T_2!B56*L211*CT15_AADT_2014</f>
        <v>61.307434030504574</v>
      </c>
      <c r="AF211" s="87">
        <f>Annual_Days*T_2!C56*M211*CT15_AADT_2014</f>
        <v>247.36525654872202</v>
      </c>
      <c r="AG211" s="87">
        <f>Annual_Days*T_2!D56*N211*CT15_AADT_2014</f>
        <v>8906.1120191963601</v>
      </c>
      <c r="AH211" s="87">
        <f>Annual_Days*T_2!E56*O211*CT15_AADT_2014</f>
        <v>5913.2412370641132</v>
      </c>
      <c r="AI211" s="87">
        <f>Annual_Days*T_2!F56*P211*CT15_AADT_2014</f>
        <v>844.65666525811537</v>
      </c>
      <c r="AJ211" s="87">
        <f>Annual_Days*T_2!G56*Q211*CT15_AADT_2014</f>
        <v>4883.6228189928124</v>
      </c>
      <c r="AK211" s="87">
        <f>Annual_Days*T_2!H56*R211*CT15_AADT_2014</f>
        <v>0</v>
      </c>
      <c r="AL211" s="44">
        <f t="shared" si="165"/>
        <v>20856.30543109063</v>
      </c>
    </row>
    <row r="212" spans="1:38" x14ac:dyDescent="0.25">
      <c r="A212" s="210"/>
      <c r="B212" s="52">
        <v>10</v>
      </c>
      <c r="C212" s="86">
        <v>25.855378153876011</v>
      </c>
      <c r="D212" s="86">
        <v>25.743121714604754</v>
      </c>
      <c r="E212" s="86">
        <v>26.768197792284589</v>
      </c>
      <c r="F212" s="86">
        <v>26.362487352488632</v>
      </c>
      <c r="G212" s="86">
        <v>26.298530297541827</v>
      </c>
      <c r="H212" s="86">
        <v>26.698386851174039</v>
      </c>
      <c r="I212" s="86">
        <v>25.385597753360514</v>
      </c>
      <c r="K212" s="52">
        <v>10</v>
      </c>
      <c r="L212" s="85">
        <f t="shared" si="157"/>
        <v>0.18803269933055589</v>
      </c>
      <c r="M212" s="85">
        <f t="shared" si="158"/>
        <v>7.5776260059299716E-2</v>
      </c>
      <c r="N212" s="85">
        <f t="shared" si="159"/>
        <v>1.1008523377391342</v>
      </c>
      <c r="O212" s="85">
        <f t="shared" si="160"/>
        <v>0.69514189794317716</v>
      </c>
      <c r="P212" s="85">
        <f t="shared" si="161"/>
        <v>0.63118484299637245</v>
      </c>
      <c r="Q212" s="85">
        <f t="shared" si="162"/>
        <v>1.0310413966285843</v>
      </c>
      <c r="R212" s="85">
        <f t="shared" si="163"/>
        <v>0</v>
      </c>
      <c r="T212" s="52">
        <v>10</v>
      </c>
      <c r="U212" s="87">
        <f>Annual_Days*L212*T_2!J57*CT15_AADT_2014</f>
        <v>15285.862138582457</v>
      </c>
      <c r="V212" s="87">
        <f>Annual_Days*M212*T_2!K57*CT15_AADT_2014</f>
        <v>5887.0019224136086</v>
      </c>
      <c r="W212" s="87">
        <f>Annual_Days*N212*T_2!L57*CT15_AADT_2014</f>
        <v>86068.21248075577</v>
      </c>
      <c r="X212" s="87">
        <f>Annual_Days*O212*T_2!M57*CT15_AADT_2014</f>
        <v>57075.856695150433</v>
      </c>
      <c r="Y212" s="87">
        <f>Annual_Days*P212*T_2!N57*CT15_AADT_2014</f>
        <v>53128.46398207506</v>
      </c>
      <c r="Z212" s="87">
        <f>Annual_Days*Q212*T_2!O57*CT15_AADT_2014</f>
        <v>64648.680191875363</v>
      </c>
      <c r="AA212" s="87">
        <f>Annual_Days*R212*T_2!P57*CT15_AADT_2014</f>
        <v>0</v>
      </c>
      <c r="AB212" s="44">
        <f t="shared" si="164"/>
        <v>282094.07741085271</v>
      </c>
      <c r="AD212" s="52">
        <v>10</v>
      </c>
      <c r="AE212" s="87">
        <f>Annual_Days*T_2!B57*L212*CT15_AADT_2014</f>
        <v>2142.4425910261816</v>
      </c>
      <c r="AF212" s="87">
        <f>Annual_Days*T_2!C57*M212*CT15_AADT_2014</f>
        <v>811.65301906694629</v>
      </c>
      <c r="AG212" s="87">
        <f>Annual_Days*T_2!D57*N212*CT15_AADT_2014</f>
        <v>11926.951777868184</v>
      </c>
      <c r="AH212" s="87">
        <f>Annual_Days*T_2!E57*O212*CT15_AADT_2014</f>
        <v>7382.2891061210121</v>
      </c>
      <c r="AI212" s="87">
        <f>Annual_Days*T_2!F57*P212*CT15_AADT_2014</f>
        <v>8381.9178612497071</v>
      </c>
      <c r="AJ212" s="87">
        <f>Annual_Days*T_2!G57*Q212*CT15_AADT_2014</f>
        <v>6551.0662594433679</v>
      </c>
      <c r="AK212" s="87">
        <f>Annual_Days*T_2!H57*R212*CT15_AADT_2014</f>
        <v>0</v>
      </c>
      <c r="AL212" s="44">
        <f t="shared" si="165"/>
        <v>37196.320614775395</v>
      </c>
    </row>
    <row r="213" spans="1:38" x14ac:dyDescent="0.25">
      <c r="A213" s="210"/>
      <c r="B213" s="52">
        <v>11</v>
      </c>
      <c r="C213" s="86">
        <v>26.514860909405837</v>
      </c>
      <c r="D213" s="86">
        <v>26.564562498821381</v>
      </c>
      <c r="E213" s="86">
        <v>26.710303632403704</v>
      </c>
      <c r="F213" s="86">
        <v>27.213006889563154</v>
      </c>
      <c r="G213" s="86">
        <v>26.910860273785062</v>
      </c>
      <c r="H213" s="86">
        <v>26.607237567277995</v>
      </c>
      <c r="I213" s="86">
        <v>26.594535377452551</v>
      </c>
      <c r="K213" s="52">
        <v>11</v>
      </c>
      <c r="L213" s="85">
        <f t="shared" si="157"/>
        <v>0.84751545486038182</v>
      </c>
      <c r="M213" s="85">
        <f t="shared" si="158"/>
        <v>0.89721704427592641</v>
      </c>
      <c r="N213" s="85">
        <f t="shared" si="159"/>
        <v>1.0429581778582495</v>
      </c>
      <c r="O213" s="85">
        <f t="shared" si="160"/>
        <v>1.5456614350176991</v>
      </c>
      <c r="P213" s="85">
        <f t="shared" si="161"/>
        <v>1.243514819239607</v>
      </c>
      <c r="Q213" s="85">
        <f t="shared" si="162"/>
        <v>0.93989211273254014</v>
      </c>
      <c r="R213" s="85">
        <f t="shared" si="163"/>
        <v>0.92718992290709679</v>
      </c>
      <c r="T213" s="52">
        <v>11</v>
      </c>
      <c r="U213" s="87">
        <f>Annual_Days*L213*T_2!J58*CT15_AADT_2014</f>
        <v>77543.508450474546</v>
      </c>
      <c r="V213" s="87">
        <f>Annual_Days*M213*T_2!K58*CT15_AADT_2014</f>
        <v>76653.403045429615</v>
      </c>
      <c r="W213" s="87">
        <f>Annual_Days*N213*T_2!L58*CT15_AADT_2014</f>
        <v>89501.667311756537</v>
      </c>
      <c r="X213" s="87">
        <f>Annual_Days*O213*T_2!M58*CT15_AADT_2014</f>
        <v>138067.68637845531</v>
      </c>
      <c r="Y213" s="87">
        <f>Annual_Days*P213*T_2!N58*CT15_AADT_2014</f>
        <v>118652.44936465978</v>
      </c>
      <c r="Z213" s="87">
        <f>Annual_Days*Q213*T_2!O58*CT15_AADT_2014</f>
        <v>67967.524877176329</v>
      </c>
      <c r="AA213" s="87">
        <f>Annual_Days*R213*T_2!P58*CT15_AADT_2014</f>
        <v>65912.834312735737</v>
      </c>
      <c r="AB213" s="44">
        <f t="shared" si="164"/>
        <v>634299.0737406878</v>
      </c>
      <c r="AD213" s="52">
        <v>11</v>
      </c>
      <c r="AE213" s="87">
        <f>Annual_Days*T_2!B58*L213*CT15_AADT_2014</f>
        <v>11466.858585533495</v>
      </c>
      <c r="AF213" s="87">
        <f>Annual_Days*T_2!C58*M213*CT15_AADT_2014</f>
        <v>13218.338310454474</v>
      </c>
      <c r="AG213" s="87">
        <f>Annual_Days*T_2!D58*N213*CT15_AADT_2014</f>
        <v>15697.831582196224</v>
      </c>
      <c r="AH213" s="87">
        <f>Annual_Days*T_2!E58*O213*CT15_AADT_2014</f>
        <v>24333.768480494051</v>
      </c>
      <c r="AI213" s="87">
        <f>Annual_Days*T_2!F58*P213*CT15_AADT_2014</f>
        <v>18661.300721671847</v>
      </c>
      <c r="AJ213" s="87">
        <f>Annual_Days*T_2!G58*Q213*CT15_AADT_2014</f>
        <v>5577.2039013000258</v>
      </c>
      <c r="AK213" s="87">
        <f>Annual_Days*T_2!H58*R213*CT15_AADT_2014</f>
        <v>4090.7440875911166</v>
      </c>
      <c r="AL213" s="44">
        <f t="shared" si="165"/>
        <v>93046.045669241241</v>
      </c>
    </row>
    <row r="214" spans="1:38" x14ac:dyDescent="0.25">
      <c r="A214" s="210"/>
      <c r="B214" s="52">
        <v>12</v>
      </c>
      <c r="C214" s="86">
        <v>27.747712517984432</v>
      </c>
      <c r="D214" s="86">
        <v>29.985567966782124</v>
      </c>
      <c r="E214" s="86">
        <v>28.401823339020481</v>
      </c>
      <c r="F214" s="86">
        <v>27.350860098996161</v>
      </c>
      <c r="G214" s="86">
        <v>33.816337913580469</v>
      </c>
      <c r="H214" s="86">
        <v>29.114762648174906</v>
      </c>
      <c r="I214" s="86">
        <v>27.479191676915622</v>
      </c>
      <c r="K214" s="52">
        <v>12</v>
      </c>
      <c r="L214" s="85">
        <f t="shared" si="157"/>
        <v>2.0803670634389775</v>
      </c>
      <c r="M214" s="85">
        <f t="shared" si="158"/>
        <v>4.3182225122366695</v>
      </c>
      <c r="N214" s="85">
        <f t="shared" si="159"/>
        <v>2.7344778844750266</v>
      </c>
      <c r="O214" s="85">
        <f t="shared" si="160"/>
        <v>1.6835146444507068</v>
      </c>
      <c r="P214" s="85">
        <f t="shared" si="161"/>
        <v>8.1489924590350142</v>
      </c>
      <c r="Q214" s="85">
        <f t="shared" si="162"/>
        <v>3.4474171936294518</v>
      </c>
      <c r="R214" s="85">
        <f t="shared" si="163"/>
        <v>1.8118462223701677</v>
      </c>
      <c r="T214" s="52">
        <v>12</v>
      </c>
      <c r="U214" s="87">
        <f>Annual_Days*L214*T_2!J59*CT15_AADT_2014</f>
        <v>193181.18806924805</v>
      </c>
      <c r="V214" s="87">
        <f>Annual_Days*M214*T_2!K59*CT15_AADT_2014</f>
        <v>376142.94680523634</v>
      </c>
      <c r="W214" s="87">
        <f>Annual_Days*N214*T_2!L59*CT15_AADT_2014</f>
        <v>230517.86242856478</v>
      </c>
      <c r="X214" s="87">
        <f>Annual_Days*O214*T_2!M59*CT15_AADT_2014</f>
        <v>152162.08642127868</v>
      </c>
      <c r="Y214" s="87">
        <f>Annual_Days*P214*T_2!N59*CT15_AADT_2014</f>
        <v>800106.24402101221</v>
      </c>
      <c r="Z214" s="87">
        <f>Annual_Days*Q214*T_2!O59*CT15_AADT_2014</f>
        <v>257782.03524797203</v>
      </c>
      <c r="AA214" s="87">
        <f>Annual_Days*R214*T_2!P59*CT15_AADT_2014</f>
        <v>132669.76809787139</v>
      </c>
      <c r="AB214" s="44">
        <f t="shared" si="164"/>
        <v>2142562.1310911835</v>
      </c>
      <c r="AD214" s="52">
        <v>12</v>
      </c>
      <c r="AE214" s="87">
        <f>Annual_Days*T_2!B59*L214*CT15_AADT_2014</f>
        <v>32596.149358546551</v>
      </c>
      <c r="AF214" s="87">
        <f>Annual_Days*T_2!C59*M214*CT15_AADT_2014</f>
        <v>70826.740533498101</v>
      </c>
      <c r="AG214" s="87">
        <f>Annual_Days*T_2!D59*N214*CT15_AADT_2014</f>
        <v>54497.720379070823</v>
      </c>
      <c r="AH214" s="87">
        <f>Annual_Days*T_2!E59*O214*CT15_AADT_2014</f>
        <v>30622.619892282342</v>
      </c>
      <c r="AI214" s="87">
        <f>Annual_Days*T_2!F59*P214*CT15_AADT_2014</f>
        <v>129746.95848989385</v>
      </c>
      <c r="AJ214" s="87">
        <f>Annual_Days*T_2!G59*Q214*CT15_AADT_2014</f>
        <v>20967.916742658017</v>
      </c>
      <c r="AK214" s="87">
        <f>Annual_Days*T_2!H59*R214*CT15_AADT_2014</f>
        <v>8688.1970828112972</v>
      </c>
      <c r="AL214" s="44">
        <f t="shared" si="165"/>
        <v>347946.30247876095</v>
      </c>
    </row>
    <row r="215" spans="1:38" x14ac:dyDescent="0.25">
      <c r="A215" s="210"/>
      <c r="B215" s="52">
        <v>13</v>
      </c>
      <c r="C215" s="86">
        <v>27.440809888316679</v>
      </c>
      <c r="D215" s="86">
        <v>26.955982046489385</v>
      </c>
      <c r="E215" s="86">
        <v>27.208598572197992</v>
      </c>
      <c r="F215" s="86">
        <v>27.619920766703562</v>
      </c>
      <c r="G215" s="86">
        <v>27.706406435132163</v>
      </c>
      <c r="H215" s="86">
        <v>26.772178070987199</v>
      </c>
      <c r="I215" s="86">
        <v>27.666668393881181</v>
      </c>
      <c r="K215" s="52">
        <v>13</v>
      </c>
      <c r="L215" s="85">
        <f t="shared" si="157"/>
        <v>1.773464433771224</v>
      </c>
      <c r="M215" s="85">
        <f t="shared" si="158"/>
        <v>1.2886365919439307</v>
      </c>
      <c r="N215" s="85">
        <f t="shared" si="159"/>
        <v>1.5412531176525377</v>
      </c>
      <c r="O215" s="85">
        <f t="shared" si="160"/>
        <v>1.9525753121581069</v>
      </c>
      <c r="P215" s="85">
        <f t="shared" si="161"/>
        <v>2.0390609805867079</v>
      </c>
      <c r="Q215" s="85">
        <f t="shared" si="162"/>
        <v>1.1048326164417439</v>
      </c>
      <c r="R215" s="85">
        <f t="shared" si="163"/>
        <v>1.9993229393357268</v>
      </c>
      <c r="T215" s="52">
        <v>13</v>
      </c>
      <c r="U215" s="87">
        <f>Annual_Days*L215*T_2!J60*CT15_AADT_2014</f>
        <v>186842.25604984848</v>
      </c>
      <c r="V215" s="87">
        <f>Annual_Days*M215*T_2!K60*CT15_AADT_2014</f>
        <v>123721.101522581</v>
      </c>
      <c r="W215" s="87">
        <f>Annual_Days*N215*T_2!L60*CT15_AADT_2014</f>
        <v>145438.8128059679</v>
      </c>
      <c r="X215" s="87">
        <f>Annual_Days*O215*T_2!M60*CT15_AADT_2014</f>
        <v>199235.86620472121</v>
      </c>
      <c r="Y215" s="87">
        <f>Annual_Days*P215*T_2!N60*CT15_AADT_2014</f>
        <v>225896.77916780734</v>
      </c>
      <c r="Z215" s="87">
        <f>Annual_Days*Q215*T_2!O60*CT15_AADT_2014</f>
        <v>94057.400248909689</v>
      </c>
      <c r="AA215" s="87">
        <f>Annual_Days*R215*T_2!P60*CT15_AADT_2014</f>
        <v>165861.91173241593</v>
      </c>
      <c r="AB215" s="44">
        <f t="shared" si="164"/>
        <v>1141054.1277322515</v>
      </c>
      <c r="AD215" s="52">
        <v>13</v>
      </c>
      <c r="AE215" s="87">
        <f>Annual_Days*T_2!B60*L215*CT15_AADT_2014</f>
        <v>30474.452780874166</v>
      </c>
      <c r="AF215" s="87">
        <f>Annual_Days*T_2!C60*M215*CT15_AADT_2014</f>
        <v>26881.949920457122</v>
      </c>
      <c r="AG215" s="87">
        <f>Annual_Days*T_2!D60*N215*CT15_AADT_2014</f>
        <v>35944.953735315263</v>
      </c>
      <c r="AH215" s="87">
        <f>Annual_Days*T_2!E60*O215*CT15_AADT_2014</f>
        <v>40129.332610864374</v>
      </c>
      <c r="AI215" s="87">
        <f>Annual_Days*T_2!F60*P215*CT15_AADT_2014</f>
        <v>36809.798907559983</v>
      </c>
      <c r="AJ215" s="87">
        <f>Annual_Days*T_2!G60*Q215*CT15_AADT_2014</f>
        <v>6809.2743141806668</v>
      </c>
      <c r="AK215" s="87">
        <f>Annual_Days*T_2!H60*R215*CT15_AADT_2014</f>
        <v>10259.499694788614</v>
      </c>
      <c r="AL215" s="44">
        <f t="shared" si="165"/>
        <v>187309.26196404017</v>
      </c>
    </row>
    <row r="216" spans="1:38" x14ac:dyDescent="0.25">
      <c r="A216" s="210"/>
      <c r="B216" s="52">
        <v>14</v>
      </c>
      <c r="C216" s="86">
        <v>26.920509969692766</v>
      </c>
      <c r="D216" s="86">
        <v>27.208829334788305</v>
      </c>
      <c r="E216" s="86">
        <v>28.062707888383081</v>
      </c>
      <c r="F216" s="86">
        <v>28.251920690981525</v>
      </c>
      <c r="G216" s="86">
        <v>29.73461108558066</v>
      </c>
      <c r="H216" s="86">
        <v>27.025972307516344</v>
      </c>
      <c r="I216" s="86">
        <v>28.733142037004679</v>
      </c>
      <c r="K216" s="52">
        <v>14</v>
      </c>
      <c r="L216" s="85">
        <f t="shared" si="157"/>
        <v>1.2531645151473114</v>
      </c>
      <c r="M216" s="85">
        <f t="shared" si="158"/>
        <v>1.5414838802428505</v>
      </c>
      <c r="N216" s="85">
        <f t="shared" si="159"/>
        <v>2.3953624338376258</v>
      </c>
      <c r="O216" s="85">
        <f t="shared" si="160"/>
        <v>2.5845752364360699</v>
      </c>
      <c r="P216" s="85">
        <f t="shared" si="161"/>
        <v>4.0672656310352053</v>
      </c>
      <c r="Q216" s="85">
        <f t="shared" si="162"/>
        <v>1.3586268529708896</v>
      </c>
      <c r="R216" s="85">
        <f t="shared" si="163"/>
        <v>3.0657965824592246</v>
      </c>
      <c r="T216" s="52">
        <v>14</v>
      </c>
      <c r="U216" s="87">
        <f>Annual_Days*L216*T_2!J61*CT15_AADT_2014</f>
        <v>135824.32400556537</v>
      </c>
      <c r="V216" s="87">
        <f>Annual_Days*M216*T_2!K61*CT15_AADT_2014</f>
        <v>153935.55223827524</v>
      </c>
      <c r="W216" s="87">
        <f>Annual_Days*N216*T_2!L61*CT15_AADT_2014</f>
        <v>246634.51825292443</v>
      </c>
      <c r="X216" s="87">
        <f>Annual_Days*O216*T_2!M61*CT15_AADT_2014</f>
        <v>282313.93336350075</v>
      </c>
      <c r="Y216" s="87">
        <f>Annual_Days*P216*T_2!N61*CT15_AADT_2014</f>
        <v>468804.03733495501</v>
      </c>
      <c r="Z216" s="87">
        <f>Annual_Days*Q216*T_2!O61*CT15_AADT_2014</f>
        <v>119330.11359421542</v>
      </c>
      <c r="AA216" s="87">
        <f>Annual_Days*R216*T_2!P61*CT15_AADT_2014</f>
        <v>263125.83845652378</v>
      </c>
      <c r="AB216" s="44">
        <f t="shared" si="164"/>
        <v>1669968.31724596</v>
      </c>
      <c r="AD216" s="52">
        <v>14</v>
      </c>
      <c r="AE216" s="87">
        <f>Annual_Days*T_2!B61*L216*CT15_AADT_2014</f>
        <v>23763.003279058397</v>
      </c>
      <c r="AF216" s="87">
        <f>Annual_Days*T_2!C61*M216*CT15_AADT_2014</f>
        <v>33288.644601675267</v>
      </c>
      <c r="AG216" s="87">
        <f>Annual_Days*T_2!D61*N216*CT15_AADT_2014</f>
        <v>46330.225251348718</v>
      </c>
      <c r="AH216" s="87">
        <f>Annual_Days*T_2!E61*O216*CT15_AADT_2014</f>
        <v>46963.577749265867</v>
      </c>
      <c r="AI216" s="87">
        <f>Annual_Days*T_2!F61*P216*CT15_AADT_2014</f>
        <v>75777.541785419715</v>
      </c>
      <c r="AJ216" s="87">
        <f>Annual_Days*T_2!G61*Q216*CT15_AADT_2014</f>
        <v>9575.279276310026</v>
      </c>
      <c r="AK216" s="87">
        <f>Annual_Days*T_2!H61*R216*CT15_AADT_2014</f>
        <v>17541.722563768257</v>
      </c>
      <c r="AL216" s="44">
        <f t="shared" si="165"/>
        <v>253239.99450684624</v>
      </c>
    </row>
    <row r="217" spans="1:38" x14ac:dyDescent="0.25">
      <c r="A217" s="210"/>
      <c r="B217" s="52">
        <v>15</v>
      </c>
      <c r="C217" s="86">
        <v>27.177853541991283</v>
      </c>
      <c r="D217" s="86">
        <v>28.938105068379841</v>
      </c>
      <c r="E217" s="86">
        <v>28.346747419698595</v>
      </c>
      <c r="F217" s="86">
        <v>27.897284163267045</v>
      </c>
      <c r="G217" s="86">
        <v>29.827888264986061</v>
      </c>
      <c r="H217" s="86">
        <v>27.626551275855231</v>
      </c>
      <c r="I217" s="86">
        <v>28.987220075204792</v>
      </c>
      <c r="K217" s="52">
        <v>15</v>
      </c>
      <c r="L217" s="85">
        <f t="shared" si="157"/>
        <v>1.5105080874458281</v>
      </c>
      <c r="M217" s="85">
        <f t="shared" si="158"/>
        <v>3.270759613834386</v>
      </c>
      <c r="N217" s="85">
        <f t="shared" si="159"/>
        <v>2.67940196515314</v>
      </c>
      <c r="O217" s="85">
        <f t="shared" si="160"/>
        <v>2.2299387087215905</v>
      </c>
      <c r="P217" s="85">
        <f t="shared" si="161"/>
        <v>4.1605428104406066</v>
      </c>
      <c r="Q217" s="85">
        <f t="shared" si="162"/>
        <v>1.9592058213097765</v>
      </c>
      <c r="R217" s="85">
        <f t="shared" si="163"/>
        <v>3.3198746206593377</v>
      </c>
      <c r="T217" s="52">
        <v>15</v>
      </c>
      <c r="U217" s="87">
        <f>Annual_Days*L217*T_2!J62*CT15_AADT_2014</f>
        <v>247352.73863754491</v>
      </c>
      <c r="V217" s="87">
        <f>Annual_Days*M217*T_2!K62*CT15_AADT_2014</f>
        <v>504822.57803790114</v>
      </c>
      <c r="W217" s="87">
        <f>Annual_Days*N217*T_2!L62*CT15_AADT_2014</f>
        <v>413241.45672379457</v>
      </c>
      <c r="X217" s="87">
        <f>Annual_Days*O217*T_2!M62*CT15_AADT_2014</f>
        <v>362234.715702507</v>
      </c>
      <c r="Y217" s="87">
        <f>Annual_Days*P217*T_2!N62*CT15_AADT_2014</f>
        <v>726527.8129209351</v>
      </c>
      <c r="Z217" s="87">
        <f>Annual_Days*Q217*T_2!O62*CT15_AADT_2014</f>
        <v>259392.77216711274</v>
      </c>
      <c r="AA217" s="87">
        <f>Annual_Days*R217*T_2!P62*CT15_AADT_2014</f>
        <v>426534.80745280726</v>
      </c>
      <c r="AB217" s="44">
        <f t="shared" si="164"/>
        <v>2940106.8816426024</v>
      </c>
      <c r="AD217" s="52">
        <v>15</v>
      </c>
      <c r="AE217" s="87">
        <f>Annual_Days*T_2!B62*L217*CT15_AADT_2014</f>
        <v>40791.504266542492</v>
      </c>
      <c r="AF217" s="87">
        <f>Annual_Days*T_2!C62*M217*CT15_AADT_2014</f>
        <v>90247.611716272848</v>
      </c>
      <c r="AG217" s="87">
        <f>Annual_Days*T_2!D62*N217*CT15_AADT_2014</f>
        <v>77642.202710064812</v>
      </c>
      <c r="AH217" s="87">
        <f>Annual_Days*T_2!E62*O217*CT15_AADT_2014</f>
        <v>63326.849234516281</v>
      </c>
      <c r="AI217" s="87">
        <f>Annual_Days*T_2!F62*P217*CT15_AADT_2014</f>
        <v>107934.99429475919</v>
      </c>
      <c r="AJ217" s="87">
        <f>Annual_Days*T_2!G62*Q217*CT15_AADT_2014</f>
        <v>19057.428159216448</v>
      </c>
      <c r="AK217" s="87">
        <f>Annual_Days*T_2!H62*R217*CT15_AADT_2014</f>
        <v>28733.21462893338</v>
      </c>
      <c r="AL217" s="44">
        <f t="shared" si="165"/>
        <v>427733.80501030543</v>
      </c>
    </row>
    <row r="218" spans="1:38" x14ac:dyDescent="0.25">
      <c r="A218" s="210"/>
      <c r="B218" s="52">
        <v>16</v>
      </c>
      <c r="C218" s="86">
        <v>28.019109326730685</v>
      </c>
      <c r="D218" s="86">
        <v>29.81169710038116</v>
      </c>
      <c r="E218" s="86">
        <v>28.837451847022486</v>
      </c>
      <c r="F218" s="86">
        <v>28.946096258906476</v>
      </c>
      <c r="G218" s="86">
        <v>33.231729099707799</v>
      </c>
      <c r="H218" s="86">
        <v>27.360874273112131</v>
      </c>
      <c r="I218" s="86">
        <v>29.957729894341153</v>
      </c>
      <c r="K218" s="52">
        <v>16</v>
      </c>
      <c r="L218" s="85">
        <f t="shared" si="157"/>
        <v>2.3517638721852308</v>
      </c>
      <c r="M218" s="85">
        <f t="shared" si="158"/>
        <v>4.1443516458357053</v>
      </c>
      <c r="N218" s="85">
        <f t="shared" si="159"/>
        <v>3.170106392477031</v>
      </c>
      <c r="O218" s="85">
        <f t="shared" si="160"/>
        <v>3.278750804361021</v>
      </c>
      <c r="P218" s="85">
        <f t="shared" si="161"/>
        <v>7.5643836451623443</v>
      </c>
      <c r="Q218" s="85">
        <f t="shared" si="162"/>
        <v>1.6935288185666764</v>
      </c>
      <c r="R218" s="85">
        <f t="shared" si="163"/>
        <v>4.2903844397956981</v>
      </c>
      <c r="T218" s="52">
        <v>16</v>
      </c>
      <c r="U218" s="87">
        <f>Annual_Days*L218*T_2!J63*CT15_AADT_2014</f>
        <v>544684.13155368867</v>
      </c>
      <c r="V218" s="87">
        <f>Annual_Days*M218*T_2!K63*CT15_AADT_2014</f>
        <v>914046.5086188342</v>
      </c>
      <c r="W218" s="87">
        <f>Annual_Days*N218*T_2!L63*CT15_AADT_2014</f>
        <v>682986.53598126082</v>
      </c>
      <c r="X218" s="87">
        <f>Annual_Days*O218*T_2!M63*CT15_AADT_2014</f>
        <v>739502.1919845934</v>
      </c>
      <c r="Y218" s="87">
        <f>Annual_Days*P218*T_2!N63*CT15_AADT_2014</f>
        <v>1804435.318724781</v>
      </c>
      <c r="Z218" s="87">
        <f>Annual_Days*Q218*T_2!O63*CT15_AADT_2014</f>
        <v>306373.15894465166</v>
      </c>
      <c r="AA218" s="87">
        <f>Annual_Days*R218*T_2!P63*CT15_AADT_2014</f>
        <v>743333.3878400618</v>
      </c>
      <c r="AB218" s="44">
        <f t="shared" si="164"/>
        <v>5735361.2336478708</v>
      </c>
      <c r="AD218" s="52">
        <v>16</v>
      </c>
      <c r="AE218" s="87">
        <f>Annual_Days*T_2!B63*L218*CT15_AADT_2014</f>
        <v>67576.148490763138</v>
      </c>
      <c r="AF218" s="87">
        <f>Annual_Days*T_2!C63*M218*CT15_AADT_2014</f>
        <v>114992.04312173119</v>
      </c>
      <c r="AG218" s="87">
        <f>Annual_Days*T_2!D63*N218*CT15_AADT_2014</f>
        <v>109642.5796935075</v>
      </c>
      <c r="AH218" s="87">
        <f>Annual_Days*T_2!E63*O218*CT15_AADT_2014</f>
        <v>114449.61226514386</v>
      </c>
      <c r="AI218" s="87">
        <f>Annual_Days*T_2!F63*P218*CT15_AADT_2014</f>
        <v>266116.08023163484</v>
      </c>
      <c r="AJ218" s="87">
        <f>Annual_Days*T_2!G63*Q218*CT15_AADT_2014</f>
        <v>22111.841266943218</v>
      </c>
      <c r="AK218" s="87">
        <f>Annual_Days*T_2!H63*R218*CT15_AADT_2014</f>
        <v>59632.605233070877</v>
      </c>
      <c r="AL218" s="44">
        <f t="shared" si="165"/>
        <v>754520.91030279465</v>
      </c>
    </row>
    <row r="219" spans="1:38" x14ac:dyDescent="0.25">
      <c r="A219" s="210"/>
      <c r="B219" s="52">
        <v>17</v>
      </c>
      <c r="C219" s="86">
        <v>29.104889992208737</v>
      </c>
      <c r="D219" s="86">
        <v>30.683243740969512</v>
      </c>
      <c r="E219" s="86">
        <v>29.957173665800351</v>
      </c>
      <c r="F219" s="86">
        <v>30.567505584047751</v>
      </c>
      <c r="G219" s="86">
        <v>34.238470015249078</v>
      </c>
      <c r="H219" s="86">
        <v>27.515410821893745</v>
      </c>
      <c r="I219" s="86">
        <v>28.261628494645539</v>
      </c>
      <c r="K219" s="52">
        <v>17</v>
      </c>
      <c r="L219" s="85">
        <f t="shared" si="157"/>
        <v>3.4375445376632818</v>
      </c>
      <c r="M219" s="85">
        <f t="shared" si="158"/>
        <v>5.0158982864240578</v>
      </c>
      <c r="N219" s="85">
        <f t="shared" si="159"/>
        <v>4.2898282112548962</v>
      </c>
      <c r="O219" s="85">
        <f t="shared" si="160"/>
        <v>4.9001601295022965</v>
      </c>
      <c r="P219" s="85">
        <f t="shared" si="161"/>
        <v>8.5711245607036233</v>
      </c>
      <c r="Q219" s="85">
        <f t="shared" si="162"/>
        <v>1.8480653673482905</v>
      </c>
      <c r="R219" s="85">
        <f t="shared" si="163"/>
        <v>2.594283040100084</v>
      </c>
      <c r="T219" s="52">
        <v>17</v>
      </c>
      <c r="U219" s="87">
        <f>Annual_Days*L219*T_2!J64*CT15_AADT_2014</f>
        <v>757975.00113730528</v>
      </c>
      <c r="V219" s="87">
        <f>Annual_Days*M219*T_2!K64*CT15_AADT_2014</f>
        <v>1062863.9545698157</v>
      </c>
      <c r="W219" s="87">
        <f>Annual_Days*N219*T_2!L64*CT15_AADT_2014</f>
        <v>899957.2535708606</v>
      </c>
      <c r="X219" s="87">
        <f>Annual_Days*O219*T_2!M64*CT15_AADT_2014</f>
        <v>1077720.9779221965</v>
      </c>
      <c r="Y219" s="87">
        <f>Annual_Days*P219*T_2!N64*CT15_AADT_2014</f>
        <v>2014016.3567813474</v>
      </c>
      <c r="Z219" s="87">
        <f>Annual_Days*Q219*T_2!O64*CT15_AADT_2014</f>
        <v>319207.32907915395</v>
      </c>
      <c r="AA219" s="87">
        <f>Annual_Days*R219*T_2!P64*CT15_AADT_2014</f>
        <v>428800.75393255887</v>
      </c>
      <c r="AB219" s="44">
        <f t="shared" si="164"/>
        <v>6560541.626993238</v>
      </c>
      <c r="AD219" s="52">
        <v>17</v>
      </c>
      <c r="AE219" s="87">
        <f>Annual_Days*T_2!B64*L219*CT15_AADT_2014</f>
        <v>98681.103800891753</v>
      </c>
      <c r="AF219" s="87">
        <f>Annual_Days*T_2!C64*M219*CT15_AADT_2014</f>
        <v>129309.85797436925</v>
      </c>
      <c r="AG219" s="87">
        <f>Annual_Days*T_2!D64*N219*CT15_AADT_2014</f>
        <v>126762.44269679932</v>
      </c>
      <c r="AH219" s="87">
        <f>Annual_Days*T_2!E64*O219*CT15_AADT_2014</f>
        <v>143940.92788603104</v>
      </c>
      <c r="AI219" s="87">
        <f>Annual_Days*T_2!F64*P219*CT15_AADT_2014</f>
        <v>231757.82424411454</v>
      </c>
      <c r="AJ219" s="87">
        <f>Annual_Days*T_2!G64*Q219*CT15_AADT_2014</f>
        <v>23920.615834407879</v>
      </c>
      <c r="AK219" s="87">
        <f>Annual_Days*T_2!H64*R219*CT15_AADT_2014</f>
        <v>35964.988892551635</v>
      </c>
      <c r="AL219" s="44">
        <f t="shared" si="165"/>
        <v>790337.76132916543</v>
      </c>
    </row>
    <row r="220" spans="1:38" x14ac:dyDescent="0.25">
      <c r="A220" s="210"/>
      <c r="B220" s="52">
        <v>18</v>
      </c>
      <c r="C220" s="86">
        <v>33.358045012554875</v>
      </c>
      <c r="D220" s="86">
        <v>27.55771229354556</v>
      </c>
      <c r="E220" s="86">
        <v>27.336113686716544</v>
      </c>
      <c r="F220" s="86">
        <v>28.636313491264669</v>
      </c>
      <c r="G220" s="86">
        <v>31.060943878263764</v>
      </c>
      <c r="H220" s="86">
        <v>28.30069698900417</v>
      </c>
      <c r="I220" s="86">
        <v>29.210807457846556</v>
      </c>
      <c r="K220" s="52">
        <v>18</v>
      </c>
      <c r="L220" s="85">
        <f t="shared" si="157"/>
        <v>7.6906995580094204</v>
      </c>
      <c r="M220" s="85">
        <f t="shared" si="158"/>
        <v>1.8903668390001052</v>
      </c>
      <c r="N220" s="85">
        <f t="shared" si="159"/>
        <v>1.6687682321710895</v>
      </c>
      <c r="O220" s="85">
        <f t="shared" si="160"/>
        <v>2.9689680367192146</v>
      </c>
      <c r="P220" s="85">
        <f t="shared" si="161"/>
        <v>5.3935984237183092</v>
      </c>
      <c r="Q220" s="85">
        <f t="shared" si="162"/>
        <v>2.6333515344587148</v>
      </c>
      <c r="R220" s="85">
        <f t="shared" si="163"/>
        <v>3.5434620033011015</v>
      </c>
      <c r="T220" s="52">
        <v>18</v>
      </c>
      <c r="U220" s="87">
        <f>Annual_Days*L220*T_2!J65*CT15_AADT_2014</f>
        <v>890486.48094406817</v>
      </c>
      <c r="V220" s="87">
        <f>Annual_Days*M220*T_2!K65*CT15_AADT_2014</f>
        <v>202138.24288124687</v>
      </c>
      <c r="W220" s="87">
        <f>Annual_Days*N220*T_2!L65*CT15_AADT_2014</f>
        <v>181120.66672784061</v>
      </c>
      <c r="X220" s="87">
        <f>Annual_Days*O220*T_2!M65*CT15_AADT_2014</f>
        <v>333380.89449387946</v>
      </c>
      <c r="Y220" s="87">
        <f>Annual_Days*P220*T_2!N65*CT15_AADT_2014</f>
        <v>653720.13508460054</v>
      </c>
      <c r="Z220" s="87">
        <f>Annual_Days*Q220*T_2!O65*CT15_AADT_2014</f>
        <v>236389.68069448567</v>
      </c>
      <c r="AA220" s="87">
        <f>Annual_Days*R220*T_2!P65*CT15_AADT_2014</f>
        <v>303498.02534260188</v>
      </c>
      <c r="AB220" s="44">
        <f t="shared" si="164"/>
        <v>2800734.1261687232</v>
      </c>
      <c r="AD220" s="52">
        <v>18</v>
      </c>
      <c r="AE220" s="87">
        <f>Annual_Days*T_2!B65*L220*CT15_AADT_2014</f>
        <v>90512.826164718455</v>
      </c>
      <c r="AF220" s="87">
        <f>Annual_Days*T_2!C65*M220*CT15_AADT_2014</f>
        <v>27837.283360786882</v>
      </c>
      <c r="AG220" s="87">
        <f>Annual_Days*T_2!D65*N220*CT15_AADT_2014</f>
        <v>23313.128196784037</v>
      </c>
      <c r="AH220" s="87">
        <f>Annual_Days*T_2!E65*O220*CT15_AADT_2014</f>
        <v>45489.749343447846</v>
      </c>
      <c r="AI220" s="87">
        <f>Annual_Days*T_2!F65*P220*CT15_AADT_2014</f>
        <v>69634.986357492147</v>
      </c>
      <c r="AJ220" s="87">
        <f>Annual_Days*T_2!G65*Q220*CT15_AADT_2014</f>
        <v>13870.79944570949</v>
      </c>
      <c r="AK220" s="87">
        <f>Annual_Days*T_2!H65*R220*CT15_AADT_2014</f>
        <v>21431.523429659817</v>
      </c>
      <c r="AL220" s="44">
        <f t="shared" si="165"/>
        <v>292090.2962985987</v>
      </c>
    </row>
    <row r="221" spans="1:38" x14ac:dyDescent="0.25">
      <c r="A221" s="210"/>
      <c r="B221" s="52">
        <v>19</v>
      </c>
      <c r="C221" s="86">
        <v>26.244371590566889</v>
      </c>
      <c r="D221" s="86">
        <v>25.934190509247586</v>
      </c>
      <c r="E221" s="86">
        <v>26.317252732513474</v>
      </c>
      <c r="F221" s="86">
        <v>26.673090182532949</v>
      </c>
      <c r="G221" s="86">
        <v>28.369528120537677</v>
      </c>
      <c r="H221" s="86">
        <v>26.240629031095189</v>
      </c>
      <c r="I221" s="86">
        <v>28.321569140867535</v>
      </c>
      <c r="K221" s="52">
        <v>19</v>
      </c>
      <c r="L221" s="85">
        <f t="shared" si="157"/>
        <v>0.57702613602143416</v>
      </c>
      <c r="M221" s="85">
        <f t="shared" si="158"/>
        <v>0.26684505470213082</v>
      </c>
      <c r="N221" s="85">
        <f t="shared" si="159"/>
        <v>0.64990727796801906</v>
      </c>
      <c r="O221" s="85">
        <f t="shared" si="160"/>
        <v>1.0057447279874943</v>
      </c>
      <c r="P221" s="85">
        <f t="shared" si="161"/>
        <v>2.7021826659922219</v>
      </c>
      <c r="Q221" s="85">
        <f t="shared" si="162"/>
        <v>0.57328357654973416</v>
      </c>
      <c r="R221" s="85">
        <f t="shared" si="163"/>
        <v>2.6542236863220801</v>
      </c>
      <c r="T221" s="52">
        <v>19</v>
      </c>
      <c r="U221" s="87">
        <f>Annual_Days*L221*T_2!J66*CT15_AADT_2014</f>
        <v>45519.684044643283</v>
      </c>
      <c r="V221" s="87">
        <f>Annual_Days*M221*T_2!K66*CT15_AADT_2014</f>
        <v>19522.296056965763</v>
      </c>
      <c r="W221" s="87">
        <f>Annual_Days*N221*T_2!L66*CT15_AADT_2014</f>
        <v>49350.096322606274</v>
      </c>
      <c r="X221" s="87">
        <f>Annual_Days*O221*T_2!M66*CT15_AADT_2014</f>
        <v>79406.933440376306</v>
      </c>
      <c r="Y221" s="87">
        <f>Annual_Days*P221*T_2!N66*CT15_AADT_2014</f>
        <v>231308.05732514808</v>
      </c>
      <c r="Z221" s="87">
        <f>Annual_Days*Q221*T_2!O66*CT15_AADT_2014</f>
        <v>35904.666808119007</v>
      </c>
      <c r="AA221" s="87">
        <f>Annual_Days*R221*T_2!P66*CT15_AADT_2014</f>
        <v>155654.47417570394</v>
      </c>
      <c r="AB221" s="44">
        <f t="shared" si="164"/>
        <v>616666.20817356266</v>
      </c>
      <c r="AD221" s="52">
        <v>19</v>
      </c>
      <c r="AE221" s="87">
        <f>Annual_Days*T_2!B66*L221*CT15_AADT_2014</f>
        <v>5308.9476291535184</v>
      </c>
      <c r="AF221" s="87">
        <f>Annual_Days*T_2!C66*M221*CT15_AADT_2014</f>
        <v>2896.1119335370586</v>
      </c>
      <c r="AG221" s="87">
        <f>Annual_Days*T_2!D66*N221*CT15_AADT_2014</f>
        <v>5631.6014491403585</v>
      </c>
      <c r="AH221" s="87">
        <f>Annual_Days*T_2!E66*O221*CT15_AADT_2014</f>
        <v>9223.5825070735991</v>
      </c>
      <c r="AI221" s="87">
        <f>Annual_Days*T_2!F66*P221*CT15_AADT_2014</f>
        <v>18955.570040725128</v>
      </c>
      <c r="AJ221" s="87">
        <f>Annual_Days*T_2!G66*Q221*CT15_AADT_2014</f>
        <v>1719.1641310667153</v>
      </c>
      <c r="AK221" s="87">
        <f>Annual_Days*T_2!H66*R221*CT15_AADT_2014</f>
        <v>12422.811787103208</v>
      </c>
      <c r="AL221" s="44">
        <f t="shared" si="165"/>
        <v>56157.78947779959</v>
      </c>
    </row>
    <row r="222" spans="1:38" x14ac:dyDescent="0.25">
      <c r="A222" s="210"/>
      <c r="B222" s="52">
        <v>20</v>
      </c>
      <c r="C222" s="86">
        <v>26.489824401810218</v>
      </c>
      <c r="D222" s="86">
        <v>26.53498591822677</v>
      </c>
      <c r="E222" s="86">
        <v>26.386534139924443</v>
      </c>
      <c r="F222" s="86">
        <v>27.014658785091754</v>
      </c>
      <c r="G222" s="86">
        <v>27.029422590429416</v>
      </c>
      <c r="H222" s="86">
        <v>26.25460851310217</v>
      </c>
      <c r="I222" s="86">
        <v>29.034921046499395</v>
      </c>
      <c r="K222" s="52">
        <v>20</v>
      </c>
      <c r="L222" s="85">
        <f t="shared" si="157"/>
        <v>0.82247894726476289</v>
      </c>
      <c r="M222" s="85">
        <f t="shared" si="158"/>
        <v>0.86764046368131531</v>
      </c>
      <c r="N222" s="85">
        <f t="shared" si="159"/>
        <v>0.71918868537898817</v>
      </c>
      <c r="O222" s="85">
        <f t="shared" si="160"/>
        <v>1.3473133305462994</v>
      </c>
      <c r="P222" s="85">
        <f t="shared" si="161"/>
        <v>1.3620771358839612</v>
      </c>
      <c r="Q222" s="85">
        <f t="shared" si="162"/>
        <v>0.58726305855671512</v>
      </c>
      <c r="R222" s="85">
        <f t="shared" si="163"/>
        <v>3.3675755919539405</v>
      </c>
      <c r="T222" s="52">
        <v>20</v>
      </c>
      <c r="U222" s="87">
        <f>Annual_Days*L222*T_2!J67*CT15_AADT_2014</f>
        <v>60560.822007028641</v>
      </c>
      <c r="V222" s="87">
        <f>Annual_Days*M222*T_2!K67*CT15_AADT_2014</f>
        <v>59255.05687177139</v>
      </c>
      <c r="W222" s="87">
        <f>Annual_Days*N222*T_2!L67*CT15_AADT_2014</f>
        <v>49057.497492816961</v>
      </c>
      <c r="X222" s="87">
        <f>Annual_Days*O222*T_2!M67*CT15_AADT_2014</f>
        <v>96049.837154983965</v>
      </c>
      <c r="Y222" s="87">
        <f>Annual_Days*P222*T_2!N67*CT15_AADT_2014</f>
        <v>106856.53183203391</v>
      </c>
      <c r="Z222" s="87">
        <f>Annual_Days*Q222*T_2!O67*CT15_AADT_2014</f>
        <v>32890.056941291594</v>
      </c>
      <c r="AA222" s="87">
        <f>Annual_Days*R222*T_2!P67*CT15_AADT_2014</f>
        <v>180340.48002525771</v>
      </c>
      <c r="AB222" s="44">
        <f t="shared" si="164"/>
        <v>585010.28232518421</v>
      </c>
      <c r="AD222" s="52">
        <v>20</v>
      </c>
      <c r="AE222" s="87">
        <f>Annual_Days*T_2!B67*L222*CT15_AADT_2014</f>
        <v>6084.4764240149334</v>
      </c>
      <c r="AF222" s="87">
        <f>Annual_Days*T_2!C67*M222*CT15_AADT_2014</f>
        <v>7797.7867850446237</v>
      </c>
      <c r="AG222" s="87">
        <f>Annual_Days*T_2!D67*N222*CT15_AADT_2014</f>
        <v>6910.7083424663879</v>
      </c>
      <c r="AH222" s="87">
        <f>Annual_Days*T_2!E67*O222*CT15_AADT_2014</f>
        <v>13168.588617760879</v>
      </c>
      <c r="AI222" s="87">
        <f>Annual_Days*T_2!F67*P222*CT15_AADT_2014</f>
        <v>9185.8213376736294</v>
      </c>
      <c r="AJ222" s="87">
        <f>Annual_Days*T_2!G67*Q222*CT15_AADT_2014</f>
        <v>2563.3511427023814</v>
      </c>
      <c r="AK222" s="87">
        <f>Annual_Days*T_2!H67*R222*CT15_AADT_2014</f>
        <v>15824.126840340314</v>
      </c>
      <c r="AL222" s="44">
        <f t="shared" si="165"/>
        <v>61534.859490003153</v>
      </c>
    </row>
    <row r="223" spans="1:38" x14ac:dyDescent="0.25">
      <c r="A223" s="210"/>
      <c r="B223" s="52">
        <v>21</v>
      </c>
      <c r="C223" s="86">
        <v>26.469243793052367</v>
      </c>
      <c r="D223" s="86">
        <v>26.74824814756051</v>
      </c>
      <c r="E223" s="86">
        <v>27.180951155987785</v>
      </c>
      <c r="F223" s="86">
        <v>27.639857606168459</v>
      </c>
      <c r="G223" s="86">
        <v>27.030058704736366</v>
      </c>
      <c r="H223" s="86">
        <v>25.92342323171205</v>
      </c>
      <c r="I223" s="86">
        <v>35.313569891780972</v>
      </c>
      <c r="K223" s="52">
        <v>21</v>
      </c>
      <c r="L223" s="85">
        <f t="shared" si="157"/>
        <v>0.80189833850691272</v>
      </c>
      <c r="M223" s="85">
        <f t="shared" si="158"/>
        <v>1.0809026930150551</v>
      </c>
      <c r="N223" s="85">
        <f t="shared" si="159"/>
        <v>1.5136057014423301</v>
      </c>
      <c r="O223" s="85">
        <f t="shared" si="160"/>
        <v>1.972512151623004</v>
      </c>
      <c r="P223" s="85">
        <f t="shared" si="161"/>
        <v>1.3627132501909109</v>
      </c>
      <c r="Q223" s="85">
        <f t="shared" si="162"/>
        <v>0.25607777716659541</v>
      </c>
      <c r="R223" s="85">
        <f t="shared" si="163"/>
        <v>9.6462244372355173</v>
      </c>
      <c r="T223" s="52">
        <v>21</v>
      </c>
      <c r="U223" s="87">
        <f>Annual_Days*L223*T_2!J68*CT15_AADT_2014</f>
        <v>42494.080024079318</v>
      </c>
      <c r="V223" s="87">
        <f>Annual_Days*M223*T_2!K68*CT15_AADT_2014</f>
        <v>53500.338713397949</v>
      </c>
      <c r="W223" s="87">
        <f>Annual_Days*N223*T_2!L68*CT15_AADT_2014</f>
        <v>75176.583935494826</v>
      </c>
      <c r="X223" s="87">
        <f>Annual_Days*O223*T_2!M68*CT15_AADT_2014</f>
        <v>107182.2862549361</v>
      </c>
      <c r="Y223" s="87">
        <f>Annual_Days*P223*T_2!N68*CT15_AADT_2014</f>
        <v>80281.164218259655</v>
      </c>
      <c r="Z223" s="87">
        <f>Annual_Days*Q223*T_2!O68*CT15_AADT_2014</f>
        <v>10660.426719005554</v>
      </c>
      <c r="AA223" s="87">
        <f>Annual_Days*R223*T_2!P68*CT15_AADT_2014</f>
        <v>372837.72748766077</v>
      </c>
      <c r="AB223" s="44">
        <f t="shared" si="164"/>
        <v>742132.60735283419</v>
      </c>
      <c r="AD223" s="52">
        <v>21</v>
      </c>
      <c r="AE223" s="87">
        <f>Annual_Days*T_2!B68*L223*CT15_AADT_2014</f>
        <v>5882.8328752039088</v>
      </c>
      <c r="AF223" s="87">
        <f>Annual_Days*T_2!C68*M223*CT15_AADT_2014</f>
        <v>8692.1752580662778</v>
      </c>
      <c r="AG223" s="87">
        <f>Annual_Days*T_2!D68*N223*CT15_AADT_2014</f>
        <v>12520.550832630248</v>
      </c>
      <c r="AH223" s="87">
        <f>Annual_Days*T_2!E68*O223*CT15_AADT_2014</f>
        <v>11865.439640454697</v>
      </c>
      <c r="AI223" s="87">
        <f>Annual_Days*T_2!F68*P223*CT15_AADT_2014</f>
        <v>6154.5875612645523</v>
      </c>
      <c r="AJ223" s="87">
        <f>Annual_Days*T_2!G68*Q223*CT15_AADT_2014</f>
        <v>849.46688141393884</v>
      </c>
      <c r="AK223" s="87">
        <f>Annual_Days*T_2!H68*R223*CT15_AADT_2014</f>
        <v>45507.454965966026</v>
      </c>
      <c r="AL223" s="44">
        <f t="shared" si="165"/>
        <v>91472.50801499965</v>
      </c>
    </row>
    <row r="224" spans="1:38" x14ac:dyDescent="0.25">
      <c r="A224" s="210"/>
      <c r="B224" s="52">
        <v>22</v>
      </c>
      <c r="C224" s="86">
        <v>26.357792037698403</v>
      </c>
      <c r="D224" s="86">
        <v>27.715291610244144</v>
      </c>
      <c r="E224" s="86">
        <v>26.613905784419373</v>
      </c>
      <c r="F224" s="86">
        <v>26.693574755677179</v>
      </c>
      <c r="G224" s="86">
        <v>26.685943736311657</v>
      </c>
      <c r="H224" s="86">
        <v>25.996149032671688</v>
      </c>
      <c r="I224" s="86">
        <v>29.948477878610127</v>
      </c>
      <c r="K224" s="52">
        <v>22</v>
      </c>
      <c r="L224" s="85">
        <f t="shared" si="157"/>
        <v>0.69044658315294782</v>
      </c>
      <c r="M224" s="85">
        <f t="shared" si="158"/>
        <v>2.0479461556986891</v>
      </c>
      <c r="N224" s="85">
        <f t="shared" si="159"/>
        <v>0.94656032987391825</v>
      </c>
      <c r="O224" s="85">
        <f t="shared" si="160"/>
        <v>1.0262293011317247</v>
      </c>
      <c r="P224" s="85">
        <f t="shared" si="161"/>
        <v>1.0185982817662023</v>
      </c>
      <c r="Q224" s="85">
        <f t="shared" si="162"/>
        <v>0.32880357812623373</v>
      </c>
      <c r="R224" s="85">
        <f t="shared" si="163"/>
        <v>4.2811324240646726</v>
      </c>
      <c r="T224" s="52">
        <v>22</v>
      </c>
      <c r="U224" s="87">
        <f>Annual_Days*L224*T_2!J69*CT15_AADT_2014</f>
        <v>26542.530890168437</v>
      </c>
      <c r="V224" s="87">
        <f>Annual_Days*M224*T_2!K69*CT15_AADT_2014</f>
        <v>74760.993193363829</v>
      </c>
      <c r="W224" s="87">
        <f>Annual_Days*N224*T_2!L69*CT15_AADT_2014</f>
        <v>35558.549872277559</v>
      </c>
      <c r="X224" s="87">
        <f>Annual_Days*O224*T_2!M69*CT15_AADT_2014</f>
        <v>39062.104481542417</v>
      </c>
      <c r="Y224" s="87">
        <f>Annual_Days*P224*T_2!N69*CT15_AADT_2014</f>
        <v>44516.146296111991</v>
      </c>
      <c r="Z224" s="87">
        <f>Annual_Days*Q224*T_2!O69*CT15_AADT_2014</f>
        <v>10249.775875890664</v>
      </c>
      <c r="AA224" s="87">
        <f>Annual_Days*R224*T_2!P69*CT15_AADT_2014</f>
        <v>126324.15577243533</v>
      </c>
      <c r="AB224" s="44">
        <f t="shared" si="164"/>
        <v>357014.25638179021</v>
      </c>
      <c r="AD224" s="52">
        <v>22</v>
      </c>
      <c r="AE224" s="87">
        <f>Annual_Days*T_2!B69*L224*CT15_AADT_2014</f>
        <v>5256.8761444719103</v>
      </c>
      <c r="AF224" s="87">
        <f>Annual_Days*T_2!C69*M224*CT15_AADT_2014</f>
        <v>15197.080504624057</v>
      </c>
      <c r="AG224" s="87">
        <f>Annual_Days*T_2!D69*N224*CT15_AADT_2014</f>
        <v>6310.3016632258314</v>
      </c>
      <c r="AH224" s="87">
        <f>Annual_Days*T_2!E69*O224*CT15_AADT_2014</f>
        <v>8222.0825533527259</v>
      </c>
      <c r="AI224" s="87">
        <f>Annual_Days*T_2!F69*P224*CT15_AADT_2014</f>
        <v>4808.2721815385057</v>
      </c>
      <c r="AJ224" s="87">
        <f>Annual_Days*T_2!G69*Q224*CT15_AADT_2014</f>
        <v>1032.7425693132261</v>
      </c>
      <c r="AK224" s="87">
        <f>Annual_Days*T_2!H69*R224*CT15_AADT_2014</f>
        <v>15420.329443522825</v>
      </c>
      <c r="AL224" s="44">
        <f t="shared" si="165"/>
        <v>56247.68506004908</v>
      </c>
    </row>
    <row r="225" spans="1:38" x14ac:dyDescent="0.25">
      <c r="A225" s="210"/>
      <c r="B225" s="52">
        <v>23</v>
      </c>
      <c r="C225" s="86">
        <v>26.730981733238981</v>
      </c>
      <c r="D225" s="86">
        <v>26.922564756637993</v>
      </c>
      <c r="E225" s="86">
        <v>26.793977513106626</v>
      </c>
      <c r="F225" s="86">
        <v>27.380851760032115</v>
      </c>
      <c r="G225" s="86">
        <v>26.919399760586238</v>
      </c>
      <c r="H225" s="86">
        <v>39.18456746203799</v>
      </c>
      <c r="I225" s="86">
        <v>26.347172713248217</v>
      </c>
      <c r="K225" s="52">
        <v>23</v>
      </c>
      <c r="L225" s="85">
        <f t="shared" si="157"/>
        <v>1.0636362786935258</v>
      </c>
      <c r="M225" s="85">
        <f t="shared" si="158"/>
        <v>1.255219302092538</v>
      </c>
      <c r="N225" s="85">
        <f t="shared" si="159"/>
        <v>1.1266320585611709</v>
      </c>
      <c r="O225" s="85">
        <f t="shared" si="160"/>
        <v>1.7135063054866606</v>
      </c>
      <c r="P225" s="85">
        <f t="shared" si="161"/>
        <v>1.2520543060407832</v>
      </c>
      <c r="Q225" s="85">
        <f t="shared" si="162"/>
        <v>13.517222007492535</v>
      </c>
      <c r="R225" s="85">
        <f t="shared" si="163"/>
        <v>0.67982725870276184</v>
      </c>
      <c r="T225" s="52">
        <v>23</v>
      </c>
      <c r="U225" s="87">
        <f>Annual_Days*L225*T_2!J70*CT15_AADT_2014</f>
        <v>30537.391050564594</v>
      </c>
      <c r="V225" s="87">
        <f>Annual_Days*M225*T_2!K70*CT15_AADT_2014</f>
        <v>33068.721589805267</v>
      </c>
      <c r="W225" s="87">
        <f>Annual_Days*N225*T_2!L70*CT15_AADT_2014</f>
        <v>28693.428570470587</v>
      </c>
      <c r="X225" s="87">
        <f>Annual_Days*O225*T_2!M70*CT15_AADT_2014</f>
        <v>48663.269584391819</v>
      </c>
      <c r="Y225" s="87">
        <f>Annual_Days*P225*T_2!N70*CT15_AADT_2014</f>
        <v>39913.772780810912</v>
      </c>
      <c r="Z225" s="87">
        <f>Annual_Days*Q225*T_2!O70*CT15_AADT_2014</f>
        <v>316611.56423763605</v>
      </c>
      <c r="AA225" s="87">
        <f>Annual_Days*R225*T_2!P70*CT15_AADT_2014</f>
        <v>14952.834793688628</v>
      </c>
      <c r="AB225" s="44">
        <f t="shared" si="164"/>
        <v>512440.9826073678</v>
      </c>
      <c r="AD225" s="52">
        <v>23</v>
      </c>
      <c r="AE225" s="87">
        <f>Annual_Days*T_2!B70*L225*CT15_AADT_2014</f>
        <v>5938.8443579729446</v>
      </c>
      <c r="AF225" s="87">
        <f>Annual_Days*T_2!C70*M225*CT15_AADT_2014</f>
        <v>7986.5711411409602</v>
      </c>
      <c r="AG225" s="87">
        <f>Annual_Days*T_2!D70*N225*CT15_AADT_2014</f>
        <v>8413.3100417897076</v>
      </c>
      <c r="AH225" s="87">
        <f>Annual_Days*T_2!E70*O225*CT15_AADT_2014</f>
        <v>10124.25235710605</v>
      </c>
      <c r="AI225" s="87">
        <f>Annual_Days*T_2!F70*P225*CT15_AADT_2014</f>
        <v>5231.2765194256144</v>
      </c>
      <c r="AJ225" s="87">
        <f>Annual_Days*T_2!G70*Q225*CT15_AADT_2014</f>
        <v>28758.66184833027</v>
      </c>
      <c r="AK225" s="87">
        <f>Annual_Days*T_2!H70*R225*CT15_AADT_2014</f>
        <v>1807.1652187303994</v>
      </c>
      <c r="AL225" s="44">
        <f t="shared" si="165"/>
        <v>68260.081484495939</v>
      </c>
    </row>
    <row r="226" spans="1:38" x14ac:dyDescent="0.25">
      <c r="A226" s="210"/>
      <c r="B226" s="15" t="s">
        <v>12</v>
      </c>
      <c r="C226" s="12">
        <v>2185.5576475159482</v>
      </c>
      <c r="D226" s="12">
        <v>2219.7200101465032</v>
      </c>
      <c r="E226" s="12">
        <v>2247.5228826410266</v>
      </c>
      <c r="F226" s="12">
        <v>2268.0396581317541</v>
      </c>
      <c r="G226" s="12">
        <v>2596.8674019297814</v>
      </c>
      <c r="H226" s="12">
        <v>2344.1295170192143</v>
      </c>
      <c r="I226" s="12">
        <v>2270.7174131675401</v>
      </c>
      <c r="K226" s="15" t="s">
        <v>12</v>
      </c>
      <c r="L226" s="12">
        <f t="shared" ref="L226:R226" si="166">SUM(L202:L225)</f>
        <v>53.637016086363246</v>
      </c>
      <c r="M226" s="12">
        <f t="shared" si="166"/>
        <v>51.441785202289026</v>
      </c>
      <c r="N226" s="12">
        <f t="shared" si="166"/>
        <v>41.911695497266649</v>
      </c>
      <c r="O226" s="12">
        <f t="shared" si="166"/>
        <v>51.419581544092679</v>
      </c>
      <c r="P226" s="12">
        <f t="shared" si="166"/>
        <v>65.133337647568112</v>
      </c>
      <c r="Q226" s="12">
        <f t="shared" si="166"/>
        <v>43.164746106891428</v>
      </c>
      <c r="R226" s="12">
        <f t="shared" si="166"/>
        <v>49.054041167621591</v>
      </c>
      <c r="T226" s="53" t="s">
        <v>97</v>
      </c>
      <c r="U226" s="44">
        <f t="shared" ref="U226:AB226" si="167">SUM(U202:U225)</f>
        <v>3744584.2769428184</v>
      </c>
      <c r="V226" s="44">
        <f t="shared" si="167"/>
        <v>3992934.4630332766</v>
      </c>
      <c r="W226" s="44">
        <f t="shared" si="167"/>
        <v>3616787.9273769958</v>
      </c>
      <c r="X226" s="44">
        <f t="shared" si="167"/>
        <v>4182975.6450689752</v>
      </c>
      <c r="Y226" s="44">
        <f t="shared" si="167"/>
        <v>7727063.8399899844</v>
      </c>
      <c r="Z226" s="44">
        <f t="shared" si="167"/>
        <v>2245414.9677618127</v>
      </c>
      <c r="AA226" s="44">
        <f t="shared" si="167"/>
        <v>3432170.6248576567</v>
      </c>
      <c r="AB226" s="44">
        <f t="shared" si="167"/>
        <v>28941931.745031521</v>
      </c>
      <c r="AD226" s="53" t="s">
        <v>97</v>
      </c>
      <c r="AE226" s="44">
        <f t="shared" ref="AE226:AL226" si="168">SUM(AE202:AE225)</f>
        <v>571534.88651375368</v>
      </c>
      <c r="AF226" s="44">
        <f t="shared" si="168"/>
        <v>672667.11862003116</v>
      </c>
      <c r="AG226" s="44">
        <f t="shared" si="168"/>
        <v>688216.0278110184</v>
      </c>
      <c r="AH226" s="44">
        <f t="shared" si="168"/>
        <v>764173.6011641511</v>
      </c>
      <c r="AI226" s="44">
        <f t="shared" si="168"/>
        <v>1120963.5985136786</v>
      </c>
      <c r="AJ226" s="44">
        <f t="shared" si="168"/>
        <v>189071.04673054075</v>
      </c>
      <c r="AK226" s="44">
        <f t="shared" si="168"/>
        <v>288537.56875344255</v>
      </c>
      <c r="AL226" s="44">
        <f t="shared" si="168"/>
        <v>4295163.8481066162</v>
      </c>
    </row>
    <row r="227" spans="1:38" x14ac:dyDescent="0.25">
      <c r="U227" s="44"/>
      <c r="V227" s="44"/>
      <c r="W227" s="44"/>
      <c r="X227" s="44"/>
      <c r="Y227" s="44"/>
      <c r="Z227" s="50" t="s">
        <v>102</v>
      </c>
      <c r="AA227" s="49">
        <f>SUM(U202:AA225)</f>
        <v>28941931.745031524</v>
      </c>
      <c r="AB227" s="44"/>
      <c r="AE227" s="44"/>
      <c r="AF227" s="44"/>
      <c r="AG227" s="44"/>
      <c r="AH227" s="44"/>
      <c r="AI227" s="44"/>
      <c r="AJ227" s="50" t="s">
        <v>102</v>
      </c>
      <c r="AK227" s="49">
        <f>SUM(AE202:AK225)</f>
        <v>4295163.8481066162</v>
      </c>
      <c r="AL227" s="44"/>
    </row>
    <row r="230" spans="1:38" x14ac:dyDescent="0.25">
      <c r="K230" s="201" t="s">
        <v>100</v>
      </c>
      <c r="L230" s="201"/>
      <c r="M230" s="201"/>
      <c r="N230" s="201"/>
      <c r="O230" s="201"/>
      <c r="P230" s="201"/>
      <c r="Q230" s="201"/>
      <c r="R230" s="201"/>
      <c r="T230" s="201" t="s">
        <v>98</v>
      </c>
      <c r="U230" s="201"/>
      <c r="V230" s="201"/>
      <c r="W230" s="201"/>
      <c r="X230" s="201"/>
      <c r="Y230" s="201"/>
      <c r="Z230" s="201"/>
      <c r="AA230" s="201"/>
      <c r="AB230" s="201"/>
      <c r="AD230" s="201" t="s">
        <v>99</v>
      </c>
      <c r="AE230" s="201"/>
      <c r="AF230" s="201"/>
      <c r="AG230" s="201"/>
      <c r="AH230" s="201"/>
      <c r="AI230" s="201"/>
      <c r="AJ230" s="201"/>
      <c r="AK230" s="201"/>
      <c r="AL230" s="201"/>
    </row>
    <row r="231" spans="1:38" x14ac:dyDescent="0.25">
      <c r="A231" s="210">
        <v>5708</v>
      </c>
      <c r="B231" s="201" t="s">
        <v>73</v>
      </c>
      <c r="C231" s="201"/>
      <c r="D231" s="201"/>
      <c r="E231" s="201"/>
      <c r="F231" s="201"/>
      <c r="G231" s="201"/>
      <c r="H231" s="201"/>
      <c r="I231" s="201"/>
      <c r="K231" s="201" t="s">
        <v>101</v>
      </c>
      <c r="L231" s="201"/>
      <c r="M231" s="201"/>
      <c r="N231" s="201"/>
      <c r="O231" s="201"/>
      <c r="P231" s="201"/>
      <c r="Q231" s="201"/>
      <c r="R231" s="201"/>
      <c r="T231" s="201" t="s">
        <v>103</v>
      </c>
      <c r="U231" s="201"/>
      <c r="V231" s="201"/>
      <c r="W231" s="201"/>
      <c r="X231" s="201"/>
      <c r="Y231" s="201"/>
      <c r="Z231" s="201"/>
      <c r="AA231" s="201"/>
      <c r="AB231" s="201"/>
      <c r="AD231" s="201" t="s">
        <v>104</v>
      </c>
      <c r="AE231" s="201"/>
      <c r="AF231" s="201"/>
      <c r="AG231" s="201"/>
      <c r="AH231" s="201"/>
      <c r="AI231" s="201"/>
      <c r="AJ231" s="201"/>
      <c r="AK231" s="201"/>
      <c r="AL231" s="201"/>
    </row>
    <row r="232" spans="1:38" x14ac:dyDescent="0.25">
      <c r="A232" s="210"/>
      <c r="B232" s="51" t="s">
        <v>48</v>
      </c>
      <c r="C232" s="51" t="s">
        <v>7</v>
      </c>
      <c r="D232" s="51" t="s">
        <v>8</v>
      </c>
      <c r="E232" s="51" t="s">
        <v>2</v>
      </c>
      <c r="F232" s="51" t="s">
        <v>3</v>
      </c>
      <c r="G232" s="51" t="s">
        <v>4</v>
      </c>
      <c r="H232" s="51" t="s">
        <v>5</v>
      </c>
      <c r="I232" s="51" t="s">
        <v>6</v>
      </c>
      <c r="K232" s="51" t="s">
        <v>13</v>
      </c>
      <c r="L232" s="51" t="s">
        <v>7</v>
      </c>
      <c r="M232" s="51" t="s">
        <v>8</v>
      </c>
      <c r="N232" s="51" t="s">
        <v>2</v>
      </c>
      <c r="O232" s="51" t="s">
        <v>3</v>
      </c>
      <c r="P232" s="51" t="s">
        <v>4</v>
      </c>
      <c r="Q232" s="51" t="s">
        <v>5</v>
      </c>
      <c r="R232" s="51" t="s">
        <v>6</v>
      </c>
      <c r="T232" s="16" t="s">
        <v>48</v>
      </c>
      <c r="U232" s="16" t="s">
        <v>7</v>
      </c>
      <c r="V232" s="16" t="s">
        <v>8</v>
      </c>
      <c r="W232" s="16" t="s">
        <v>2</v>
      </c>
      <c r="X232" s="16" t="s">
        <v>3</v>
      </c>
      <c r="Y232" s="16" t="s">
        <v>4</v>
      </c>
      <c r="Z232" s="16" t="s">
        <v>5</v>
      </c>
      <c r="AA232" s="16" t="s">
        <v>6</v>
      </c>
      <c r="AB232" s="16" t="s">
        <v>30</v>
      </c>
      <c r="AD232" s="16" t="s">
        <v>48</v>
      </c>
      <c r="AE232" s="16" t="s">
        <v>7</v>
      </c>
      <c r="AF232" s="16" t="s">
        <v>8</v>
      </c>
      <c r="AG232" s="16" t="s">
        <v>2</v>
      </c>
      <c r="AH232" s="16" t="s">
        <v>3</v>
      </c>
      <c r="AI232" s="16" t="s">
        <v>4</v>
      </c>
      <c r="AJ232" s="16" t="s">
        <v>5</v>
      </c>
      <c r="AK232" s="16" t="s">
        <v>6</v>
      </c>
      <c r="AL232" s="16" t="s">
        <v>30</v>
      </c>
    </row>
    <row r="233" spans="1:38" x14ac:dyDescent="0.25">
      <c r="A233" s="210"/>
      <c r="B233" s="52">
        <v>0</v>
      </c>
      <c r="C233" s="86">
        <v>33.264473002443339</v>
      </c>
      <c r="D233" s="86">
        <v>39.799886343225957</v>
      </c>
      <c r="E233" s="86">
        <v>34.538359187501634</v>
      </c>
      <c r="F233" s="86">
        <v>36.461332155348138</v>
      </c>
      <c r="G233" s="86">
        <v>48.060258911546732</v>
      </c>
      <c r="H233" s="86">
        <v>33.422751744413183</v>
      </c>
      <c r="I233" s="86">
        <v>31.868404786616171</v>
      </c>
      <c r="K233" s="52">
        <v>0</v>
      </c>
      <c r="L233" s="85">
        <f t="shared" ref="L233:L256" si="169">IF(C233-$H$7&gt;0,C233-$H$7,0)</f>
        <v>0</v>
      </c>
      <c r="M233" s="85">
        <f t="shared" ref="M233:M256" si="170">IF(D233-$H$7&gt;0,D233-$H$7,0)</f>
        <v>4.7836681614077747</v>
      </c>
      <c r="N233" s="85">
        <f t="shared" ref="N233:N256" si="171">IF(E233-$H$7&gt;0,E233-$H$7,0)</f>
        <v>0</v>
      </c>
      <c r="O233" s="85">
        <f t="shared" ref="O233:O256" si="172">IF(F233-$H$7&gt;0,F233-$H$7,0)</f>
        <v>1.4451139735299563</v>
      </c>
      <c r="P233" s="85">
        <f t="shared" ref="P233:P256" si="173">IF(G233-$H$7&gt;0,G233-$H$7,0)</f>
        <v>13.04404072972855</v>
      </c>
      <c r="Q233" s="85">
        <f t="shared" ref="Q233:Q256" si="174">IF(H233-$H$7&gt;0,H233-$H$7,0)</f>
        <v>0</v>
      </c>
      <c r="R233" s="85">
        <f t="shared" ref="R233:R256" si="175">IF(I233-$H$7&gt;0,I233-$H$7,0)</f>
        <v>0</v>
      </c>
      <c r="T233" s="52">
        <v>0</v>
      </c>
      <c r="U233" s="87">
        <f>Annual_Days*L233*T_2!J7*CT15_AADT_2014</f>
        <v>0</v>
      </c>
      <c r="V233" s="87">
        <f>Annual_Days*M233*T_2!K7*CT15_AADT_2014</f>
        <v>112730.62521689206</v>
      </c>
      <c r="W233" s="87">
        <f>Annual_Days*N233*T_2!L7*CT15_AADT_2014</f>
        <v>0</v>
      </c>
      <c r="X233" s="87">
        <f>Annual_Days*O233*T_2!M7*CT15_AADT_2014</f>
        <v>31979.313410519422</v>
      </c>
      <c r="Y233" s="87">
        <f>Annual_Days*P233*T_2!N7*CT15_AADT_2014</f>
        <v>366642.57262388023</v>
      </c>
      <c r="Z233" s="87">
        <f>Annual_Days*Q233*T_2!O7*CT15_AADT_2014</f>
        <v>0</v>
      </c>
      <c r="AA233" s="87">
        <f>Annual_Days*R233*T_2!P7*CT15_AADT_2014</f>
        <v>0</v>
      </c>
      <c r="AB233" s="44">
        <f t="shared" ref="AB233:AB256" si="176">SUM(U233:AA233)</f>
        <v>511352.51125129173</v>
      </c>
      <c r="AD233" s="52">
        <v>0</v>
      </c>
      <c r="AE233" s="87">
        <f>Annual_Days*T_2!B7*L233*CT15_AADT_2014</f>
        <v>0</v>
      </c>
      <c r="AF233" s="87">
        <f>Annual_Days*T_2!C7*M233*CT15_AADT_2014</f>
        <v>26557.626698542939</v>
      </c>
      <c r="AG233" s="87">
        <f>Annual_Days*T_2!D7*N233*CT15_AADT_2014</f>
        <v>0</v>
      </c>
      <c r="AH233" s="87">
        <f>Annual_Days*T_2!E7*O233*CT15_AADT_2014</f>
        <v>8864.4412611615244</v>
      </c>
      <c r="AI233" s="87">
        <f>Annual_Days*T_2!F7*P233*CT15_AADT_2014</f>
        <v>67352.848285878557</v>
      </c>
      <c r="AJ233" s="87">
        <f>Annual_Days*T_2!G7*Q233*CT15_AADT_2014</f>
        <v>0</v>
      </c>
      <c r="AK233" s="87">
        <f>Annual_Days*T_2!H7*R233*CT15_AADT_2014</f>
        <v>0</v>
      </c>
      <c r="AL233" s="44">
        <f t="shared" ref="AL233:AL256" si="177">SUM(AE233:AK233)</f>
        <v>102774.91624558302</v>
      </c>
    </row>
    <row r="234" spans="1:38" x14ac:dyDescent="0.25">
      <c r="A234" s="210"/>
      <c r="B234" s="52">
        <v>1</v>
      </c>
      <c r="C234" s="86">
        <v>34.024361693181604</v>
      </c>
      <c r="D234" s="86">
        <v>35.953175723089849</v>
      </c>
      <c r="E234" s="86">
        <v>33.567111966234833</v>
      </c>
      <c r="F234" s="86">
        <v>33.583306216636799</v>
      </c>
      <c r="G234" s="86">
        <v>34.395432704122939</v>
      </c>
      <c r="H234" s="86">
        <v>40.948391339091764</v>
      </c>
      <c r="I234" s="86">
        <v>33.89673637112886</v>
      </c>
      <c r="K234" s="52">
        <v>1</v>
      </c>
      <c r="L234" s="85">
        <f t="shared" si="169"/>
        <v>0</v>
      </c>
      <c r="M234" s="85">
        <f t="shared" si="170"/>
        <v>0.93695754127166708</v>
      </c>
      <c r="N234" s="85">
        <f t="shared" si="171"/>
        <v>0</v>
      </c>
      <c r="O234" s="85">
        <f t="shared" si="172"/>
        <v>0</v>
      </c>
      <c r="P234" s="85">
        <f t="shared" si="173"/>
        <v>0</v>
      </c>
      <c r="Q234" s="85">
        <f t="shared" si="174"/>
        <v>5.9321731572735814</v>
      </c>
      <c r="R234" s="85">
        <f t="shared" si="175"/>
        <v>0</v>
      </c>
      <c r="T234" s="52">
        <v>1</v>
      </c>
      <c r="U234" s="87">
        <f>Annual_Days*L234*T_2!J8*CT15_AADT_2014</f>
        <v>0</v>
      </c>
      <c r="V234" s="87">
        <f>Annual_Days*M234*T_2!K8*CT15_AADT_2014</f>
        <v>12513.261854540769</v>
      </c>
      <c r="W234" s="87">
        <f>Annual_Days*N234*T_2!L8*CT15_AADT_2014</f>
        <v>0</v>
      </c>
      <c r="X234" s="87">
        <f>Annual_Days*O234*T_2!M8*CT15_AADT_2014</f>
        <v>0</v>
      </c>
      <c r="Y234" s="87">
        <f>Annual_Days*P234*T_2!N8*CT15_AADT_2014</f>
        <v>0</v>
      </c>
      <c r="Z234" s="87">
        <f>Annual_Days*Q234*T_2!O8*CT15_AADT_2014</f>
        <v>137953.53098711887</v>
      </c>
      <c r="AA234" s="87">
        <f>Annual_Days*R234*T_2!P8*CT15_AADT_2014</f>
        <v>0</v>
      </c>
      <c r="AB234" s="44">
        <f t="shared" si="176"/>
        <v>150466.79284165963</v>
      </c>
      <c r="AD234" s="52">
        <v>1</v>
      </c>
      <c r="AE234" s="87">
        <f>Annual_Days*T_2!B8*L234*CT15_AADT_2014</f>
        <v>0</v>
      </c>
      <c r="AF234" s="87">
        <f>Annual_Days*T_2!C8*M234*CT15_AADT_2014</f>
        <v>5965.6248376299009</v>
      </c>
      <c r="AG234" s="87">
        <f>Annual_Days*T_2!D8*N234*CT15_AADT_2014</f>
        <v>0</v>
      </c>
      <c r="AH234" s="87">
        <f>Annual_Days*T_2!E8*O234*CT15_AADT_2014</f>
        <v>0</v>
      </c>
      <c r="AI234" s="87">
        <f>Annual_Days*T_2!F8*P234*CT15_AADT_2014</f>
        <v>0</v>
      </c>
      <c r="AJ234" s="87">
        <f>Annual_Days*T_2!G8*Q234*CT15_AADT_2014</f>
        <v>31782.282598034068</v>
      </c>
      <c r="AK234" s="87">
        <f>Annual_Days*T_2!H8*R234*CT15_AADT_2014</f>
        <v>0</v>
      </c>
      <c r="AL234" s="44">
        <f t="shared" si="177"/>
        <v>37747.907435663968</v>
      </c>
    </row>
    <row r="235" spans="1:38" x14ac:dyDescent="0.25">
      <c r="A235" s="210"/>
      <c r="B235" s="52">
        <v>2</v>
      </c>
      <c r="C235" s="86">
        <v>33.758612010444416</v>
      </c>
      <c r="D235" s="86">
        <v>40.774160202731849</v>
      </c>
      <c r="E235" s="86">
        <v>36.090196849244158</v>
      </c>
      <c r="F235" s="86">
        <v>36.266839096227734</v>
      </c>
      <c r="G235" s="86">
        <v>34.358075440247433</v>
      </c>
      <c r="H235" s="86">
        <v>38.607839001362372</v>
      </c>
      <c r="I235" s="86">
        <v>47.190400390756281</v>
      </c>
      <c r="K235" s="52">
        <v>2</v>
      </c>
      <c r="L235" s="85">
        <f t="shared" si="169"/>
        <v>0</v>
      </c>
      <c r="M235" s="85">
        <f t="shared" si="170"/>
        <v>5.7579420209136671</v>
      </c>
      <c r="N235" s="85">
        <f t="shared" si="171"/>
        <v>1.0739786674259761</v>
      </c>
      <c r="O235" s="85">
        <f t="shared" si="172"/>
        <v>1.2506209144095521</v>
      </c>
      <c r="P235" s="85">
        <f t="shared" si="173"/>
        <v>0</v>
      </c>
      <c r="Q235" s="85">
        <f t="shared" si="174"/>
        <v>3.5916208195441897</v>
      </c>
      <c r="R235" s="85">
        <f t="shared" si="175"/>
        <v>12.174182208938099</v>
      </c>
      <c r="T235" s="52">
        <v>2</v>
      </c>
      <c r="U235" s="87">
        <f>Annual_Days*L235*T_2!J9*CT15_AADT_2014</f>
        <v>0</v>
      </c>
      <c r="V235" s="87">
        <f>Annual_Days*M235*T_2!K9*CT15_AADT_2014</f>
        <v>45602.603117978739</v>
      </c>
      <c r="W235" s="87">
        <f>Annual_Days*N235*T_2!L9*CT15_AADT_2014</f>
        <v>6254.3055300980277</v>
      </c>
      <c r="X235" s="87">
        <f>Annual_Days*O235*T_2!M9*CT15_AADT_2014</f>
        <v>9516.4273773377499</v>
      </c>
      <c r="Y235" s="87">
        <f>Annual_Days*P235*T_2!N9*CT15_AADT_2014</f>
        <v>0</v>
      </c>
      <c r="Z235" s="87">
        <f>Annual_Days*Q235*T_2!O9*CT15_AADT_2014</f>
        <v>46851.331392701708</v>
      </c>
      <c r="AA235" s="87">
        <f>Annual_Days*R235*T_2!P9*CT15_AADT_2014</f>
        <v>198982.12863470352</v>
      </c>
      <c r="AB235" s="44">
        <f t="shared" si="176"/>
        <v>307206.79605281976</v>
      </c>
      <c r="AD235" s="52">
        <v>2</v>
      </c>
      <c r="AE235" s="87">
        <f>Annual_Days*T_2!B9*L235*CT15_AADT_2014</f>
        <v>0</v>
      </c>
      <c r="AF235" s="87">
        <f>Annual_Days*T_2!C9*M235*CT15_AADT_2014</f>
        <v>40461.133158598772</v>
      </c>
      <c r="AG235" s="87">
        <f>Annual_Days*T_2!D9*N235*CT15_AADT_2014</f>
        <v>6712.9546023052162</v>
      </c>
      <c r="AH235" s="87">
        <f>Annual_Days*T_2!E9*O235*CT15_AADT_2014</f>
        <v>9273.6613728138291</v>
      </c>
      <c r="AI235" s="87">
        <f>Annual_Days*T_2!F9*P235*CT15_AADT_2014</f>
        <v>0</v>
      </c>
      <c r="AJ235" s="87">
        <f>Annual_Days*T_2!G9*Q235*CT15_AADT_2014</f>
        <v>16593.179868248521</v>
      </c>
      <c r="AK235" s="87">
        <f>Annual_Days*T_2!H9*R235*CT15_AADT_2014</f>
        <v>25522.648328441788</v>
      </c>
      <c r="AL235" s="44">
        <f t="shared" si="177"/>
        <v>98563.577330408138</v>
      </c>
    </row>
    <row r="236" spans="1:38" x14ac:dyDescent="0.25">
      <c r="A236" s="210"/>
      <c r="B236" s="52">
        <v>3</v>
      </c>
      <c r="C236" s="86">
        <v>35.906554416951558</v>
      </c>
      <c r="D236" s="86">
        <v>35.276637285966672</v>
      </c>
      <c r="E236" s="86">
        <v>34.494351164051096</v>
      </c>
      <c r="F236" s="86">
        <v>37.320766480264666</v>
      </c>
      <c r="G236" s="86">
        <v>35.036401623965723</v>
      </c>
      <c r="H236" s="86">
        <v>42.538510306090956</v>
      </c>
      <c r="I236" s="86">
        <v>34.352740994017097</v>
      </c>
      <c r="K236" s="52">
        <v>3</v>
      </c>
      <c r="L236" s="85">
        <f t="shared" si="169"/>
        <v>0.89033623513337545</v>
      </c>
      <c r="M236" s="85">
        <f t="shared" si="170"/>
        <v>0.26041910414848957</v>
      </c>
      <c r="N236" s="85">
        <f t="shared" si="171"/>
        <v>0</v>
      </c>
      <c r="O236" s="85">
        <f t="shared" si="172"/>
        <v>2.304548298446484</v>
      </c>
      <c r="P236" s="85">
        <f t="shared" si="173"/>
        <v>2.0183442147541086E-2</v>
      </c>
      <c r="Q236" s="85">
        <f t="shared" si="174"/>
        <v>7.5222921242727736</v>
      </c>
      <c r="R236" s="85">
        <f t="shared" si="175"/>
        <v>0</v>
      </c>
      <c r="T236" s="52">
        <v>3</v>
      </c>
      <c r="U236" s="87">
        <f>Annual_Days*L236*T_2!J10*CT15_AADT_2014</f>
        <v>8019.2584939255348</v>
      </c>
      <c r="V236" s="87">
        <f>Annual_Days*M236*T_2!K10*CT15_AADT_2014</f>
        <v>1577.2103490729596</v>
      </c>
      <c r="W236" s="87">
        <f>Annual_Days*N236*T_2!L10*CT15_AADT_2014</f>
        <v>0</v>
      </c>
      <c r="X236" s="87">
        <f>Annual_Days*O236*T_2!M10*CT15_AADT_2014</f>
        <v>12525.816043537878</v>
      </c>
      <c r="Y236" s="87">
        <f>Annual_Days*P236*T_2!N10*CT15_AADT_2014</f>
        <v>132.42626125310937</v>
      </c>
      <c r="Z236" s="87">
        <f>Annual_Days*Q236*T_2!O10*CT15_AADT_2014</f>
        <v>82063.246500263907</v>
      </c>
      <c r="AA236" s="87">
        <f>Annual_Days*R236*T_2!P10*CT15_AADT_2014</f>
        <v>0</v>
      </c>
      <c r="AB236" s="44">
        <f t="shared" si="176"/>
        <v>104317.95764805339</v>
      </c>
      <c r="AD236" s="52">
        <v>3</v>
      </c>
      <c r="AE236" s="87">
        <f>Annual_Days*T_2!B10*L236*CT15_AADT_2014</f>
        <v>5495.9573298886216</v>
      </c>
      <c r="AF236" s="87">
        <f>Annual_Days*T_2!C10*M236*CT15_AADT_2014</f>
        <v>1678.3135765776362</v>
      </c>
      <c r="AG236" s="87">
        <f>Annual_Days*T_2!D10*N236*CT15_AADT_2014</f>
        <v>0</v>
      </c>
      <c r="AH236" s="87">
        <f>Annual_Days*T_2!E10*O236*CT15_AADT_2014</f>
        <v>19146.604523693612</v>
      </c>
      <c r="AI236" s="87">
        <f>Annual_Days*T_2!F10*P236*CT15_AADT_2014</f>
        <v>150.44877018104737</v>
      </c>
      <c r="AJ236" s="87">
        <f>Annual_Days*T_2!G10*Q236*CT15_AADT_2014</f>
        <v>38257.243030372148</v>
      </c>
      <c r="AK236" s="87">
        <f>Annual_Days*T_2!H10*R236*CT15_AADT_2014</f>
        <v>0</v>
      </c>
      <c r="AL236" s="44">
        <f t="shared" si="177"/>
        <v>64728.567230713059</v>
      </c>
    </row>
    <row r="237" spans="1:38" x14ac:dyDescent="0.25">
      <c r="A237" s="210"/>
      <c r="B237" s="52">
        <v>4</v>
      </c>
      <c r="C237" s="86">
        <v>38.994590105018027</v>
      </c>
      <c r="D237" s="86">
        <v>35.431824918995169</v>
      </c>
      <c r="E237" s="86">
        <v>35.981673745446166</v>
      </c>
      <c r="F237" s="86">
        <v>50.595492474610339</v>
      </c>
      <c r="G237" s="86">
        <v>34.43175148194041</v>
      </c>
      <c r="H237" s="86">
        <v>44.512327611354458</v>
      </c>
      <c r="I237" s="86">
        <v>36.990888507738092</v>
      </c>
      <c r="K237" s="52">
        <v>4</v>
      </c>
      <c r="L237" s="85">
        <f t="shared" si="169"/>
        <v>3.9783719231998447</v>
      </c>
      <c r="M237" s="85">
        <f t="shared" si="170"/>
        <v>0.41560673717698648</v>
      </c>
      <c r="N237" s="85">
        <f t="shared" si="171"/>
        <v>0.96545556362798379</v>
      </c>
      <c r="O237" s="85">
        <f t="shared" si="172"/>
        <v>15.579274292792157</v>
      </c>
      <c r="P237" s="85">
        <f t="shared" si="173"/>
        <v>0</v>
      </c>
      <c r="Q237" s="85">
        <f t="shared" si="174"/>
        <v>9.4961094295362756</v>
      </c>
      <c r="R237" s="85">
        <f t="shared" si="175"/>
        <v>1.9746703259199094</v>
      </c>
      <c r="T237" s="52">
        <v>4</v>
      </c>
      <c r="U237" s="87">
        <f>Annual_Days*L237*T_2!J11*CT15_AADT_2014</f>
        <v>34597.568570895863</v>
      </c>
      <c r="V237" s="87">
        <f>Annual_Days*M237*T_2!K11*CT15_AADT_2014</f>
        <v>2888.2034950249549</v>
      </c>
      <c r="W237" s="87">
        <f>Annual_Days*N237*T_2!L11*CT15_AADT_2014</f>
        <v>6184.5543856544555</v>
      </c>
      <c r="X237" s="87">
        <f>Annual_Days*O237*T_2!M11*CT15_AADT_2014</f>
        <v>114919.30842904805</v>
      </c>
      <c r="Y237" s="87">
        <f>Annual_Days*P237*T_2!N11*CT15_AADT_2014</f>
        <v>0</v>
      </c>
      <c r="Z237" s="87">
        <f>Annual_Days*Q237*T_2!O11*CT15_AADT_2014</f>
        <v>67835.29418755506</v>
      </c>
      <c r="AA237" s="87">
        <f>Annual_Days*R237*T_2!P11*CT15_AADT_2014</f>
        <v>14642.665666734742</v>
      </c>
      <c r="AB237" s="44">
        <f t="shared" si="176"/>
        <v>241067.59473491312</v>
      </c>
      <c r="AD237" s="52">
        <v>4</v>
      </c>
      <c r="AE237" s="87">
        <f>Annual_Days*T_2!B11*L237*CT15_AADT_2014</f>
        <v>27956.071032732816</v>
      </c>
      <c r="AF237" s="87">
        <f>Annual_Days*T_2!C11*M237*CT15_AADT_2014</f>
        <v>3904.7220435532922</v>
      </c>
      <c r="AG237" s="87">
        <f>Annual_Days*T_2!D11*N237*CT15_AADT_2014</f>
        <v>8920.7511744591538</v>
      </c>
      <c r="AH237" s="87">
        <f>Annual_Days*T_2!E11*O237*CT15_AADT_2014</f>
        <v>143951.55476901808</v>
      </c>
      <c r="AI237" s="87">
        <f>Annual_Days*T_2!F11*P237*CT15_AADT_2014</f>
        <v>0</v>
      </c>
      <c r="AJ237" s="87">
        <f>Annual_Days*T_2!G11*Q237*CT15_AADT_2014</f>
        <v>49401.79033224118</v>
      </c>
      <c r="AK237" s="87">
        <f>Annual_Days*T_2!H11*R237*CT15_AADT_2014</f>
        <v>4829.7797748915636</v>
      </c>
      <c r="AL237" s="44">
        <f t="shared" si="177"/>
        <v>238964.6691268961</v>
      </c>
    </row>
    <row r="238" spans="1:38" x14ac:dyDescent="0.25">
      <c r="A238" s="210"/>
      <c r="B238" s="52">
        <v>5</v>
      </c>
      <c r="C238" s="86">
        <v>33.74004219514979</v>
      </c>
      <c r="D238" s="86">
        <v>36.035996461607247</v>
      </c>
      <c r="E238" s="86">
        <v>50.512468308886213</v>
      </c>
      <c r="F238" s="86">
        <v>36.573681654884695</v>
      </c>
      <c r="G238" s="86">
        <v>49.478518132252979</v>
      </c>
      <c r="H238" s="86">
        <v>39.694697685338348</v>
      </c>
      <c r="I238" s="86">
        <v>36.382060981954311</v>
      </c>
      <c r="K238" s="52">
        <v>5</v>
      </c>
      <c r="L238" s="85">
        <f t="shared" si="169"/>
        <v>0</v>
      </c>
      <c r="M238" s="85">
        <f t="shared" si="170"/>
        <v>1.0197782797890653</v>
      </c>
      <c r="N238" s="85">
        <f t="shared" si="171"/>
        <v>15.496250127068031</v>
      </c>
      <c r="O238" s="85">
        <f t="shared" si="172"/>
        <v>1.5574634730665124</v>
      </c>
      <c r="P238" s="85">
        <f t="shared" si="173"/>
        <v>14.462299950434797</v>
      </c>
      <c r="Q238" s="85">
        <f t="shared" si="174"/>
        <v>4.6784795035201654</v>
      </c>
      <c r="R238" s="85">
        <f t="shared" si="175"/>
        <v>1.3658428001361287</v>
      </c>
      <c r="T238" s="52">
        <v>5</v>
      </c>
      <c r="U238" s="87">
        <f>Annual_Days*L238*T_2!J12*CT15_AADT_2014</f>
        <v>0</v>
      </c>
      <c r="V238" s="87">
        <f>Annual_Days*M238*T_2!K12*CT15_AADT_2014</f>
        <v>18647.423922433147</v>
      </c>
      <c r="W238" s="87">
        <f>Annual_Days*N238*T_2!L12*CT15_AADT_2014</f>
        <v>213573.39433761948</v>
      </c>
      <c r="X238" s="87">
        <f>Annual_Days*O238*T_2!M12*CT15_AADT_2014</f>
        <v>22251.427000878051</v>
      </c>
      <c r="Y238" s="87">
        <f>Annual_Days*P238*T_2!N12*CT15_AADT_2014</f>
        <v>204376.48586323689</v>
      </c>
      <c r="Z238" s="87">
        <f>Annual_Days*Q238*T_2!O12*CT15_AADT_2014</f>
        <v>48132.983745280377</v>
      </c>
      <c r="AA238" s="87">
        <f>Annual_Days*R238*T_2!P12*CT15_AADT_2014</f>
        <v>11930.960693953561</v>
      </c>
      <c r="AB238" s="44">
        <f t="shared" si="176"/>
        <v>518912.67556340148</v>
      </c>
      <c r="AD238" s="52">
        <v>5</v>
      </c>
      <c r="AE238" s="87">
        <f>Annual_Days*T_2!B12*L238*CT15_AADT_2014</f>
        <v>0</v>
      </c>
      <c r="AF238" s="87">
        <f>Annual_Days*T_2!C12*M238*CT15_AADT_2014</f>
        <v>11718.975543609793</v>
      </c>
      <c r="AG238" s="87">
        <f>Annual_Days*T_2!D12*N238*CT15_AADT_2014</f>
        <v>143786.0316808199</v>
      </c>
      <c r="AH238" s="87">
        <f>Annual_Days*T_2!E12*O238*CT15_AADT_2014</f>
        <v>20921.178647564691</v>
      </c>
      <c r="AI238" s="87">
        <f>Annual_Days*T_2!F12*P238*CT15_AADT_2014</f>
        <v>169565.10640301518</v>
      </c>
      <c r="AJ238" s="87">
        <f>Annual_Days*T_2!G12*Q238*CT15_AADT_2014</f>
        <v>22159.335912921531</v>
      </c>
      <c r="AK238" s="87">
        <f>Annual_Days*T_2!H12*R238*CT15_AADT_2014</f>
        <v>3711.8544381188863</v>
      </c>
      <c r="AL238" s="44">
        <f t="shared" si="177"/>
        <v>371862.48262604995</v>
      </c>
    </row>
    <row r="239" spans="1:38" x14ac:dyDescent="0.25">
      <c r="A239" s="210"/>
      <c r="B239" s="52">
        <v>6</v>
      </c>
      <c r="C239" s="86">
        <v>32.625775747647076</v>
      </c>
      <c r="D239" s="86">
        <v>33.680394730044164</v>
      </c>
      <c r="E239" s="86">
        <v>48.270773349127587</v>
      </c>
      <c r="F239" s="86">
        <v>44.119973345997877</v>
      </c>
      <c r="G239" s="86">
        <v>32.883901778651001</v>
      </c>
      <c r="H239" s="86">
        <v>32.280363942014574</v>
      </c>
      <c r="I239" s="86">
        <v>35.394725517948721</v>
      </c>
      <c r="K239" s="52">
        <v>6</v>
      </c>
      <c r="L239" s="85">
        <f t="shared" si="169"/>
        <v>0</v>
      </c>
      <c r="M239" s="85">
        <f t="shared" si="170"/>
        <v>0</v>
      </c>
      <c r="N239" s="85">
        <f t="shared" si="171"/>
        <v>13.254555167309405</v>
      </c>
      <c r="O239" s="85">
        <f t="shared" si="172"/>
        <v>9.1037551641796952</v>
      </c>
      <c r="P239" s="85">
        <f t="shared" si="173"/>
        <v>0</v>
      </c>
      <c r="Q239" s="85">
        <f t="shared" si="174"/>
        <v>0</v>
      </c>
      <c r="R239" s="85">
        <f t="shared" si="175"/>
        <v>0.37850733613053933</v>
      </c>
      <c r="T239" s="52">
        <v>6</v>
      </c>
      <c r="U239" s="87">
        <f>Annual_Days*L239*T_2!J13*CT15_AADT_2014</f>
        <v>0</v>
      </c>
      <c r="V239" s="87">
        <f>Annual_Days*M239*T_2!K13*CT15_AADT_2014</f>
        <v>0</v>
      </c>
      <c r="W239" s="87">
        <f>Annual_Days*N239*T_2!L13*CT15_AADT_2014</f>
        <v>499662.28089079342</v>
      </c>
      <c r="X239" s="87">
        <f>Annual_Days*O239*T_2!M13*CT15_AADT_2014</f>
        <v>345308.53439977969</v>
      </c>
      <c r="Y239" s="87">
        <f>Annual_Days*P239*T_2!N13*CT15_AADT_2014</f>
        <v>0</v>
      </c>
      <c r="Z239" s="87">
        <f>Annual_Days*Q239*T_2!O13*CT15_AADT_2014</f>
        <v>0</v>
      </c>
      <c r="AA239" s="87">
        <f>Annual_Days*R239*T_2!P13*CT15_AADT_2014</f>
        <v>4687.6714318012328</v>
      </c>
      <c r="AB239" s="44">
        <f t="shared" si="176"/>
        <v>849658.48672237433</v>
      </c>
      <c r="AD239" s="52">
        <v>6</v>
      </c>
      <c r="AE239" s="87">
        <f>Annual_Days*T_2!B13*L239*CT15_AADT_2014</f>
        <v>0</v>
      </c>
      <c r="AF239" s="87">
        <f>Annual_Days*T_2!C13*M239*CT15_AADT_2014</f>
        <v>0</v>
      </c>
      <c r="AG239" s="87">
        <f>Annual_Days*T_2!D13*N239*CT15_AADT_2014</f>
        <v>209436.19806648084</v>
      </c>
      <c r="AH239" s="87">
        <f>Annual_Days*T_2!E13*O239*CT15_AADT_2014</f>
        <v>149504.1044535382</v>
      </c>
      <c r="AI239" s="87">
        <f>Annual_Days*T_2!F13*P239*CT15_AADT_2014</f>
        <v>0</v>
      </c>
      <c r="AJ239" s="87">
        <f>Annual_Days*T_2!G13*Q239*CT15_AADT_2014</f>
        <v>0</v>
      </c>
      <c r="AK239" s="87">
        <f>Annual_Days*T_2!H13*R239*CT15_AADT_2014</f>
        <v>1028.6426339375746</v>
      </c>
      <c r="AL239" s="44">
        <f t="shared" si="177"/>
        <v>359968.94515395659</v>
      </c>
    </row>
    <row r="240" spans="1:38" x14ac:dyDescent="0.25">
      <c r="A240" s="210"/>
      <c r="B240" s="52">
        <v>7</v>
      </c>
      <c r="C240" s="86">
        <v>35.968310282489014</v>
      </c>
      <c r="D240" s="86">
        <v>32.853854179002028</v>
      </c>
      <c r="E240" s="86">
        <v>35.970464088406104</v>
      </c>
      <c r="F240" s="86">
        <v>32.516626048805129</v>
      </c>
      <c r="G240" s="86">
        <v>33.106890196360411</v>
      </c>
      <c r="H240" s="86">
        <v>33.64361328557635</v>
      </c>
      <c r="I240" s="86">
        <v>38.583978982845501</v>
      </c>
      <c r="K240" s="52">
        <v>7</v>
      </c>
      <c r="L240" s="85">
        <f t="shared" si="169"/>
        <v>0.95209210067083205</v>
      </c>
      <c r="M240" s="85">
        <f t="shared" si="170"/>
        <v>0</v>
      </c>
      <c r="N240" s="85">
        <f t="shared" si="171"/>
        <v>0.95424590658792141</v>
      </c>
      <c r="O240" s="85">
        <f t="shared" si="172"/>
        <v>0</v>
      </c>
      <c r="P240" s="85">
        <f t="shared" si="173"/>
        <v>0</v>
      </c>
      <c r="Q240" s="85">
        <f t="shared" si="174"/>
        <v>0</v>
      </c>
      <c r="R240" s="85">
        <f t="shared" si="175"/>
        <v>3.567760801027319</v>
      </c>
      <c r="T240" s="52">
        <v>7</v>
      </c>
      <c r="U240" s="87">
        <f>Annual_Days*L240*T_2!J14*CT15_AADT_2014</f>
        <v>121572.40678052104</v>
      </c>
      <c r="V240" s="87">
        <f>Annual_Days*M240*T_2!K14*CT15_AADT_2014</f>
        <v>0</v>
      </c>
      <c r="W240" s="87">
        <f>Annual_Days*N240*T_2!L14*CT15_AADT_2014</f>
        <v>106917.5040000021</v>
      </c>
      <c r="X240" s="87">
        <f>Annual_Days*O240*T_2!M14*CT15_AADT_2014</f>
        <v>0</v>
      </c>
      <c r="Y240" s="87">
        <f>Annual_Days*P240*T_2!N14*CT15_AADT_2014</f>
        <v>0</v>
      </c>
      <c r="Z240" s="87">
        <f>Annual_Days*Q240*T_2!O14*CT15_AADT_2014</f>
        <v>0</v>
      </c>
      <c r="AA240" s="87">
        <f>Annual_Days*R240*T_2!P14*CT15_AADT_2014</f>
        <v>86016.052728725437</v>
      </c>
      <c r="AB240" s="44">
        <f t="shared" si="176"/>
        <v>314505.96350924857</v>
      </c>
      <c r="AD240" s="52">
        <v>7</v>
      </c>
      <c r="AE240" s="87">
        <f>Annual_Days*T_2!B14*L240*CT15_AADT_2014</f>
        <v>16005.123787158891</v>
      </c>
      <c r="AF240" s="87">
        <f>Annual_Days*T_2!C14*M240*CT15_AADT_2014</f>
        <v>0</v>
      </c>
      <c r="AG240" s="87">
        <f>Annual_Days*T_2!D14*N240*CT15_AADT_2014</f>
        <v>19894.213322245712</v>
      </c>
      <c r="AH240" s="87">
        <f>Annual_Days*T_2!E14*O240*CT15_AADT_2014</f>
        <v>0</v>
      </c>
      <c r="AI240" s="87">
        <f>Annual_Days*T_2!F14*P240*CT15_AADT_2014</f>
        <v>0</v>
      </c>
      <c r="AJ240" s="87">
        <f>Annual_Days*T_2!G14*Q240*CT15_AADT_2014</f>
        <v>0</v>
      </c>
      <c r="AK240" s="87">
        <f>Annual_Days*T_2!H14*R240*CT15_AADT_2014</f>
        <v>11496.509462937536</v>
      </c>
      <c r="AL240" s="44">
        <f t="shared" si="177"/>
        <v>47395.84657234214</v>
      </c>
    </row>
    <row r="241" spans="1:38" x14ac:dyDescent="0.25">
      <c r="A241" s="210"/>
      <c r="B241" s="52">
        <v>8</v>
      </c>
      <c r="C241" s="86">
        <v>31.982113706341703</v>
      </c>
      <c r="D241" s="86">
        <v>32.178774345818525</v>
      </c>
      <c r="E241" s="86">
        <v>32.482328530833811</v>
      </c>
      <c r="F241" s="86">
        <v>33.406070976186484</v>
      </c>
      <c r="G241" s="86">
        <v>31.946667735921888</v>
      </c>
      <c r="H241" s="86">
        <v>32.079292718765743</v>
      </c>
      <c r="I241" s="86">
        <v>30.973575709428587</v>
      </c>
      <c r="K241" s="52">
        <v>8</v>
      </c>
      <c r="L241" s="85">
        <f t="shared" si="169"/>
        <v>0</v>
      </c>
      <c r="M241" s="85">
        <f t="shared" si="170"/>
        <v>0</v>
      </c>
      <c r="N241" s="85">
        <f t="shared" si="171"/>
        <v>0</v>
      </c>
      <c r="O241" s="85">
        <f t="shared" si="172"/>
        <v>0</v>
      </c>
      <c r="P241" s="85">
        <f t="shared" si="173"/>
        <v>0</v>
      </c>
      <c r="Q241" s="85">
        <f t="shared" si="174"/>
        <v>0</v>
      </c>
      <c r="R241" s="85">
        <f t="shared" si="175"/>
        <v>0</v>
      </c>
      <c r="T241" s="52">
        <v>8</v>
      </c>
      <c r="U241" s="87">
        <f>Annual_Days*L241*T_2!J15*CT15_AADT_2014</f>
        <v>0</v>
      </c>
      <c r="V241" s="87">
        <f>Annual_Days*M241*T_2!K15*CT15_AADT_2014</f>
        <v>0</v>
      </c>
      <c r="W241" s="87">
        <f>Annual_Days*N241*T_2!L15*CT15_AADT_2014</f>
        <v>0</v>
      </c>
      <c r="X241" s="87">
        <f>Annual_Days*O241*T_2!M15*CT15_AADT_2014</f>
        <v>0</v>
      </c>
      <c r="Y241" s="87">
        <f>Annual_Days*P241*T_2!N15*CT15_AADT_2014</f>
        <v>0</v>
      </c>
      <c r="Z241" s="87">
        <f>Annual_Days*Q241*T_2!O15*CT15_AADT_2014</f>
        <v>0</v>
      </c>
      <c r="AA241" s="87">
        <f>Annual_Days*R241*T_2!P15*CT15_AADT_2014</f>
        <v>0</v>
      </c>
      <c r="AB241" s="44">
        <f t="shared" si="176"/>
        <v>0</v>
      </c>
      <c r="AD241" s="52">
        <v>8</v>
      </c>
      <c r="AE241" s="87">
        <f>Annual_Days*T_2!B15*L241*CT15_AADT_2014</f>
        <v>0</v>
      </c>
      <c r="AF241" s="87">
        <f>Annual_Days*T_2!C15*M241*CT15_AADT_2014</f>
        <v>0</v>
      </c>
      <c r="AG241" s="87">
        <f>Annual_Days*T_2!D15*N241*CT15_AADT_2014</f>
        <v>0</v>
      </c>
      <c r="AH241" s="87">
        <f>Annual_Days*T_2!E15*O241*CT15_AADT_2014</f>
        <v>0</v>
      </c>
      <c r="AI241" s="87">
        <f>Annual_Days*T_2!F15*P241*CT15_AADT_2014</f>
        <v>0</v>
      </c>
      <c r="AJ241" s="87">
        <f>Annual_Days*T_2!G15*Q241*CT15_AADT_2014</f>
        <v>0</v>
      </c>
      <c r="AK241" s="87">
        <f>Annual_Days*T_2!H15*R241*CT15_AADT_2014</f>
        <v>0</v>
      </c>
      <c r="AL241" s="44">
        <f t="shared" si="177"/>
        <v>0</v>
      </c>
    </row>
    <row r="242" spans="1:38" x14ac:dyDescent="0.25">
      <c r="A242" s="210"/>
      <c r="B242" s="52">
        <v>9</v>
      </c>
      <c r="C242" s="86">
        <v>32.075747500959658</v>
      </c>
      <c r="D242" s="86">
        <v>31.936024195684546</v>
      </c>
      <c r="E242" s="86">
        <v>32.328117696712589</v>
      </c>
      <c r="F242" s="86">
        <v>32.296392657925686</v>
      </c>
      <c r="G242" s="86">
        <v>32.647436607211112</v>
      </c>
      <c r="H242" s="86">
        <v>31.73090138826403</v>
      </c>
      <c r="I242" s="86">
        <v>31.835432066592873</v>
      </c>
      <c r="K242" s="52">
        <v>9</v>
      </c>
      <c r="L242" s="85">
        <f t="shared" si="169"/>
        <v>0</v>
      </c>
      <c r="M242" s="85">
        <f t="shared" si="170"/>
        <v>0</v>
      </c>
      <c r="N242" s="85">
        <f t="shared" si="171"/>
        <v>0</v>
      </c>
      <c r="O242" s="85">
        <f t="shared" si="172"/>
        <v>0</v>
      </c>
      <c r="P242" s="85">
        <f t="shared" si="173"/>
        <v>0</v>
      </c>
      <c r="Q242" s="85">
        <f t="shared" si="174"/>
        <v>0</v>
      </c>
      <c r="R242" s="85">
        <f t="shared" si="175"/>
        <v>0</v>
      </c>
      <c r="T242" s="52">
        <v>9</v>
      </c>
      <c r="U242" s="87">
        <f>Annual_Days*L242*T_2!J16*CT15_AADT_2014</f>
        <v>0</v>
      </c>
      <c r="V242" s="87">
        <f>Annual_Days*M242*T_2!K16*CT15_AADT_2014</f>
        <v>0</v>
      </c>
      <c r="W242" s="87">
        <f>Annual_Days*N242*T_2!L16*CT15_AADT_2014</f>
        <v>0</v>
      </c>
      <c r="X242" s="87">
        <f>Annual_Days*O242*T_2!M16*CT15_AADT_2014</f>
        <v>0</v>
      </c>
      <c r="Y242" s="87">
        <f>Annual_Days*P242*T_2!N16*CT15_AADT_2014</f>
        <v>0</v>
      </c>
      <c r="Z242" s="87">
        <f>Annual_Days*Q242*T_2!O16*CT15_AADT_2014</f>
        <v>0</v>
      </c>
      <c r="AA242" s="87">
        <f>Annual_Days*R242*T_2!P16*CT15_AADT_2014</f>
        <v>0</v>
      </c>
      <c r="AB242" s="44">
        <f t="shared" si="176"/>
        <v>0</v>
      </c>
      <c r="AD242" s="52">
        <v>9</v>
      </c>
      <c r="AE242" s="87">
        <f>Annual_Days*T_2!B16*L242*CT15_AADT_2014</f>
        <v>0</v>
      </c>
      <c r="AF242" s="87">
        <f>Annual_Days*T_2!C16*M242*CT15_AADT_2014</f>
        <v>0</v>
      </c>
      <c r="AG242" s="87">
        <f>Annual_Days*T_2!D16*N242*CT15_AADT_2014</f>
        <v>0</v>
      </c>
      <c r="AH242" s="87">
        <f>Annual_Days*T_2!E16*O242*CT15_AADT_2014</f>
        <v>0</v>
      </c>
      <c r="AI242" s="87">
        <f>Annual_Days*T_2!F16*P242*CT15_AADT_2014</f>
        <v>0</v>
      </c>
      <c r="AJ242" s="87">
        <f>Annual_Days*T_2!G16*Q242*CT15_AADT_2014</f>
        <v>0</v>
      </c>
      <c r="AK242" s="87">
        <f>Annual_Days*T_2!H16*R242*CT15_AADT_2014</f>
        <v>0</v>
      </c>
      <c r="AL242" s="44">
        <f t="shared" si="177"/>
        <v>0</v>
      </c>
    </row>
    <row r="243" spans="1:38" x14ac:dyDescent="0.25">
      <c r="A243" s="210"/>
      <c r="B243" s="52">
        <v>10</v>
      </c>
      <c r="C243" s="86">
        <v>31.713543137683512</v>
      </c>
      <c r="D243" s="86">
        <v>32.22167094617582</v>
      </c>
      <c r="E243" s="86">
        <v>33.582889689437287</v>
      </c>
      <c r="F243" s="86">
        <v>32.863050996220423</v>
      </c>
      <c r="G243" s="86">
        <v>31.997957862886455</v>
      </c>
      <c r="H243" s="86">
        <v>31.215359572081898</v>
      </c>
      <c r="I243" s="86">
        <v>30.810235168503347</v>
      </c>
      <c r="K243" s="52">
        <v>10</v>
      </c>
      <c r="L243" s="85">
        <f t="shared" si="169"/>
        <v>0</v>
      </c>
      <c r="M243" s="85">
        <f t="shared" si="170"/>
        <v>0</v>
      </c>
      <c r="N243" s="85">
        <f t="shared" si="171"/>
        <v>0</v>
      </c>
      <c r="O243" s="85">
        <f t="shared" si="172"/>
        <v>0</v>
      </c>
      <c r="P243" s="85">
        <f t="shared" si="173"/>
        <v>0</v>
      </c>
      <c r="Q243" s="85">
        <f t="shared" si="174"/>
        <v>0</v>
      </c>
      <c r="R243" s="85">
        <f t="shared" si="175"/>
        <v>0</v>
      </c>
      <c r="T243" s="52">
        <v>10</v>
      </c>
      <c r="U243" s="87">
        <f>Annual_Days*L243*T_2!J17*CT15_AADT_2014</f>
        <v>0</v>
      </c>
      <c r="V243" s="87">
        <f>Annual_Days*M243*T_2!K17*CT15_AADT_2014</f>
        <v>0</v>
      </c>
      <c r="W243" s="87">
        <f>Annual_Days*N243*T_2!L17*CT15_AADT_2014</f>
        <v>0</v>
      </c>
      <c r="X243" s="87">
        <f>Annual_Days*O243*T_2!M17*CT15_AADT_2014</f>
        <v>0</v>
      </c>
      <c r="Y243" s="87">
        <f>Annual_Days*P243*T_2!N17*CT15_AADT_2014</f>
        <v>0</v>
      </c>
      <c r="Z243" s="87">
        <f>Annual_Days*Q243*T_2!O17*CT15_AADT_2014</f>
        <v>0</v>
      </c>
      <c r="AA243" s="87">
        <f>Annual_Days*R243*T_2!P17*CT15_AADT_2014</f>
        <v>0</v>
      </c>
      <c r="AB243" s="44">
        <f t="shared" si="176"/>
        <v>0</v>
      </c>
      <c r="AD243" s="52">
        <v>10</v>
      </c>
      <c r="AE243" s="87">
        <f>Annual_Days*T_2!B17*L243*CT15_AADT_2014</f>
        <v>0</v>
      </c>
      <c r="AF243" s="87">
        <f>Annual_Days*T_2!C17*M243*CT15_AADT_2014</f>
        <v>0</v>
      </c>
      <c r="AG243" s="87">
        <f>Annual_Days*T_2!D17*N243*CT15_AADT_2014</f>
        <v>0</v>
      </c>
      <c r="AH243" s="87">
        <f>Annual_Days*T_2!E17*O243*CT15_AADT_2014</f>
        <v>0</v>
      </c>
      <c r="AI243" s="87">
        <f>Annual_Days*T_2!F17*P243*CT15_AADT_2014</f>
        <v>0</v>
      </c>
      <c r="AJ243" s="87">
        <f>Annual_Days*T_2!G17*Q243*CT15_AADT_2014</f>
        <v>0</v>
      </c>
      <c r="AK243" s="87">
        <f>Annual_Days*T_2!H17*R243*CT15_AADT_2014</f>
        <v>0</v>
      </c>
      <c r="AL243" s="44">
        <f t="shared" si="177"/>
        <v>0</v>
      </c>
    </row>
    <row r="244" spans="1:38" x14ac:dyDescent="0.25">
      <c r="A244" s="210"/>
      <c r="B244" s="52">
        <v>11</v>
      </c>
      <c r="C244" s="86">
        <v>31.478031601448265</v>
      </c>
      <c r="D244" s="86">
        <v>32.531586919424626</v>
      </c>
      <c r="E244" s="86">
        <v>32.645762383340205</v>
      </c>
      <c r="F244" s="86">
        <v>32.480582451853373</v>
      </c>
      <c r="G244" s="86">
        <v>31.987705400180097</v>
      </c>
      <c r="H244" s="86">
        <v>32.869882559569</v>
      </c>
      <c r="I244" s="86">
        <v>31.076432726613127</v>
      </c>
      <c r="K244" s="52">
        <v>11</v>
      </c>
      <c r="L244" s="85">
        <f t="shared" si="169"/>
        <v>0</v>
      </c>
      <c r="M244" s="85">
        <f t="shared" si="170"/>
        <v>0</v>
      </c>
      <c r="N244" s="85">
        <f t="shared" si="171"/>
        <v>0</v>
      </c>
      <c r="O244" s="85">
        <f t="shared" si="172"/>
        <v>0</v>
      </c>
      <c r="P244" s="85">
        <f t="shared" si="173"/>
        <v>0</v>
      </c>
      <c r="Q244" s="85">
        <f t="shared" si="174"/>
        <v>0</v>
      </c>
      <c r="R244" s="85">
        <f t="shared" si="175"/>
        <v>0</v>
      </c>
      <c r="T244" s="52">
        <v>11</v>
      </c>
      <c r="U244" s="87">
        <f>Annual_Days*L244*T_2!J18*CT15_AADT_2014</f>
        <v>0</v>
      </c>
      <c r="V244" s="87">
        <f>Annual_Days*M244*T_2!K18*CT15_AADT_2014</f>
        <v>0</v>
      </c>
      <c r="W244" s="87">
        <f>Annual_Days*N244*T_2!L18*CT15_AADT_2014</f>
        <v>0</v>
      </c>
      <c r="X244" s="87">
        <f>Annual_Days*O244*T_2!M18*CT15_AADT_2014</f>
        <v>0</v>
      </c>
      <c r="Y244" s="87">
        <f>Annual_Days*P244*T_2!N18*CT15_AADT_2014</f>
        <v>0</v>
      </c>
      <c r="Z244" s="87">
        <f>Annual_Days*Q244*T_2!O18*CT15_AADT_2014</f>
        <v>0</v>
      </c>
      <c r="AA244" s="87">
        <f>Annual_Days*R244*T_2!P18*CT15_AADT_2014</f>
        <v>0</v>
      </c>
      <c r="AB244" s="44">
        <f t="shared" si="176"/>
        <v>0</v>
      </c>
      <c r="AD244" s="52">
        <v>11</v>
      </c>
      <c r="AE244" s="87">
        <f>Annual_Days*T_2!B18*L244*CT15_AADT_2014</f>
        <v>0</v>
      </c>
      <c r="AF244" s="87">
        <f>Annual_Days*T_2!C18*M244*CT15_AADT_2014</f>
        <v>0</v>
      </c>
      <c r="AG244" s="87">
        <f>Annual_Days*T_2!D18*N244*CT15_AADT_2014</f>
        <v>0</v>
      </c>
      <c r="AH244" s="87">
        <f>Annual_Days*T_2!E18*O244*CT15_AADT_2014</f>
        <v>0</v>
      </c>
      <c r="AI244" s="87">
        <f>Annual_Days*T_2!F18*P244*CT15_AADT_2014</f>
        <v>0</v>
      </c>
      <c r="AJ244" s="87">
        <f>Annual_Days*T_2!G18*Q244*CT15_AADT_2014</f>
        <v>0</v>
      </c>
      <c r="AK244" s="87">
        <f>Annual_Days*T_2!H18*R244*CT15_AADT_2014</f>
        <v>0</v>
      </c>
      <c r="AL244" s="44">
        <f t="shared" si="177"/>
        <v>0</v>
      </c>
    </row>
    <row r="245" spans="1:38" x14ac:dyDescent="0.25">
      <c r="A245" s="210"/>
      <c r="B245" s="52">
        <v>12</v>
      </c>
      <c r="C245" s="86">
        <v>31.960144087677023</v>
      </c>
      <c r="D245" s="86">
        <v>32.663394382467132</v>
      </c>
      <c r="E245" s="86">
        <v>34.578481717487186</v>
      </c>
      <c r="F245" s="86">
        <v>32.673861928611565</v>
      </c>
      <c r="G245" s="86">
        <v>32.648194844107394</v>
      </c>
      <c r="H245" s="86">
        <v>33.216022996083538</v>
      </c>
      <c r="I245" s="86">
        <v>31.622477973472485</v>
      </c>
      <c r="K245" s="52">
        <v>12</v>
      </c>
      <c r="L245" s="85">
        <f t="shared" si="169"/>
        <v>0</v>
      </c>
      <c r="M245" s="85">
        <f t="shared" si="170"/>
        <v>0</v>
      </c>
      <c r="N245" s="85">
        <f t="shared" si="171"/>
        <v>0</v>
      </c>
      <c r="O245" s="85">
        <f t="shared" si="172"/>
        <v>0</v>
      </c>
      <c r="P245" s="85">
        <f t="shared" si="173"/>
        <v>0</v>
      </c>
      <c r="Q245" s="85">
        <f t="shared" si="174"/>
        <v>0</v>
      </c>
      <c r="R245" s="85">
        <f t="shared" si="175"/>
        <v>0</v>
      </c>
      <c r="T245" s="52">
        <v>12</v>
      </c>
      <c r="U245" s="87">
        <f>Annual_Days*L245*T_2!J19*CT15_AADT_2014</f>
        <v>0</v>
      </c>
      <c r="V245" s="87">
        <f>Annual_Days*M245*T_2!K19*CT15_AADT_2014</f>
        <v>0</v>
      </c>
      <c r="W245" s="87">
        <f>Annual_Days*N245*T_2!L19*CT15_AADT_2014</f>
        <v>0</v>
      </c>
      <c r="X245" s="87">
        <f>Annual_Days*O245*T_2!M19*CT15_AADT_2014</f>
        <v>0</v>
      </c>
      <c r="Y245" s="87">
        <f>Annual_Days*P245*T_2!N19*CT15_AADT_2014</f>
        <v>0</v>
      </c>
      <c r="Z245" s="87">
        <f>Annual_Days*Q245*T_2!O19*CT15_AADT_2014</f>
        <v>0</v>
      </c>
      <c r="AA245" s="87">
        <f>Annual_Days*R245*T_2!P19*CT15_AADT_2014</f>
        <v>0</v>
      </c>
      <c r="AB245" s="44">
        <f t="shared" si="176"/>
        <v>0</v>
      </c>
      <c r="AD245" s="52">
        <v>12</v>
      </c>
      <c r="AE245" s="87">
        <f>Annual_Days*T_2!B19*L245*CT15_AADT_2014</f>
        <v>0</v>
      </c>
      <c r="AF245" s="87">
        <f>Annual_Days*T_2!C19*M245*CT15_AADT_2014</f>
        <v>0</v>
      </c>
      <c r="AG245" s="87">
        <f>Annual_Days*T_2!D19*N245*CT15_AADT_2014</f>
        <v>0</v>
      </c>
      <c r="AH245" s="87">
        <f>Annual_Days*T_2!E19*O245*CT15_AADT_2014</f>
        <v>0</v>
      </c>
      <c r="AI245" s="87">
        <f>Annual_Days*T_2!F19*P245*CT15_AADT_2014</f>
        <v>0</v>
      </c>
      <c r="AJ245" s="87">
        <f>Annual_Days*T_2!G19*Q245*CT15_AADT_2014</f>
        <v>0</v>
      </c>
      <c r="AK245" s="87">
        <f>Annual_Days*T_2!H19*R245*CT15_AADT_2014</f>
        <v>0</v>
      </c>
      <c r="AL245" s="44">
        <f t="shared" si="177"/>
        <v>0</v>
      </c>
    </row>
    <row r="246" spans="1:38" x14ac:dyDescent="0.25">
      <c r="A246" s="210"/>
      <c r="B246" s="52">
        <v>13</v>
      </c>
      <c r="C246" s="86">
        <v>33.215971398706714</v>
      </c>
      <c r="D246" s="86">
        <v>32.852669687990044</v>
      </c>
      <c r="E246" s="86">
        <v>33.338596915731522</v>
      </c>
      <c r="F246" s="86">
        <v>32.857876678737888</v>
      </c>
      <c r="G246" s="86">
        <v>33.160431154247377</v>
      </c>
      <c r="H246" s="86">
        <v>31.574299708537197</v>
      </c>
      <c r="I246" s="86">
        <v>31.404596293863491</v>
      </c>
      <c r="K246" s="52">
        <v>13</v>
      </c>
      <c r="L246" s="85">
        <f t="shared" si="169"/>
        <v>0</v>
      </c>
      <c r="M246" s="85">
        <f t="shared" si="170"/>
        <v>0</v>
      </c>
      <c r="N246" s="85">
        <f t="shared" si="171"/>
        <v>0</v>
      </c>
      <c r="O246" s="85">
        <f t="shared" si="172"/>
        <v>0</v>
      </c>
      <c r="P246" s="85">
        <f t="shared" si="173"/>
        <v>0</v>
      </c>
      <c r="Q246" s="85">
        <f t="shared" si="174"/>
        <v>0</v>
      </c>
      <c r="R246" s="85">
        <f t="shared" si="175"/>
        <v>0</v>
      </c>
      <c r="T246" s="52">
        <v>13</v>
      </c>
      <c r="U246" s="87">
        <f>Annual_Days*L246*T_2!J20*CT15_AADT_2014</f>
        <v>0</v>
      </c>
      <c r="V246" s="87">
        <f>Annual_Days*M246*T_2!K20*CT15_AADT_2014</f>
        <v>0</v>
      </c>
      <c r="W246" s="87">
        <f>Annual_Days*N246*T_2!L20*CT15_AADT_2014</f>
        <v>0</v>
      </c>
      <c r="X246" s="87">
        <f>Annual_Days*O246*T_2!M20*CT15_AADT_2014</f>
        <v>0</v>
      </c>
      <c r="Y246" s="87">
        <f>Annual_Days*P246*T_2!N20*CT15_AADT_2014</f>
        <v>0</v>
      </c>
      <c r="Z246" s="87">
        <f>Annual_Days*Q246*T_2!O20*CT15_AADT_2014</f>
        <v>0</v>
      </c>
      <c r="AA246" s="87">
        <f>Annual_Days*R246*T_2!P20*CT15_AADT_2014</f>
        <v>0</v>
      </c>
      <c r="AB246" s="44">
        <f t="shared" si="176"/>
        <v>0</v>
      </c>
      <c r="AD246" s="52">
        <v>13</v>
      </c>
      <c r="AE246" s="87">
        <f>Annual_Days*T_2!B20*L246*CT15_AADT_2014</f>
        <v>0</v>
      </c>
      <c r="AF246" s="87">
        <f>Annual_Days*T_2!C20*M246*CT15_AADT_2014</f>
        <v>0</v>
      </c>
      <c r="AG246" s="87">
        <f>Annual_Days*T_2!D20*N246*CT15_AADT_2014</f>
        <v>0</v>
      </c>
      <c r="AH246" s="87">
        <f>Annual_Days*T_2!E20*O246*CT15_AADT_2014</f>
        <v>0</v>
      </c>
      <c r="AI246" s="87">
        <f>Annual_Days*T_2!F20*P246*CT15_AADT_2014</f>
        <v>0</v>
      </c>
      <c r="AJ246" s="87">
        <f>Annual_Days*T_2!G20*Q246*CT15_AADT_2014</f>
        <v>0</v>
      </c>
      <c r="AK246" s="87">
        <f>Annual_Days*T_2!H20*R246*CT15_AADT_2014</f>
        <v>0</v>
      </c>
      <c r="AL246" s="44">
        <f t="shared" si="177"/>
        <v>0</v>
      </c>
    </row>
    <row r="247" spans="1:38" x14ac:dyDescent="0.25">
      <c r="A247" s="210"/>
      <c r="B247" s="52">
        <v>14</v>
      </c>
      <c r="C247" s="86">
        <v>32.133354197841257</v>
      </c>
      <c r="D247" s="86">
        <v>34.237588799878857</v>
      </c>
      <c r="E247" s="86">
        <v>35.254028929522562</v>
      </c>
      <c r="F247" s="86">
        <v>32.521649000530871</v>
      </c>
      <c r="G247" s="86">
        <v>32.553908271447824</v>
      </c>
      <c r="H247" s="86">
        <v>31.557592051166793</v>
      </c>
      <c r="I247" s="86">
        <v>31.614278847804069</v>
      </c>
      <c r="K247" s="52">
        <v>14</v>
      </c>
      <c r="L247" s="85">
        <f t="shared" si="169"/>
        <v>0</v>
      </c>
      <c r="M247" s="85">
        <f t="shared" si="170"/>
        <v>0</v>
      </c>
      <c r="N247" s="85">
        <f t="shared" si="171"/>
        <v>0.23781074770437982</v>
      </c>
      <c r="O247" s="85">
        <f t="shared" si="172"/>
        <v>0</v>
      </c>
      <c r="P247" s="85">
        <f t="shared" si="173"/>
        <v>0</v>
      </c>
      <c r="Q247" s="85">
        <f t="shared" si="174"/>
        <v>0</v>
      </c>
      <c r="R247" s="85">
        <f t="shared" si="175"/>
        <v>0</v>
      </c>
      <c r="T247" s="52">
        <v>14</v>
      </c>
      <c r="U247" s="87">
        <f>Annual_Days*L247*T_2!J21*CT15_AADT_2014</f>
        <v>0</v>
      </c>
      <c r="V247" s="87">
        <f>Annual_Days*M247*T_2!K21*CT15_AADT_2014</f>
        <v>0</v>
      </c>
      <c r="W247" s="87">
        <f>Annual_Days*N247*T_2!L21*CT15_AADT_2014</f>
        <v>23099.945906613855</v>
      </c>
      <c r="X247" s="87">
        <f>Annual_Days*O247*T_2!M21*CT15_AADT_2014</f>
        <v>0</v>
      </c>
      <c r="Y247" s="87">
        <f>Annual_Days*P247*T_2!N21*CT15_AADT_2014</f>
        <v>0</v>
      </c>
      <c r="Z247" s="87">
        <f>Annual_Days*Q247*T_2!O21*CT15_AADT_2014</f>
        <v>0</v>
      </c>
      <c r="AA247" s="87">
        <f>Annual_Days*R247*T_2!P21*CT15_AADT_2014</f>
        <v>0</v>
      </c>
      <c r="AB247" s="44">
        <f t="shared" si="176"/>
        <v>23099.945906613855</v>
      </c>
      <c r="AD247" s="52">
        <v>14</v>
      </c>
      <c r="AE247" s="87">
        <f>Annual_Days*T_2!B21*L247*CT15_AADT_2014</f>
        <v>0</v>
      </c>
      <c r="AF247" s="87">
        <f>Annual_Days*T_2!C21*M247*CT15_AADT_2014</f>
        <v>0</v>
      </c>
      <c r="AG247" s="87">
        <f>Annual_Days*T_2!D21*N247*CT15_AADT_2014</f>
        <v>4339.3183757428105</v>
      </c>
      <c r="AH247" s="87">
        <f>Annual_Days*T_2!E21*O247*CT15_AADT_2014</f>
        <v>0</v>
      </c>
      <c r="AI247" s="87">
        <f>Annual_Days*T_2!F21*P247*CT15_AADT_2014</f>
        <v>0</v>
      </c>
      <c r="AJ247" s="87">
        <f>Annual_Days*T_2!G21*Q247*CT15_AADT_2014</f>
        <v>0</v>
      </c>
      <c r="AK247" s="87">
        <f>Annual_Days*T_2!H21*R247*CT15_AADT_2014</f>
        <v>0</v>
      </c>
      <c r="AL247" s="44">
        <f t="shared" si="177"/>
        <v>4339.3183757428105</v>
      </c>
    </row>
    <row r="248" spans="1:38" x14ac:dyDescent="0.25">
      <c r="A248" s="210"/>
      <c r="B248" s="52">
        <v>15</v>
      </c>
      <c r="C248" s="86">
        <v>33.171278794030449</v>
      </c>
      <c r="D248" s="86">
        <v>37.101364822503811</v>
      </c>
      <c r="E248" s="86">
        <v>34.117251700549922</v>
      </c>
      <c r="F248" s="86">
        <v>32.917054748095289</v>
      </c>
      <c r="G248" s="86">
        <v>33.556630344973819</v>
      </c>
      <c r="H248" s="86">
        <v>34.090611871383437</v>
      </c>
      <c r="I248" s="86">
        <v>31.714811563357401</v>
      </c>
      <c r="K248" s="52">
        <v>15</v>
      </c>
      <c r="L248" s="85">
        <f t="shared" si="169"/>
        <v>0</v>
      </c>
      <c r="M248" s="85">
        <f t="shared" si="170"/>
        <v>2.0851466406856289</v>
      </c>
      <c r="N248" s="85">
        <f t="shared" si="171"/>
        <v>0</v>
      </c>
      <c r="O248" s="85">
        <f t="shared" si="172"/>
        <v>0</v>
      </c>
      <c r="P248" s="85">
        <f t="shared" si="173"/>
        <v>0</v>
      </c>
      <c r="Q248" s="85">
        <f t="shared" si="174"/>
        <v>0</v>
      </c>
      <c r="R248" s="85">
        <f t="shared" si="175"/>
        <v>0</v>
      </c>
      <c r="T248" s="52">
        <v>15</v>
      </c>
      <c r="U248" s="87">
        <f>Annual_Days*L248*T_2!J22*CT15_AADT_2014</f>
        <v>0</v>
      </c>
      <c r="V248" s="87">
        <f>Annual_Days*M248*T_2!K22*CT15_AADT_2014</f>
        <v>202866.27205911806</v>
      </c>
      <c r="W248" s="87">
        <f>Annual_Days*N248*T_2!L22*CT15_AADT_2014</f>
        <v>0</v>
      </c>
      <c r="X248" s="87">
        <f>Annual_Days*O248*T_2!M22*CT15_AADT_2014</f>
        <v>0</v>
      </c>
      <c r="Y248" s="87">
        <f>Annual_Days*P248*T_2!N22*CT15_AADT_2014</f>
        <v>0</v>
      </c>
      <c r="Z248" s="87">
        <f>Annual_Days*Q248*T_2!O22*CT15_AADT_2014</f>
        <v>0</v>
      </c>
      <c r="AA248" s="87">
        <f>Annual_Days*R248*T_2!P22*CT15_AADT_2014</f>
        <v>0</v>
      </c>
      <c r="AB248" s="44">
        <f t="shared" si="176"/>
        <v>202866.27205911806</v>
      </c>
      <c r="AD248" s="52">
        <v>15</v>
      </c>
      <c r="AE248" s="87">
        <f>Annual_Days*T_2!B22*L248*CT15_AADT_2014</f>
        <v>0</v>
      </c>
      <c r="AF248" s="87">
        <f>Annual_Days*T_2!C22*M248*CT15_AADT_2014</f>
        <v>36266.596122300434</v>
      </c>
      <c r="AG248" s="87">
        <f>Annual_Days*T_2!D22*N248*CT15_AADT_2014</f>
        <v>0</v>
      </c>
      <c r="AH248" s="87">
        <f>Annual_Days*T_2!E22*O248*CT15_AADT_2014</f>
        <v>0</v>
      </c>
      <c r="AI248" s="87">
        <f>Annual_Days*T_2!F22*P248*CT15_AADT_2014</f>
        <v>0</v>
      </c>
      <c r="AJ248" s="87">
        <f>Annual_Days*T_2!G22*Q248*CT15_AADT_2014</f>
        <v>0</v>
      </c>
      <c r="AK248" s="87">
        <f>Annual_Days*T_2!H22*R248*CT15_AADT_2014</f>
        <v>0</v>
      </c>
      <c r="AL248" s="44">
        <f t="shared" si="177"/>
        <v>36266.596122300434</v>
      </c>
    </row>
    <row r="249" spans="1:38" x14ac:dyDescent="0.25">
      <c r="A249" s="210"/>
      <c r="B249" s="52">
        <v>16</v>
      </c>
      <c r="C249" s="86">
        <v>33.200140354520677</v>
      </c>
      <c r="D249" s="86">
        <v>32.982083955788255</v>
      </c>
      <c r="E249" s="86">
        <v>33.815023018571978</v>
      </c>
      <c r="F249" s="86">
        <v>34.386200527874919</v>
      </c>
      <c r="G249" s="86">
        <v>38.379385209785212</v>
      </c>
      <c r="H249" s="86">
        <v>39.277236905808657</v>
      </c>
      <c r="I249" s="86">
        <v>31.661133170731109</v>
      </c>
      <c r="K249" s="52">
        <v>16</v>
      </c>
      <c r="L249" s="85">
        <f t="shared" si="169"/>
        <v>0</v>
      </c>
      <c r="M249" s="85">
        <f t="shared" si="170"/>
        <v>0</v>
      </c>
      <c r="N249" s="85">
        <f t="shared" si="171"/>
        <v>0</v>
      </c>
      <c r="O249" s="85">
        <f t="shared" si="172"/>
        <v>0</v>
      </c>
      <c r="P249" s="85">
        <f t="shared" si="173"/>
        <v>3.3631670279670303</v>
      </c>
      <c r="Q249" s="85">
        <f t="shared" si="174"/>
        <v>4.2610187239904747</v>
      </c>
      <c r="R249" s="85">
        <f t="shared" si="175"/>
        <v>0</v>
      </c>
      <c r="T249" s="52">
        <v>16</v>
      </c>
      <c r="U249" s="87">
        <f>Annual_Days*L249*T_2!J23*CT15_AADT_2014</f>
        <v>0</v>
      </c>
      <c r="V249" s="87">
        <f>Annual_Days*M249*T_2!K23*CT15_AADT_2014</f>
        <v>0</v>
      </c>
      <c r="W249" s="87">
        <f>Annual_Days*N249*T_2!L23*CT15_AADT_2014</f>
        <v>0</v>
      </c>
      <c r="X249" s="87">
        <f>Annual_Days*O249*T_2!M23*CT15_AADT_2014</f>
        <v>0</v>
      </c>
      <c r="Y249" s="87">
        <f>Annual_Days*P249*T_2!N23*CT15_AADT_2014</f>
        <v>447982.79375508014</v>
      </c>
      <c r="Z249" s="87">
        <f>Annual_Days*Q249*T_2!O23*CT15_AADT_2014</f>
        <v>428620.59491343447</v>
      </c>
      <c r="AA249" s="87">
        <f>Annual_Days*R249*T_2!P23*CT15_AADT_2014</f>
        <v>0</v>
      </c>
      <c r="AB249" s="44">
        <f t="shared" si="176"/>
        <v>876603.38866851456</v>
      </c>
      <c r="AD249" s="52">
        <v>16</v>
      </c>
      <c r="AE249" s="87">
        <f>Annual_Days*T_2!B23*L249*CT15_AADT_2014</f>
        <v>0</v>
      </c>
      <c r="AF249" s="87">
        <f>Annual_Days*T_2!C23*M249*CT15_AADT_2014</f>
        <v>0</v>
      </c>
      <c r="AG249" s="87">
        <f>Annual_Days*T_2!D23*N249*CT15_AADT_2014</f>
        <v>0</v>
      </c>
      <c r="AH249" s="87">
        <f>Annual_Days*T_2!E23*O249*CT15_AADT_2014</f>
        <v>0</v>
      </c>
      <c r="AI249" s="87">
        <f>Annual_Days*T_2!F23*P249*CT15_AADT_2014</f>
        <v>66067.995814651877</v>
      </c>
      <c r="AJ249" s="87">
        <f>Annual_Days*T_2!G23*Q249*CT15_AADT_2014</f>
        <v>30934.793997997778</v>
      </c>
      <c r="AK249" s="87">
        <f>Annual_Days*T_2!H23*R249*CT15_AADT_2014</f>
        <v>0</v>
      </c>
      <c r="AL249" s="44">
        <f t="shared" si="177"/>
        <v>97002.789812649658</v>
      </c>
    </row>
    <row r="250" spans="1:38" x14ac:dyDescent="0.25">
      <c r="A250" s="210"/>
      <c r="B250" s="52">
        <v>17</v>
      </c>
      <c r="C250" s="86">
        <v>33.727403498213775</v>
      </c>
      <c r="D250" s="86">
        <v>36.21653251001247</v>
      </c>
      <c r="E250" s="86">
        <v>36.809949017766101</v>
      </c>
      <c r="F250" s="86">
        <v>36.957821523548091</v>
      </c>
      <c r="G250" s="86">
        <v>40.70134015162413</v>
      </c>
      <c r="H250" s="86">
        <v>32.835296885573904</v>
      </c>
      <c r="I250" s="86">
        <v>34.211376333513101</v>
      </c>
      <c r="K250" s="52">
        <v>17</v>
      </c>
      <c r="L250" s="85">
        <f t="shared" si="169"/>
        <v>0</v>
      </c>
      <c r="M250" s="85">
        <f t="shared" si="170"/>
        <v>1.2003143281942883</v>
      </c>
      <c r="N250" s="85">
        <f t="shared" si="171"/>
        <v>1.7937308359479189</v>
      </c>
      <c r="O250" s="85">
        <f t="shared" si="172"/>
        <v>1.941603341729909</v>
      </c>
      <c r="P250" s="85">
        <f t="shared" si="173"/>
        <v>5.6851219698059481</v>
      </c>
      <c r="Q250" s="85">
        <f t="shared" si="174"/>
        <v>0</v>
      </c>
      <c r="R250" s="85">
        <f t="shared" si="175"/>
        <v>0</v>
      </c>
      <c r="T250" s="52">
        <v>17</v>
      </c>
      <c r="U250" s="87">
        <f>Annual_Days*L250*T_2!J24*CT15_AADT_2014</f>
        <v>0</v>
      </c>
      <c r="V250" s="87">
        <f>Annual_Days*M250*T_2!K24*CT15_AADT_2014</f>
        <v>157042.4530109218</v>
      </c>
      <c r="W250" s="87">
        <f>Annual_Days*N250*T_2!L24*CT15_AADT_2014</f>
        <v>223469.96984678236</v>
      </c>
      <c r="X250" s="87">
        <f>Annual_Days*O250*T_2!M24*CT15_AADT_2014</f>
        <v>221238.54597659779</v>
      </c>
      <c r="Y250" s="87">
        <f>Annual_Days*P250*T_2!N24*CT15_AADT_2014</f>
        <v>761466.95426077128</v>
      </c>
      <c r="Z250" s="87">
        <f>Annual_Days*Q250*T_2!O24*CT15_AADT_2014</f>
        <v>0</v>
      </c>
      <c r="AA250" s="87">
        <f>Annual_Days*R250*T_2!P24*CT15_AADT_2014</f>
        <v>0</v>
      </c>
      <c r="AB250" s="44">
        <f t="shared" si="176"/>
        <v>1363217.9230950731</v>
      </c>
      <c r="AD250" s="52">
        <v>17</v>
      </c>
      <c r="AE250" s="87">
        <f>Annual_Days*T_2!B24*L250*CT15_AADT_2014</f>
        <v>0</v>
      </c>
      <c r="AF250" s="87">
        <f>Annual_Days*T_2!C24*M250*CT15_AADT_2014</f>
        <v>19106.055114088405</v>
      </c>
      <c r="AG250" s="87">
        <f>Annual_Days*T_2!D24*N250*CT15_AADT_2014</f>
        <v>31476.605288484145</v>
      </c>
      <c r="AH250" s="87">
        <f>Annual_Days*T_2!E24*O250*CT15_AADT_2014</f>
        <v>29548.725731797731</v>
      </c>
      <c r="AI250" s="87">
        <f>Annual_Days*T_2!F24*P250*CT15_AADT_2014</f>
        <v>87623.87850479022</v>
      </c>
      <c r="AJ250" s="87">
        <f>Annual_Days*T_2!G24*Q250*CT15_AADT_2014</f>
        <v>0</v>
      </c>
      <c r="AK250" s="87">
        <f>Annual_Days*T_2!H24*R250*CT15_AADT_2014</f>
        <v>0</v>
      </c>
      <c r="AL250" s="44">
        <f t="shared" si="177"/>
        <v>167755.26463916051</v>
      </c>
    </row>
    <row r="251" spans="1:38" x14ac:dyDescent="0.25">
      <c r="A251" s="210"/>
      <c r="B251" s="52">
        <v>18</v>
      </c>
      <c r="C251" s="86">
        <v>32.330934794409998</v>
      </c>
      <c r="D251" s="86">
        <v>32.793868581562819</v>
      </c>
      <c r="E251" s="86">
        <v>32.803854736863848</v>
      </c>
      <c r="F251" s="86">
        <v>36.215583895370308</v>
      </c>
      <c r="G251" s="86">
        <v>36.359336309248292</v>
      </c>
      <c r="H251" s="86">
        <v>31.843799420381874</v>
      </c>
      <c r="I251" s="86">
        <v>32.050141345109218</v>
      </c>
      <c r="K251" s="52">
        <v>18</v>
      </c>
      <c r="L251" s="85">
        <f t="shared" si="169"/>
        <v>0</v>
      </c>
      <c r="M251" s="85">
        <f t="shared" si="170"/>
        <v>0</v>
      </c>
      <c r="N251" s="85">
        <f t="shared" si="171"/>
        <v>0</v>
      </c>
      <c r="O251" s="85">
        <f t="shared" si="172"/>
        <v>1.1993657135521261</v>
      </c>
      <c r="P251" s="85">
        <f t="shared" si="173"/>
        <v>1.3431181274301096</v>
      </c>
      <c r="Q251" s="85">
        <f t="shared" si="174"/>
        <v>0</v>
      </c>
      <c r="R251" s="85">
        <f t="shared" si="175"/>
        <v>0</v>
      </c>
      <c r="T251" s="52">
        <v>18</v>
      </c>
      <c r="U251" s="87">
        <f>Annual_Days*L251*T_2!J25*CT15_AADT_2014</f>
        <v>0</v>
      </c>
      <c r="V251" s="87">
        <f>Annual_Days*M251*T_2!K25*CT15_AADT_2014</f>
        <v>0</v>
      </c>
      <c r="W251" s="87">
        <f>Annual_Days*N251*T_2!L25*CT15_AADT_2014</f>
        <v>0</v>
      </c>
      <c r="X251" s="87">
        <f>Annual_Days*O251*T_2!M25*CT15_AADT_2014</f>
        <v>147419.42710169576</v>
      </c>
      <c r="Y251" s="87">
        <f>Annual_Days*P251*T_2!N25*CT15_AADT_2014</f>
        <v>176716.84878960077</v>
      </c>
      <c r="Z251" s="87">
        <f>Annual_Days*Q251*T_2!O25*CT15_AADT_2014</f>
        <v>0</v>
      </c>
      <c r="AA251" s="87">
        <f>Annual_Days*R251*T_2!P25*CT15_AADT_2014</f>
        <v>0</v>
      </c>
      <c r="AB251" s="44">
        <f t="shared" si="176"/>
        <v>324136.27589129657</v>
      </c>
      <c r="AD251" s="52">
        <v>18</v>
      </c>
      <c r="AE251" s="87">
        <f>Annual_Days*T_2!B25*L251*CT15_AADT_2014</f>
        <v>0</v>
      </c>
      <c r="AF251" s="87">
        <f>Annual_Days*T_2!C25*M251*CT15_AADT_2014</f>
        <v>0</v>
      </c>
      <c r="AG251" s="87">
        <f>Annual_Days*T_2!D25*N251*CT15_AADT_2014</f>
        <v>0</v>
      </c>
      <c r="AH251" s="87">
        <f>Annual_Days*T_2!E25*O251*CT15_AADT_2014</f>
        <v>20115.34823371212</v>
      </c>
      <c r="AI251" s="87">
        <f>Annual_Days*T_2!F25*P251*CT15_AADT_2014</f>
        <v>18824.0727096624</v>
      </c>
      <c r="AJ251" s="87">
        <f>Annual_Days*T_2!G25*Q251*CT15_AADT_2014</f>
        <v>0</v>
      </c>
      <c r="AK251" s="87">
        <f>Annual_Days*T_2!H25*R251*CT15_AADT_2014</f>
        <v>0</v>
      </c>
      <c r="AL251" s="44">
        <f t="shared" si="177"/>
        <v>38939.42094337452</v>
      </c>
    </row>
    <row r="252" spans="1:38" x14ac:dyDescent="0.25">
      <c r="A252" s="210"/>
      <c r="B252" s="52">
        <v>19</v>
      </c>
      <c r="C252" s="86">
        <v>32.394256695683573</v>
      </c>
      <c r="D252" s="86">
        <v>32.475159796470585</v>
      </c>
      <c r="E252" s="86">
        <v>32.631638094462296</v>
      </c>
      <c r="F252" s="86">
        <v>32.300200725988752</v>
      </c>
      <c r="G252" s="86">
        <v>33.299260127677968</v>
      </c>
      <c r="H252" s="86">
        <v>31.70757412527384</v>
      </c>
      <c r="I252" s="86">
        <v>32.595737847804216</v>
      </c>
      <c r="K252" s="52">
        <v>19</v>
      </c>
      <c r="L252" s="85">
        <f t="shared" si="169"/>
        <v>0</v>
      </c>
      <c r="M252" s="85">
        <f t="shared" si="170"/>
        <v>0</v>
      </c>
      <c r="N252" s="85">
        <f t="shared" si="171"/>
        <v>0</v>
      </c>
      <c r="O252" s="85">
        <f t="shared" si="172"/>
        <v>0</v>
      </c>
      <c r="P252" s="85">
        <f t="shared" si="173"/>
        <v>0</v>
      </c>
      <c r="Q252" s="85">
        <f t="shared" si="174"/>
        <v>0</v>
      </c>
      <c r="R252" s="85">
        <f t="shared" si="175"/>
        <v>0</v>
      </c>
      <c r="T252" s="52">
        <v>19</v>
      </c>
      <c r="U252" s="87">
        <f>Annual_Days*L252*T_2!J26*CT15_AADT_2014</f>
        <v>0</v>
      </c>
      <c r="V252" s="87">
        <f>Annual_Days*M252*T_2!K26*CT15_AADT_2014</f>
        <v>0</v>
      </c>
      <c r="W252" s="87">
        <f>Annual_Days*N252*T_2!L26*CT15_AADT_2014</f>
        <v>0</v>
      </c>
      <c r="X252" s="87">
        <f>Annual_Days*O252*T_2!M26*CT15_AADT_2014</f>
        <v>0</v>
      </c>
      <c r="Y252" s="87">
        <f>Annual_Days*P252*T_2!N26*CT15_AADT_2014</f>
        <v>0</v>
      </c>
      <c r="Z252" s="87">
        <f>Annual_Days*Q252*T_2!O26*CT15_AADT_2014</f>
        <v>0</v>
      </c>
      <c r="AA252" s="87">
        <f>Annual_Days*R252*T_2!P26*CT15_AADT_2014</f>
        <v>0</v>
      </c>
      <c r="AB252" s="44">
        <f t="shared" si="176"/>
        <v>0</v>
      </c>
      <c r="AD252" s="52">
        <v>19</v>
      </c>
      <c r="AE252" s="87">
        <f>Annual_Days*T_2!B26*L252*CT15_AADT_2014</f>
        <v>0</v>
      </c>
      <c r="AF252" s="87">
        <f>Annual_Days*T_2!C26*M252*CT15_AADT_2014</f>
        <v>0</v>
      </c>
      <c r="AG252" s="87">
        <f>Annual_Days*T_2!D26*N252*CT15_AADT_2014</f>
        <v>0</v>
      </c>
      <c r="AH252" s="87">
        <f>Annual_Days*T_2!E26*O252*CT15_AADT_2014</f>
        <v>0</v>
      </c>
      <c r="AI252" s="87">
        <f>Annual_Days*T_2!F26*P252*CT15_AADT_2014</f>
        <v>0</v>
      </c>
      <c r="AJ252" s="87">
        <f>Annual_Days*T_2!G26*Q252*CT15_AADT_2014</f>
        <v>0</v>
      </c>
      <c r="AK252" s="87">
        <f>Annual_Days*T_2!H26*R252*CT15_AADT_2014</f>
        <v>0</v>
      </c>
      <c r="AL252" s="44">
        <f t="shared" si="177"/>
        <v>0</v>
      </c>
    </row>
    <row r="253" spans="1:38" x14ac:dyDescent="0.25">
      <c r="A253" s="210"/>
      <c r="B253" s="52">
        <v>20</v>
      </c>
      <c r="C253" s="86">
        <v>32.680363675380306</v>
      </c>
      <c r="D253" s="86">
        <v>32.184947165902067</v>
      </c>
      <c r="E253" s="86">
        <v>34.697204766214178</v>
      </c>
      <c r="F253" s="86">
        <v>32.90766675162142</v>
      </c>
      <c r="G253" s="86">
        <v>32.581893998110651</v>
      </c>
      <c r="H253" s="86">
        <v>32.247345435553363</v>
      </c>
      <c r="I253" s="86">
        <v>33.528595025645572</v>
      </c>
      <c r="K253" s="52">
        <v>20</v>
      </c>
      <c r="L253" s="85">
        <f t="shared" si="169"/>
        <v>0</v>
      </c>
      <c r="M253" s="85">
        <f t="shared" si="170"/>
        <v>0</v>
      </c>
      <c r="N253" s="85">
        <f t="shared" si="171"/>
        <v>0</v>
      </c>
      <c r="O253" s="85">
        <f t="shared" si="172"/>
        <v>0</v>
      </c>
      <c r="P253" s="85">
        <f t="shared" si="173"/>
        <v>0</v>
      </c>
      <c r="Q253" s="85">
        <f t="shared" si="174"/>
        <v>0</v>
      </c>
      <c r="R253" s="85">
        <f t="shared" si="175"/>
        <v>0</v>
      </c>
      <c r="T253" s="52">
        <v>20</v>
      </c>
      <c r="U253" s="87">
        <f>Annual_Days*L253*T_2!J27*CT15_AADT_2014</f>
        <v>0</v>
      </c>
      <c r="V253" s="87">
        <f>Annual_Days*M253*T_2!K27*CT15_AADT_2014</f>
        <v>0</v>
      </c>
      <c r="W253" s="87">
        <f>Annual_Days*N253*T_2!L27*CT15_AADT_2014</f>
        <v>0</v>
      </c>
      <c r="X253" s="87">
        <f>Annual_Days*O253*T_2!M27*CT15_AADT_2014</f>
        <v>0</v>
      </c>
      <c r="Y253" s="87">
        <f>Annual_Days*P253*T_2!N27*CT15_AADT_2014</f>
        <v>0</v>
      </c>
      <c r="Z253" s="87">
        <f>Annual_Days*Q253*T_2!O27*CT15_AADT_2014</f>
        <v>0</v>
      </c>
      <c r="AA253" s="87">
        <f>Annual_Days*R253*T_2!P27*CT15_AADT_2014</f>
        <v>0</v>
      </c>
      <c r="AB253" s="44">
        <f t="shared" si="176"/>
        <v>0</v>
      </c>
      <c r="AD253" s="52">
        <v>20</v>
      </c>
      <c r="AE253" s="87">
        <f>Annual_Days*T_2!B27*L253*CT15_AADT_2014</f>
        <v>0</v>
      </c>
      <c r="AF253" s="87">
        <f>Annual_Days*T_2!C27*M253*CT15_AADT_2014</f>
        <v>0</v>
      </c>
      <c r="AG253" s="87">
        <f>Annual_Days*T_2!D27*N253*CT15_AADT_2014</f>
        <v>0</v>
      </c>
      <c r="AH253" s="87">
        <f>Annual_Days*T_2!E27*O253*CT15_AADT_2014</f>
        <v>0</v>
      </c>
      <c r="AI253" s="87">
        <f>Annual_Days*T_2!F27*P253*CT15_AADT_2014</f>
        <v>0</v>
      </c>
      <c r="AJ253" s="87">
        <f>Annual_Days*T_2!G27*Q253*CT15_AADT_2014</f>
        <v>0</v>
      </c>
      <c r="AK253" s="87">
        <f>Annual_Days*T_2!H27*R253*CT15_AADT_2014</f>
        <v>0</v>
      </c>
      <c r="AL253" s="44">
        <f t="shared" si="177"/>
        <v>0</v>
      </c>
    </row>
    <row r="254" spans="1:38" x14ac:dyDescent="0.25">
      <c r="A254" s="210"/>
      <c r="B254" s="52">
        <v>21</v>
      </c>
      <c r="C254" s="86">
        <v>35.529691291120955</v>
      </c>
      <c r="D254" s="86">
        <v>32.915168446626694</v>
      </c>
      <c r="E254" s="86">
        <v>32.913012465378273</v>
      </c>
      <c r="F254" s="86">
        <v>33.827748549403061</v>
      </c>
      <c r="G254" s="86">
        <v>33.998638946192486</v>
      </c>
      <c r="H254" s="86">
        <v>33.279740926253261</v>
      </c>
      <c r="I254" s="86">
        <v>32.19832315068227</v>
      </c>
      <c r="K254" s="52">
        <v>21</v>
      </c>
      <c r="L254" s="85">
        <f t="shared" si="169"/>
        <v>0.51347310930277246</v>
      </c>
      <c r="M254" s="85">
        <f t="shared" si="170"/>
        <v>0</v>
      </c>
      <c r="N254" s="85">
        <f t="shared" si="171"/>
        <v>0</v>
      </c>
      <c r="O254" s="85">
        <f t="shared" si="172"/>
        <v>0</v>
      </c>
      <c r="P254" s="85">
        <f t="shared" si="173"/>
        <v>0</v>
      </c>
      <c r="Q254" s="85">
        <f t="shared" si="174"/>
        <v>0</v>
      </c>
      <c r="R254" s="85">
        <f t="shared" si="175"/>
        <v>0</v>
      </c>
      <c r="T254" s="52">
        <v>21</v>
      </c>
      <c r="U254" s="87">
        <f>Annual_Days*L254*T_2!J28*CT15_AADT_2014</f>
        <v>27071.333776439496</v>
      </c>
      <c r="V254" s="87">
        <f>Annual_Days*M254*T_2!K28*CT15_AADT_2014</f>
        <v>0</v>
      </c>
      <c r="W254" s="87">
        <f>Annual_Days*N254*T_2!L28*CT15_AADT_2014</f>
        <v>0</v>
      </c>
      <c r="X254" s="87">
        <f>Annual_Days*O254*T_2!M28*CT15_AADT_2014</f>
        <v>0</v>
      </c>
      <c r="Y254" s="87">
        <f>Annual_Days*P254*T_2!N28*CT15_AADT_2014</f>
        <v>0</v>
      </c>
      <c r="Z254" s="87">
        <f>Annual_Days*Q254*T_2!O28*CT15_AADT_2014</f>
        <v>0</v>
      </c>
      <c r="AA254" s="87">
        <f>Annual_Days*R254*T_2!P28*CT15_AADT_2014</f>
        <v>0</v>
      </c>
      <c r="AB254" s="44">
        <f t="shared" si="176"/>
        <v>27071.333776439496</v>
      </c>
      <c r="AD254" s="52">
        <v>21</v>
      </c>
      <c r="AE254" s="87">
        <f>Annual_Days*T_2!B28*L254*CT15_AADT_2014</f>
        <v>3747.7251472537737</v>
      </c>
      <c r="AF254" s="87">
        <f>Annual_Days*T_2!C28*M254*CT15_AADT_2014</f>
        <v>0</v>
      </c>
      <c r="AG254" s="87">
        <f>Annual_Days*T_2!D28*N254*CT15_AADT_2014</f>
        <v>0</v>
      </c>
      <c r="AH254" s="87">
        <f>Annual_Days*T_2!E28*O254*CT15_AADT_2014</f>
        <v>0</v>
      </c>
      <c r="AI254" s="87">
        <f>Annual_Days*T_2!F28*P254*CT15_AADT_2014</f>
        <v>0</v>
      </c>
      <c r="AJ254" s="87">
        <f>Annual_Days*T_2!G28*Q254*CT15_AADT_2014</f>
        <v>0</v>
      </c>
      <c r="AK254" s="87">
        <f>Annual_Days*T_2!H28*R254*CT15_AADT_2014</f>
        <v>0</v>
      </c>
      <c r="AL254" s="44">
        <f t="shared" si="177"/>
        <v>3747.7251472537737</v>
      </c>
    </row>
    <row r="255" spans="1:38" x14ac:dyDescent="0.25">
      <c r="A255" s="210"/>
      <c r="B255" s="52">
        <v>22</v>
      </c>
      <c r="C255" s="86">
        <v>33.91928947705901</v>
      </c>
      <c r="D255" s="86">
        <v>33.55502421515294</v>
      </c>
      <c r="E255" s="86">
        <v>34.310917664054912</v>
      </c>
      <c r="F255" s="86">
        <v>32.878634200845347</v>
      </c>
      <c r="G255" s="86">
        <v>37.037796127681126</v>
      </c>
      <c r="H255" s="86">
        <v>32.058278016257859</v>
      </c>
      <c r="I255" s="86">
        <v>32.514958015998779</v>
      </c>
      <c r="K255" s="52">
        <v>22</v>
      </c>
      <c r="L255" s="85">
        <f t="shared" si="169"/>
        <v>0</v>
      </c>
      <c r="M255" s="85">
        <f t="shared" si="170"/>
        <v>0</v>
      </c>
      <c r="N255" s="85">
        <f t="shared" si="171"/>
        <v>0</v>
      </c>
      <c r="O255" s="85">
        <f t="shared" si="172"/>
        <v>0</v>
      </c>
      <c r="P255" s="85">
        <f t="shared" si="173"/>
        <v>2.0215779458629441</v>
      </c>
      <c r="Q255" s="85">
        <f t="shared" si="174"/>
        <v>0</v>
      </c>
      <c r="R255" s="85">
        <f t="shared" si="175"/>
        <v>0</v>
      </c>
      <c r="T255" s="52">
        <v>22</v>
      </c>
      <c r="U255" s="87">
        <f>Annual_Days*L255*T_2!J29*CT15_AADT_2014</f>
        <v>0</v>
      </c>
      <c r="V255" s="87">
        <f>Annual_Days*M255*T_2!K29*CT15_AADT_2014</f>
        <v>0</v>
      </c>
      <c r="W255" s="87">
        <f>Annual_Days*N255*T_2!L29*CT15_AADT_2014</f>
        <v>0</v>
      </c>
      <c r="X255" s="87">
        <f>Annual_Days*O255*T_2!M29*CT15_AADT_2014</f>
        <v>0</v>
      </c>
      <c r="Y255" s="87">
        <f>Annual_Days*P255*T_2!N29*CT15_AADT_2014</f>
        <v>132246.00928020809</v>
      </c>
      <c r="Z255" s="87">
        <f>Annual_Days*Q255*T_2!O29*CT15_AADT_2014</f>
        <v>0</v>
      </c>
      <c r="AA255" s="87">
        <f>Annual_Days*R255*T_2!P29*CT15_AADT_2014</f>
        <v>0</v>
      </c>
      <c r="AB255" s="44">
        <f t="shared" si="176"/>
        <v>132246.00928020809</v>
      </c>
      <c r="AD255" s="52">
        <v>22</v>
      </c>
      <c r="AE255" s="87">
        <f>Annual_Days*T_2!B29*L255*CT15_AADT_2014</f>
        <v>0</v>
      </c>
      <c r="AF255" s="87">
        <f>Annual_Days*T_2!C29*M255*CT15_AADT_2014</f>
        <v>0</v>
      </c>
      <c r="AG255" s="87">
        <f>Annual_Days*T_2!D29*N255*CT15_AADT_2014</f>
        <v>0</v>
      </c>
      <c r="AH255" s="87">
        <f>Annual_Days*T_2!E29*O255*CT15_AADT_2014</f>
        <v>0</v>
      </c>
      <c r="AI255" s="87">
        <f>Annual_Days*T_2!F29*P255*CT15_AADT_2014</f>
        <v>14284.138687832568</v>
      </c>
      <c r="AJ255" s="87">
        <f>Annual_Days*T_2!G29*Q255*CT15_AADT_2014</f>
        <v>0</v>
      </c>
      <c r="AK255" s="87">
        <f>Annual_Days*T_2!H29*R255*CT15_AADT_2014</f>
        <v>0</v>
      </c>
      <c r="AL255" s="44">
        <f t="shared" si="177"/>
        <v>14284.138687832568</v>
      </c>
    </row>
    <row r="256" spans="1:38" x14ac:dyDescent="0.25">
      <c r="A256" s="210"/>
      <c r="B256" s="52">
        <v>23</v>
      </c>
      <c r="C256" s="86">
        <v>33.806688951935541</v>
      </c>
      <c r="D256" s="86">
        <v>34.92430351294739</v>
      </c>
      <c r="E256" s="86">
        <v>34.847088316128477</v>
      </c>
      <c r="F256" s="86">
        <v>33.235452066880796</v>
      </c>
      <c r="G256" s="86">
        <v>38.615568776992632</v>
      </c>
      <c r="H256" s="86">
        <v>32.269942275423574</v>
      </c>
      <c r="I256" s="86">
        <v>33.242293021171861</v>
      </c>
      <c r="K256" s="52">
        <v>23</v>
      </c>
      <c r="L256" s="85">
        <f t="shared" si="169"/>
        <v>0</v>
      </c>
      <c r="M256" s="85">
        <f t="shared" si="170"/>
        <v>0</v>
      </c>
      <c r="N256" s="85">
        <f t="shared" si="171"/>
        <v>0</v>
      </c>
      <c r="O256" s="85">
        <f t="shared" si="172"/>
        <v>0</v>
      </c>
      <c r="P256" s="85">
        <f t="shared" si="173"/>
        <v>3.5993505951744496</v>
      </c>
      <c r="Q256" s="85">
        <f t="shared" si="174"/>
        <v>0</v>
      </c>
      <c r="R256" s="85">
        <f t="shared" si="175"/>
        <v>0</v>
      </c>
      <c r="T256" s="52">
        <v>23</v>
      </c>
      <c r="U256" s="87">
        <f>Annual_Days*L256*T_2!J30*CT15_AADT_2014</f>
        <v>0</v>
      </c>
      <c r="V256" s="87">
        <f>Annual_Days*M256*T_2!K30*CT15_AADT_2014</f>
        <v>0</v>
      </c>
      <c r="W256" s="87">
        <f>Annual_Days*N256*T_2!L30*CT15_AADT_2014</f>
        <v>0</v>
      </c>
      <c r="X256" s="87">
        <f>Annual_Days*O256*T_2!M30*CT15_AADT_2014</f>
        <v>0</v>
      </c>
      <c r="Y256" s="87">
        <f>Annual_Days*P256*T_2!N30*CT15_AADT_2014</f>
        <v>192978.98105198232</v>
      </c>
      <c r="Z256" s="87">
        <f>Annual_Days*Q256*T_2!O30*CT15_AADT_2014</f>
        <v>0</v>
      </c>
      <c r="AA256" s="87">
        <f>Annual_Days*R256*T_2!P30*CT15_AADT_2014</f>
        <v>0</v>
      </c>
      <c r="AB256" s="44">
        <f t="shared" si="176"/>
        <v>192978.98105198232</v>
      </c>
      <c r="AD256" s="52">
        <v>23</v>
      </c>
      <c r="AE256" s="87">
        <f>Annual_Days*T_2!B30*L256*CT15_AADT_2014</f>
        <v>0</v>
      </c>
      <c r="AF256" s="87">
        <f>Annual_Days*T_2!C30*M256*CT15_AADT_2014</f>
        <v>0</v>
      </c>
      <c r="AG256" s="87">
        <f>Annual_Days*T_2!D30*N256*CT15_AADT_2014</f>
        <v>0</v>
      </c>
      <c r="AH256" s="87">
        <f>Annual_Days*T_2!E30*O256*CT15_AADT_2014</f>
        <v>0</v>
      </c>
      <c r="AI256" s="87">
        <f>Annual_Days*T_2!F30*P256*CT15_AADT_2014</f>
        <v>25292.683251563212</v>
      </c>
      <c r="AJ256" s="87">
        <f>Annual_Days*T_2!G30*Q256*CT15_AADT_2014</f>
        <v>0</v>
      </c>
      <c r="AK256" s="87">
        <f>Annual_Days*T_2!H30*R256*CT15_AADT_2014</f>
        <v>0</v>
      </c>
      <c r="AL256" s="44">
        <f t="shared" si="177"/>
        <v>25292.683251563212</v>
      </c>
    </row>
    <row r="257" spans="1:38" x14ac:dyDescent="0.25">
      <c r="A257" s="210"/>
      <c r="B257" s="15" t="s">
        <v>12</v>
      </c>
      <c r="C257" s="12">
        <v>2185.5576475159482</v>
      </c>
      <c r="D257" s="12">
        <v>2219.7200101465032</v>
      </c>
      <c r="E257" s="12">
        <v>2247.5228826410266</v>
      </c>
      <c r="F257" s="12">
        <v>2268.0396581317541</v>
      </c>
      <c r="G257" s="12">
        <v>2596.8674019297814</v>
      </c>
      <c r="H257" s="12">
        <v>2344.1295170192143</v>
      </c>
      <c r="I257" s="12">
        <v>2270.7174131675401</v>
      </c>
      <c r="K257" s="15" t="s">
        <v>12</v>
      </c>
      <c r="L257" s="12">
        <f t="shared" ref="L257:R257" si="178">SUM(L233:L256)</f>
        <v>6.3342733683068246</v>
      </c>
      <c r="M257" s="12">
        <f t="shared" si="178"/>
        <v>16.459832813587568</v>
      </c>
      <c r="N257" s="12">
        <f t="shared" si="178"/>
        <v>33.776027015671616</v>
      </c>
      <c r="O257" s="12">
        <f t="shared" si="178"/>
        <v>34.381745171706392</v>
      </c>
      <c r="P257" s="12">
        <f t="shared" si="178"/>
        <v>43.53885978855137</v>
      </c>
      <c r="Q257" s="12">
        <f t="shared" si="178"/>
        <v>35.48169375813746</v>
      </c>
      <c r="R257" s="12">
        <f t="shared" si="178"/>
        <v>19.460963472151995</v>
      </c>
      <c r="T257" s="53" t="s">
        <v>97</v>
      </c>
      <c r="U257" s="44">
        <f t="shared" ref="U257:AB257" si="179">SUM(U233:U256)</f>
        <v>191260.5676217819</v>
      </c>
      <c r="V257" s="44">
        <f t="shared" si="179"/>
        <v>553868.05302598246</v>
      </c>
      <c r="W257" s="44">
        <f t="shared" si="179"/>
        <v>1079161.9548975637</v>
      </c>
      <c r="X257" s="44">
        <f t="shared" si="179"/>
        <v>905158.79973939445</v>
      </c>
      <c r="Y257" s="44">
        <f t="shared" si="179"/>
        <v>2282543.0718860128</v>
      </c>
      <c r="Z257" s="44">
        <f t="shared" si="179"/>
        <v>811456.98172635445</v>
      </c>
      <c r="AA257" s="44">
        <f t="shared" si="179"/>
        <v>316259.47915591847</v>
      </c>
      <c r="AB257" s="44">
        <f t="shared" si="179"/>
        <v>6139708.9080530088</v>
      </c>
      <c r="AD257" s="53" t="s">
        <v>97</v>
      </c>
      <c r="AE257" s="44">
        <f t="shared" ref="AE257:AL257" si="180">SUM(AE233:AE256)</f>
        <v>53204.877297034102</v>
      </c>
      <c r="AF257" s="44">
        <f t="shared" si="180"/>
        <v>145659.04709490118</v>
      </c>
      <c r="AG257" s="44">
        <f t="shared" si="180"/>
        <v>424566.07251053775</v>
      </c>
      <c r="AH257" s="44">
        <f t="shared" si="180"/>
        <v>401325.61899329978</v>
      </c>
      <c r="AI257" s="44">
        <f t="shared" si="180"/>
        <v>449161.17242757505</v>
      </c>
      <c r="AJ257" s="44">
        <f t="shared" si="180"/>
        <v>189128.62573981521</v>
      </c>
      <c r="AK257" s="44">
        <f t="shared" si="180"/>
        <v>46589.434638327351</v>
      </c>
      <c r="AL257" s="44">
        <f t="shared" si="180"/>
        <v>1709634.8487014903</v>
      </c>
    </row>
    <row r="258" spans="1:38" x14ac:dyDescent="0.25">
      <c r="U258" s="44"/>
      <c r="V258" s="44"/>
      <c r="W258" s="44"/>
      <c r="X258" s="44"/>
      <c r="Y258" s="44"/>
      <c r="Z258" s="50" t="s">
        <v>102</v>
      </c>
      <c r="AA258" s="49">
        <f>SUM(U233:AA256)</f>
        <v>6139708.9080530079</v>
      </c>
      <c r="AB258" s="44"/>
      <c r="AE258" s="44"/>
      <c r="AF258" s="44"/>
      <c r="AG258" s="44"/>
      <c r="AH258" s="44"/>
      <c r="AI258" s="44"/>
      <c r="AJ258" s="50" t="s">
        <v>102</v>
      </c>
      <c r="AK258" s="49">
        <f>SUM(AE233:AK256)</f>
        <v>1709634.8487014908</v>
      </c>
      <c r="AL258" s="44"/>
    </row>
  </sheetData>
  <mergeCells count="74">
    <mergeCell ref="L5:P5"/>
    <mergeCell ref="L6:N6"/>
    <mergeCell ref="M8:N8"/>
    <mergeCell ref="O8:P8"/>
    <mergeCell ref="J171:J175"/>
    <mergeCell ref="A16:J16"/>
    <mergeCell ref="K16:T16"/>
    <mergeCell ref="L7:N7"/>
    <mergeCell ref="T109:AB109"/>
    <mergeCell ref="T46:AB46"/>
    <mergeCell ref="T47:AB47"/>
    <mergeCell ref="A47:A73"/>
    <mergeCell ref="A78:A104"/>
    <mergeCell ref="A109:A135"/>
    <mergeCell ref="A140:A166"/>
    <mergeCell ref="V16:AE16"/>
    <mergeCell ref="AE171:AE175"/>
    <mergeCell ref="T171:T175"/>
    <mergeCell ref="AO171:AO175"/>
    <mergeCell ref="AE18:AE22"/>
    <mergeCell ref="K169:T169"/>
    <mergeCell ref="V169:AE169"/>
    <mergeCell ref="AF169:AO169"/>
    <mergeCell ref="T139:AB139"/>
    <mergeCell ref="AD139:AL139"/>
    <mergeCell ref="K140:R140"/>
    <mergeCell ref="T140:AB140"/>
    <mergeCell ref="AD140:AL140"/>
    <mergeCell ref="T108:AB108"/>
    <mergeCell ref="AD108:AL108"/>
    <mergeCell ref="K109:R109"/>
    <mergeCell ref="AD109:AL109"/>
    <mergeCell ref="AF16:AO16"/>
    <mergeCell ref="T18:T22"/>
    <mergeCell ref="J18:J22"/>
    <mergeCell ref="B10:I10"/>
    <mergeCell ref="B14:D14"/>
    <mergeCell ref="F14:G14"/>
    <mergeCell ref="T230:AB230"/>
    <mergeCell ref="AD230:AL230"/>
    <mergeCell ref="K231:R231"/>
    <mergeCell ref="T231:AB231"/>
    <mergeCell ref="AD231:AL231"/>
    <mergeCell ref="T199:AB199"/>
    <mergeCell ref="AD199:AL199"/>
    <mergeCell ref="K200:R200"/>
    <mergeCell ref="T200:AB200"/>
    <mergeCell ref="AD200:AL200"/>
    <mergeCell ref="T77:AB77"/>
    <mergeCell ref="AD77:AL77"/>
    <mergeCell ref="K78:R78"/>
    <mergeCell ref="T78:AB78"/>
    <mergeCell ref="AD78:AL78"/>
    <mergeCell ref="AD46:AL46"/>
    <mergeCell ref="AD47:AL47"/>
    <mergeCell ref="AO18:AO22"/>
    <mergeCell ref="K46:R46"/>
    <mergeCell ref="K47:R47"/>
    <mergeCell ref="A200:A226"/>
    <mergeCell ref="A231:A257"/>
    <mergeCell ref="K77:R77"/>
    <mergeCell ref="K108:R108"/>
    <mergeCell ref="K139:R139"/>
    <mergeCell ref="K199:R199"/>
    <mergeCell ref="K230:R230"/>
    <mergeCell ref="A169:J169"/>
    <mergeCell ref="C4:F4"/>
    <mergeCell ref="G4:H4"/>
    <mergeCell ref="B140:I140"/>
    <mergeCell ref="B200:I200"/>
    <mergeCell ref="B231:I231"/>
    <mergeCell ref="B78:I78"/>
    <mergeCell ref="B109:I109"/>
    <mergeCell ref="B47:I47"/>
  </mergeCells>
  <conditionalFormatting sqref="L73:R73">
    <cfRule type="colorScale" priority="46">
      <colorScale>
        <cfvo type="min"/>
        <cfvo type="max"/>
        <color rgb="FFFCFCFF"/>
        <color rgb="FFF8696B"/>
      </colorScale>
    </cfRule>
  </conditionalFormatting>
  <conditionalFormatting sqref="U73:AA73">
    <cfRule type="colorScale" priority="35">
      <colorScale>
        <cfvo type="min"/>
        <cfvo type="max"/>
        <color rgb="FFFCFCFF"/>
        <color rgb="FFF8696B"/>
      </colorScale>
    </cfRule>
  </conditionalFormatting>
  <conditionalFormatting sqref="AB49:AB72">
    <cfRule type="colorScale" priority="34">
      <colorScale>
        <cfvo type="min"/>
        <cfvo type="max"/>
        <color rgb="FFFCFCFF"/>
        <color rgb="FFF8696B"/>
      </colorScale>
    </cfRule>
  </conditionalFormatting>
  <conditionalFormatting sqref="AE73:AK73">
    <cfRule type="colorScale" priority="33">
      <colorScale>
        <cfvo type="min"/>
        <cfvo type="max"/>
        <color rgb="FFFCFCFF"/>
        <color rgb="FFF8696B"/>
      </colorScale>
    </cfRule>
  </conditionalFormatting>
  <conditionalFormatting sqref="AL49:AL72">
    <cfRule type="colorScale" priority="32">
      <colorScale>
        <cfvo type="min"/>
        <cfvo type="max"/>
        <color rgb="FFFCFCFF"/>
        <color rgb="FFF8696B"/>
      </colorScale>
    </cfRule>
  </conditionalFormatting>
  <conditionalFormatting sqref="L104:R104">
    <cfRule type="colorScale" priority="31">
      <colorScale>
        <cfvo type="min"/>
        <cfvo type="max"/>
        <color rgb="FFFCFCFF"/>
        <color rgb="FFF8696B"/>
      </colorScale>
    </cfRule>
  </conditionalFormatting>
  <conditionalFormatting sqref="U104:AA104">
    <cfRule type="colorScale" priority="30">
      <colorScale>
        <cfvo type="min"/>
        <cfvo type="max"/>
        <color rgb="FFFCFCFF"/>
        <color rgb="FFF8696B"/>
      </colorScale>
    </cfRule>
  </conditionalFormatting>
  <conditionalFormatting sqref="AB80:AB103">
    <cfRule type="colorScale" priority="29">
      <colorScale>
        <cfvo type="min"/>
        <cfvo type="max"/>
        <color rgb="FFFCFCFF"/>
        <color rgb="FFF8696B"/>
      </colorScale>
    </cfRule>
  </conditionalFormatting>
  <conditionalFormatting sqref="AE104:AK104">
    <cfRule type="colorScale" priority="28">
      <colorScale>
        <cfvo type="min"/>
        <cfvo type="max"/>
        <color rgb="FFFCFCFF"/>
        <color rgb="FFF8696B"/>
      </colorScale>
    </cfRule>
  </conditionalFormatting>
  <conditionalFormatting sqref="AL80:AL103">
    <cfRule type="colorScale" priority="27">
      <colorScale>
        <cfvo type="min"/>
        <cfvo type="max"/>
        <color rgb="FFFCFCFF"/>
        <color rgb="FFF8696B"/>
      </colorScale>
    </cfRule>
  </conditionalFormatting>
  <conditionalFormatting sqref="L135:R135">
    <cfRule type="colorScale" priority="26">
      <colorScale>
        <cfvo type="min"/>
        <cfvo type="max"/>
        <color rgb="FFFCFCFF"/>
        <color rgb="FFF8696B"/>
      </colorScale>
    </cfRule>
  </conditionalFormatting>
  <conditionalFormatting sqref="U135:AA135">
    <cfRule type="colorScale" priority="25">
      <colorScale>
        <cfvo type="min"/>
        <cfvo type="max"/>
        <color rgb="FFFCFCFF"/>
        <color rgb="FFF8696B"/>
      </colorScale>
    </cfRule>
  </conditionalFormatting>
  <conditionalFormatting sqref="AB111:AB134">
    <cfRule type="colorScale" priority="24">
      <colorScale>
        <cfvo type="min"/>
        <cfvo type="max"/>
        <color rgb="FFFCFCFF"/>
        <color rgb="FFF8696B"/>
      </colorScale>
    </cfRule>
  </conditionalFormatting>
  <conditionalFormatting sqref="AE135:AK135">
    <cfRule type="colorScale" priority="23">
      <colorScale>
        <cfvo type="min"/>
        <cfvo type="max"/>
        <color rgb="FFFCFCFF"/>
        <color rgb="FFF8696B"/>
      </colorScale>
    </cfRule>
  </conditionalFormatting>
  <conditionalFormatting sqref="AL111:AL134">
    <cfRule type="colorScale" priority="22">
      <colorScale>
        <cfvo type="min"/>
        <cfvo type="max"/>
        <color rgb="FFFCFCFF"/>
        <color rgb="FFF8696B"/>
      </colorScale>
    </cfRule>
  </conditionalFormatting>
  <conditionalFormatting sqref="L166:R166">
    <cfRule type="colorScale" priority="21">
      <colorScale>
        <cfvo type="min"/>
        <cfvo type="max"/>
        <color rgb="FFFCFCFF"/>
        <color rgb="FFF8696B"/>
      </colorScale>
    </cfRule>
  </conditionalFormatting>
  <conditionalFormatting sqref="U166:AA166">
    <cfRule type="colorScale" priority="20">
      <colorScale>
        <cfvo type="min"/>
        <cfvo type="max"/>
        <color rgb="FFFCFCFF"/>
        <color rgb="FFF8696B"/>
      </colorScale>
    </cfRule>
  </conditionalFormatting>
  <conditionalFormatting sqref="AB142:AB165">
    <cfRule type="colorScale" priority="19">
      <colorScale>
        <cfvo type="min"/>
        <cfvo type="max"/>
        <color rgb="FFFCFCFF"/>
        <color rgb="FFF8696B"/>
      </colorScale>
    </cfRule>
  </conditionalFormatting>
  <conditionalFormatting sqref="AE166:AK166">
    <cfRule type="colorScale" priority="18">
      <colorScale>
        <cfvo type="min"/>
        <cfvo type="max"/>
        <color rgb="FFFCFCFF"/>
        <color rgb="FFF8696B"/>
      </colorScale>
    </cfRule>
  </conditionalFormatting>
  <conditionalFormatting sqref="AL142:AL165">
    <cfRule type="colorScale" priority="17">
      <colorScale>
        <cfvo type="min"/>
        <cfvo type="max"/>
        <color rgb="FFFCFCFF"/>
        <color rgb="FFF8696B"/>
      </colorScale>
    </cfRule>
  </conditionalFormatting>
  <conditionalFormatting sqref="L226:R226">
    <cfRule type="colorScale" priority="16">
      <colorScale>
        <cfvo type="min"/>
        <cfvo type="max"/>
        <color rgb="FFFCFCFF"/>
        <color rgb="FFF8696B"/>
      </colorScale>
    </cfRule>
  </conditionalFormatting>
  <conditionalFormatting sqref="U226:AA226">
    <cfRule type="colorScale" priority="15">
      <colorScale>
        <cfvo type="min"/>
        <cfvo type="max"/>
        <color rgb="FFFCFCFF"/>
        <color rgb="FFF8696B"/>
      </colorScale>
    </cfRule>
  </conditionalFormatting>
  <conditionalFormatting sqref="AB202:AB225">
    <cfRule type="colorScale" priority="14">
      <colorScale>
        <cfvo type="min"/>
        <cfvo type="max"/>
        <color rgb="FFFCFCFF"/>
        <color rgb="FFF8696B"/>
      </colorScale>
    </cfRule>
  </conditionalFormatting>
  <conditionalFormatting sqref="AE226:AK226">
    <cfRule type="colorScale" priority="13">
      <colorScale>
        <cfvo type="min"/>
        <cfvo type="max"/>
        <color rgb="FFFCFCFF"/>
        <color rgb="FFF8696B"/>
      </colorScale>
    </cfRule>
  </conditionalFormatting>
  <conditionalFormatting sqref="AL202:AL225">
    <cfRule type="colorScale" priority="12">
      <colorScale>
        <cfvo type="min"/>
        <cfvo type="max"/>
        <color rgb="FFFCFCFF"/>
        <color rgb="FFF8696B"/>
      </colorScale>
    </cfRule>
  </conditionalFormatting>
  <conditionalFormatting sqref="L257:R257">
    <cfRule type="colorScale" priority="11">
      <colorScale>
        <cfvo type="min"/>
        <cfvo type="max"/>
        <color rgb="FFFCFCFF"/>
        <color rgb="FFF8696B"/>
      </colorScale>
    </cfRule>
  </conditionalFormatting>
  <conditionalFormatting sqref="U257:AA257">
    <cfRule type="colorScale" priority="10">
      <colorScale>
        <cfvo type="min"/>
        <cfvo type="max"/>
        <color rgb="FFFCFCFF"/>
        <color rgb="FFF8696B"/>
      </colorScale>
    </cfRule>
  </conditionalFormatting>
  <conditionalFormatting sqref="AB233:AB256">
    <cfRule type="colorScale" priority="9">
      <colorScale>
        <cfvo type="min"/>
        <cfvo type="max"/>
        <color rgb="FFFCFCFF"/>
        <color rgb="FFF8696B"/>
      </colorScale>
    </cfRule>
  </conditionalFormatting>
  <conditionalFormatting sqref="AE257:AK257">
    <cfRule type="colorScale" priority="8">
      <colorScale>
        <cfvo type="min"/>
        <cfvo type="max"/>
        <color rgb="FFFCFCFF"/>
        <color rgb="FFF8696B"/>
      </colorScale>
    </cfRule>
  </conditionalFormatting>
  <conditionalFormatting sqref="AL233:AL256">
    <cfRule type="colorScale" priority="7">
      <colorScale>
        <cfvo type="min"/>
        <cfvo type="max"/>
        <color rgb="FFFCFCFF"/>
        <color rgb="FFF8696B"/>
      </colorScale>
    </cfRule>
  </conditionalFormatting>
  <conditionalFormatting sqref="C73:I73">
    <cfRule type="colorScale" priority="6">
      <colorScale>
        <cfvo type="min"/>
        <cfvo type="max"/>
        <color rgb="FFFCFCFF"/>
        <color rgb="FFF8696B"/>
      </colorScale>
    </cfRule>
  </conditionalFormatting>
  <conditionalFormatting sqref="C104:I104">
    <cfRule type="colorScale" priority="5">
      <colorScale>
        <cfvo type="min"/>
        <cfvo type="max"/>
        <color rgb="FFFCFCFF"/>
        <color rgb="FFF8696B"/>
      </colorScale>
    </cfRule>
  </conditionalFormatting>
  <conditionalFormatting sqref="C135:I135">
    <cfRule type="colorScale" priority="4">
      <colorScale>
        <cfvo type="min"/>
        <cfvo type="max"/>
        <color rgb="FFFCFCFF"/>
        <color rgb="FFF8696B"/>
      </colorScale>
    </cfRule>
  </conditionalFormatting>
  <conditionalFormatting sqref="C166:I166">
    <cfRule type="colorScale" priority="3">
      <colorScale>
        <cfvo type="min"/>
        <cfvo type="max"/>
        <color rgb="FFFCFCFF"/>
        <color rgb="FFF8696B"/>
      </colorScale>
    </cfRule>
  </conditionalFormatting>
  <conditionalFormatting sqref="C226:I226">
    <cfRule type="colorScale" priority="2">
      <colorScale>
        <cfvo type="min"/>
        <cfvo type="max"/>
        <color rgb="FFFCFCFF"/>
        <color rgb="FFF8696B"/>
      </colorScale>
    </cfRule>
  </conditionalFormatting>
  <conditionalFormatting sqref="C257:I257">
    <cfRule type="colorScale" priority="1">
      <colorScale>
        <cfvo type="min"/>
        <cfvo type="max"/>
        <color rgb="FFFCFCFF"/>
        <color rgb="FFF8696B"/>
      </colorScale>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topLeftCell="A43" zoomScale="80" zoomScaleNormal="80" workbookViewId="0">
      <selection activeCell="B2" sqref="B2"/>
    </sheetView>
  </sheetViews>
  <sheetFormatPr defaultColWidth="18.42578125" defaultRowHeight="15" x14ac:dyDescent="0.25"/>
  <cols>
    <col min="2" max="8" width="7.5703125" customWidth="1"/>
    <col min="9" max="9" width="1.42578125" customWidth="1"/>
    <col min="10" max="16" width="7.5703125" customWidth="1"/>
    <col min="17" max="17" width="7.7109375" customWidth="1"/>
    <col min="18" max="18" width="8.140625" customWidth="1"/>
    <col min="19" max="19" width="10.5703125" bestFit="1" customWidth="1"/>
    <col min="20" max="20" width="9.5703125" bestFit="1" customWidth="1"/>
    <col min="21" max="21" width="8.140625" bestFit="1" customWidth="1"/>
    <col min="22" max="22" width="10.5703125" bestFit="1" customWidth="1"/>
    <col min="23" max="23" width="9.5703125" bestFit="1" customWidth="1"/>
    <col min="24" max="24" width="8.140625" bestFit="1" customWidth="1"/>
    <col min="25" max="25" width="10.5703125" bestFit="1" customWidth="1"/>
    <col min="26" max="26" width="9.5703125" bestFit="1" customWidth="1"/>
    <col min="27" max="27" width="8.140625" bestFit="1" customWidth="1"/>
    <col min="28" max="28" width="10.5703125" bestFit="1" customWidth="1"/>
    <col min="29" max="29" width="9.5703125" bestFit="1" customWidth="1"/>
    <col min="30" max="30" width="8.140625" bestFit="1" customWidth="1"/>
    <col min="31" max="31" width="14.85546875" bestFit="1" customWidth="1"/>
    <col min="32" max="32" width="9.5703125" bestFit="1" customWidth="1"/>
    <col min="33" max="33" width="8.140625" bestFit="1" customWidth="1"/>
    <col min="34" max="34" width="10.5703125" bestFit="1" customWidth="1"/>
    <col min="35" max="35" width="9.5703125" bestFit="1" customWidth="1"/>
    <col min="36" max="36" width="8.140625" bestFit="1" customWidth="1"/>
    <col min="37" max="37" width="12.5703125" bestFit="1" customWidth="1"/>
    <col min="38" max="38" width="9.5703125" bestFit="1" customWidth="1"/>
    <col min="39" max="39" width="8.140625" bestFit="1" customWidth="1"/>
  </cols>
  <sheetData>
    <row r="1" spans="1:43" s="147" customFormat="1" ht="14.45" x14ac:dyDescent="0.3"/>
    <row r="2" spans="1:43" s="2" customFormat="1" ht="14.25" customHeight="1" x14ac:dyDescent="0.35">
      <c r="B2" s="143" t="s">
        <v>330</v>
      </c>
      <c r="Q2" s="1"/>
      <c r="R2" s="1"/>
    </row>
    <row r="4" spans="1:43" ht="21" x14ac:dyDescent="0.4">
      <c r="A4" s="214" t="s">
        <v>217</v>
      </c>
      <c r="B4" s="214"/>
      <c r="C4" s="214"/>
      <c r="D4" s="214"/>
      <c r="E4" s="214"/>
      <c r="F4" s="214"/>
      <c r="G4" s="214"/>
      <c r="H4" s="214"/>
      <c r="I4" s="214"/>
      <c r="J4" s="214"/>
      <c r="K4" s="214"/>
      <c r="L4" s="214"/>
      <c r="M4" s="214"/>
      <c r="N4" s="214"/>
      <c r="O4" s="214"/>
      <c r="P4" s="214"/>
      <c r="R4" s="214" t="s">
        <v>77</v>
      </c>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row>
    <row r="5" spans="1:43" ht="14.45" x14ac:dyDescent="0.3">
      <c r="A5" s="16"/>
      <c r="B5" s="201" t="s">
        <v>215</v>
      </c>
      <c r="C5" s="201"/>
      <c r="D5" s="201"/>
      <c r="E5" s="201"/>
      <c r="F5" s="201"/>
      <c r="G5" s="201"/>
      <c r="H5" s="201"/>
      <c r="I5" s="16"/>
      <c r="J5" s="201" t="s">
        <v>216</v>
      </c>
      <c r="K5" s="201"/>
      <c r="L5" s="201"/>
      <c r="M5" s="201"/>
      <c r="N5" s="201"/>
      <c r="O5" s="201"/>
      <c r="P5" s="201"/>
      <c r="R5" s="16"/>
      <c r="S5" s="201" t="s">
        <v>16</v>
      </c>
      <c r="T5" s="201"/>
      <c r="U5" s="201"/>
      <c r="V5" s="201" t="s">
        <v>17</v>
      </c>
      <c r="W5" s="201"/>
      <c r="X5" s="201"/>
      <c r="Y5" s="201" t="s">
        <v>18</v>
      </c>
      <c r="Z5" s="201"/>
      <c r="AA5" s="201"/>
      <c r="AB5" s="201" t="s">
        <v>19</v>
      </c>
      <c r="AC5" s="201"/>
      <c r="AD5" s="201"/>
      <c r="AE5" s="201" t="s">
        <v>20</v>
      </c>
      <c r="AF5" s="201"/>
      <c r="AG5" s="201"/>
      <c r="AH5" s="201" t="s">
        <v>21</v>
      </c>
      <c r="AI5" s="201"/>
      <c r="AJ5" s="201"/>
      <c r="AK5" s="201" t="s">
        <v>22</v>
      </c>
      <c r="AL5" s="201"/>
      <c r="AM5" s="201"/>
      <c r="AN5" s="201" t="s">
        <v>211</v>
      </c>
      <c r="AO5" s="201"/>
      <c r="AP5" s="201"/>
      <c r="AQ5" s="43"/>
    </row>
    <row r="6" spans="1:43" ht="14.45" x14ac:dyDescent="0.3">
      <c r="A6" s="16" t="s">
        <v>48</v>
      </c>
      <c r="B6" s="16" t="s">
        <v>7</v>
      </c>
      <c r="C6" s="16" t="s">
        <v>8</v>
      </c>
      <c r="D6" s="16" t="s">
        <v>2</v>
      </c>
      <c r="E6" s="16" t="s">
        <v>3</v>
      </c>
      <c r="F6" s="16" t="s">
        <v>4</v>
      </c>
      <c r="G6" s="16" t="s">
        <v>5</v>
      </c>
      <c r="H6" s="16" t="s">
        <v>6</v>
      </c>
      <c r="I6" s="16"/>
      <c r="J6" s="16" t="s">
        <v>7</v>
      </c>
      <c r="K6" s="16" t="s">
        <v>8</v>
      </c>
      <c r="L6" s="16" t="s">
        <v>2</v>
      </c>
      <c r="M6" s="16" t="s">
        <v>3</v>
      </c>
      <c r="N6" s="16" t="s">
        <v>4</v>
      </c>
      <c r="O6" s="16" t="s">
        <v>5</v>
      </c>
      <c r="P6" s="16" t="s">
        <v>6</v>
      </c>
      <c r="R6" s="16" t="s">
        <v>48</v>
      </c>
      <c r="S6" s="16" t="s">
        <v>23</v>
      </c>
      <c r="T6" s="16" t="s">
        <v>15</v>
      </c>
      <c r="U6" s="16" t="s">
        <v>24</v>
      </c>
      <c r="V6" s="16" t="s">
        <v>23</v>
      </c>
      <c r="W6" s="16" t="s">
        <v>15</v>
      </c>
      <c r="X6" s="16" t="s">
        <v>24</v>
      </c>
      <c r="Y6" s="16" t="s">
        <v>23</v>
      </c>
      <c r="Z6" s="16" t="s">
        <v>15</v>
      </c>
      <c r="AA6" s="16" t="s">
        <v>24</v>
      </c>
      <c r="AB6" s="16" t="s">
        <v>23</v>
      </c>
      <c r="AC6" s="16" t="s">
        <v>15</v>
      </c>
      <c r="AD6" s="16" t="s">
        <v>24</v>
      </c>
      <c r="AE6" s="16" t="s">
        <v>23</v>
      </c>
      <c r="AF6" s="16" t="s">
        <v>15</v>
      </c>
      <c r="AG6" s="16" t="s">
        <v>24</v>
      </c>
      <c r="AH6" s="16" t="s">
        <v>23</v>
      </c>
      <c r="AI6" s="16" t="s">
        <v>15</v>
      </c>
      <c r="AJ6" s="16" t="s">
        <v>24</v>
      </c>
      <c r="AK6" s="16" t="s">
        <v>23</v>
      </c>
      <c r="AL6" s="16" t="s">
        <v>15</v>
      </c>
      <c r="AM6" s="16" t="s">
        <v>24</v>
      </c>
      <c r="AN6" s="16" t="s">
        <v>212</v>
      </c>
      <c r="AO6" s="16" t="s">
        <v>213</v>
      </c>
      <c r="AP6" s="16" t="s">
        <v>214</v>
      </c>
    </row>
    <row r="7" spans="1:43" ht="14.45" x14ac:dyDescent="0.3">
      <c r="A7" s="138">
        <v>41974</v>
      </c>
      <c r="B7" s="126">
        <f t="shared" ref="B7:B30" si="0">S7/SUM($S$32:$AM$32)*U7</f>
        <v>3.3788110399925886E-4</v>
      </c>
      <c r="C7" s="126">
        <f t="shared" ref="C7:C30" si="1">V7/SUM($S$32:$AM$32)*X7</f>
        <v>3.8965320864430659E-4</v>
      </c>
      <c r="D7" s="126">
        <f t="shared" ref="D7:D30" si="2">Y7/SUM($S$32:$AM$32)*AA7</f>
        <v>4.0327744670879285E-4</v>
      </c>
      <c r="E7" s="126">
        <f t="shared" ref="E7:E30" si="3">AB7/SUM($S$32:$AM$32)*AD7</f>
        <v>4.3052592283776537E-4</v>
      </c>
      <c r="F7" s="126">
        <f t="shared" ref="F7:F30" si="4">AE7/SUM($S$32:$AM$32)*AG7</f>
        <v>3.6240473251533407E-4</v>
      </c>
      <c r="G7" s="126">
        <f t="shared" ref="G7:G30" si="5">AH7/SUM($S$32:$AM$32)*AJ7</f>
        <v>3.4605564683795056E-4</v>
      </c>
      <c r="H7" s="126">
        <f t="shared" ref="H7:H30" si="6">AK7/SUM($S$32:$AM$32)*AM7</f>
        <v>2.2343750425757439E-4</v>
      </c>
      <c r="I7" s="15"/>
      <c r="J7" s="126">
        <f t="shared" ref="J7:J30" si="7">S7/SUM($S$32:$AM$32)*(1-U7)</f>
        <v>2.4251143754785514E-3</v>
      </c>
      <c r="K7" s="126">
        <f t="shared" ref="K7:K30" si="8">V7/SUM($S$32:$AM$32)*(1-X7)</f>
        <v>1.6539825010286301E-3</v>
      </c>
      <c r="L7" s="126">
        <f t="shared" ref="L7:L30" si="9">Y7/SUM($S$32:$AM$32)*(1-AA7)</f>
        <v>1.5204649679966648E-3</v>
      </c>
      <c r="M7" s="126">
        <f t="shared" ref="M7:M30" si="10">AB7/SUM($S$32:$AM$32)*(1-AD7)</f>
        <v>1.5531631393514319E-3</v>
      </c>
      <c r="N7" s="126">
        <f t="shared" ref="N7:N30" si="11">AE7/SUM($S$32:$AM$32)*(1-AG7)</f>
        <v>1.9727896717376078E-3</v>
      </c>
      <c r="O7" s="126">
        <f t="shared" ref="O7:O30" si="12">AH7/SUM($S$32:$AM$32)*(1-AJ7)</f>
        <v>2.8256669745744464E-3</v>
      </c>
      <c r="P7" s="126">
        <f t="shared" ref="P7:P30" si="13">AK7/SUM($S$32:$AM$32)*(1-AM7)</f>
        <v>3.079077802573891E-3</v>
      </c>
      <c r="R7" s="138">
        <v>41974</v>
      </c>
      <c r="S7" s="132">
        <v>1014</v>
      </c>
      <c r="T7" s="133">
        <v>124</v>
      </c>
      <c r="U7" s="134">
        <f>SUM(T7/S7)</f>
        <v>0.1222879684418146</v>
      </c>
      <c r="V7" s="132">
        <v>750</v>
      </c>
      <c r="W7" s="133">
        <v>143</v>
      </c>
      <c r="X7" s="134">
        <f>SUM(W7/V7)</f>
        <v>0.19066666666666668</v>
      </c>
      <c r="Y7" s="132">
        <v>706</v>
      </c>
      <c r="Z7" s="133">
        <v>148</v>
      </c>
      <c r="AA7" s="134">
        <f>SUM(Z7/Y7)</f>
        <v>0.20963172804532579</v>
      </c>
      <c r="AB7" s="132">
        <v>728</v>
      </c>
      <c r="AC7" s="133">
        <v>158</v>
      </c>
      <c r="AD7" s="134">
        <f>SUM(AC7/AB7)</f>
        <v>0.21703296703296704</v>
      </c>
      <c r="AE7" s="132">
        <v>857</v>
      </c>
      <c r="AF7" s="133">
        <v>133</v>
      </c>
      <c r="AG7" s="134">
        <f>SUM(AF7/AE7)</f>
        <v>0.15519253208868145</v>
      </c>
      <c r="AH7" s="132">
        <v>1164</v>
      </c>
      <c r="AI7" s="133">
        <v>127</v>
      </c>
      <c r="AJ7" s="134">
        <v>0.10910652920962199</v>
      </c>
      <c r="AK7" s="132">
        <v>1212</v>
      </c>
      <c r="AL7" s="133">
        <v>82</v>
      </c>
      <c r="AM7" s="134">
        <v>6.7656765676567657E-2</v>
      </c>
      <c r="AN7" s="65">
        <f t="shared" ref="AN7:AN30" si="14">AK7+AH7+AE7+AB7+Y7+V7+S7</f>
        <v>6431</v>
      </c>
      <c r="AO7" s="65">
        <f t="shared" ref="AO7:AO30" si="15">AL7+AI7+AF7+AC7+Z7+W7+T7</f>
        <v>915</v>
      </c>
      <c r="AP7" s="70">
        <f>AO7/AN7</f>
        <v>0.14227958326854301</v>
      </c>
    </row>
    <row r="8" spans="1:43" ht="14.45" x14ac:dyDescent="0.3">
      <c r="A8" s="139">
        <v>41974.041666666664</v>
      </c>
      <c r="B8" s="126">
        <f t="shared" si="0"/>
        <v>3.4060595161215611E-4</v>
      </c>
      <c r="C8" s="126">
        <f t="shared" si="1"/>
        <v>4.4687500851514877E-4</v>
      </c>
      <c r="D8" s="126">
        <f t="shared" si="2"/>
        <v>4.0327744670879285E-4</v>
      </c>
      <c r="E8" s="126">
        <f t="shared" si="3"/>
        <v>4.3325077045066257E-4</v>
      </c>
      <c r="F8" s="126">
        <f t="shared" si="4"/>
        <v>3.9237805625720384E-4</v>
      </c>
      <c r="G8" s="126">
        <f t="shared" si="5"/>
        <v>3.7602897057982033E-4</v>
      </c>
      <c r="H8" s="126">
        <f t="shared" si="6"/>
        <v>1.5804116154804042E-4</v>
      </c>
      <c r="I8" s="15"/>
      <c r="J8" s="126">
        <f t="shared" si="7"/>
        <v>1.3923971301904941E-3</v>
      </c>
      <c r="K8" s="126">
        <f t="shared" si="8"/>
        <v>9.3734757883665368E-4</v>
      </c>
      <c r="L8" s="126">
        <f t="shared" si="9"/>
        <v>9.0464940748188655E-4</v>
      </c>
      <c r="M8" s="126">
        <f t="shared" si="10"/>
        <v>1.0327172452880573E-3</v>
      </c>
      <c r="N8" s="126">
        <f t="shared" si="11"/>
        <v>1.2370808162553508E-3</v>
      </c>
      <c r="O8" s="126">
        <f t="shared" si="12"/>
        <v>1.6321837201254518E-3</v>
      </c>
      <c r="P8" s="126">
        <f t="shared" si="13"/>
        <v>1.5831364630933015E-3</v>
      </c>
      <c r="R8" s="139">
        <v>41974.041666666664</v>
      </c>
      <c r="S8" s="132">
        <v>636</v>
      </c>
      <c r="T8" s="133">
        <v>125</v>
      </c>
      <c r="U8" s="134">
        <f t="shared" ref="U8:U30" si="16">SUM(T8/S8)</f>
        <v>0.19654088050314467</v>
      </c>
      <c r="V8" s="132">
        <v>508</v>
      </c>
      <c r="W8" s="133">
        <v>164</v>
      </c>
      <c r="X8" s="134">
        <f t="shared" ref="X8:X30" si="17">SUM(W8/V8)</f>
        <v>0.32283464566929132</v>
      </c>
      <c r="Y8" s="132">
        <v>480</v>
      </c>
      <c r="Z8" s="133">
        <v>148</v>
      </c>
      <c r="AA8" s="134">
        <f t="shared" ref="AA8:AA30" si="18">SUM(Z8/Y8)</f>
        <v>0.30833333333333335</v>
      </c>
      <c r="AB8" s="132">
        <v>538</v>
      </c>
      <c r="AC8" s="133">
        <v>159</v>
      </c>
      <c r="AD8" s="134">
        <f t="shared" ref="AD8:AD30" si="19">SUM(AC8/AB8)</f>
        <v>0.29553903345724908</v>
      </c>
      <c r="AE8" s="132">
        <v>598</v>
      </c>
      <c r="AF8" s="133">
        <v>144</v>
      </c>
      <c r="AG8" s="134">
        <f t="shared" ref="AG8:AG30" si="20">SUM(AF8/AE8)</f>
        <v>0.24080267558528429</v>
      </c>
      <c r="AH8" s="132">
        <v>737</v>
      </c>
      <c r="AI8" s="133">
        <v>138</v>
      </c>
      <c r="AJ8" s="134">
        <v>0.18724559023066487</v>
      </c>
      <c r="AK8" s="132">
        <v>639</v>
      </c>
      <c r="AL8" s="133">
        <v>58</v>
      </c>
      <c r="AM8" s="134">
        <v>9.0766823161189364E-2</v>
      </c>
      <c r="AN8" s="65">
        <f t="shared" si="14"/>
        <v>4136</v>
      </c>
      <c r="AO8" s="65">
        <f t="shared" si="15"/>
        <v>936</v>
      </c>
      <c r="AP8" s="70">
        <f t="shared" ref="AP8:AP30" si="21">AO8/AN8</f>
        <v>0.22630560928433269</v>
      </c>
    </row>
    <row r="9" spans="1:43" ht="14.45" x14ac:dyDescent="0.3">
      <c r="A9" s="139">
        <v>41974.083333333336</v>
      </c>
      <c r="B9" s="126">
        <f t="shared" si="0"/>
        <v>3.5695503728953957E-4</v>
      </c>
      <c r="C9" s="126">
        <f t="shared" si="1"/>
        <v>4.9319741793440205E-4</v>
      </c>
      <c r="D9" s="126">
        <f t="shared" si="2"/>
        <v>4.3870046567645707E-4</v>
      </c>
      <c r="E9" s="126">
        <f t="shared" si="3"/>
        <v>5.2044589406337457E-4</v>
      </c>
      <c r="F9" s="126">
        <f t="shared" si="4"/>
        <v>4.6322409419253234E-4</v>
      </c>
      <c r="G9" s="126">
        <f t="shared" si="5"/>
        <v>3.2425686593477265E-4</v>
      </c>
      <c r="H9" s="126">
        <f t="shared" si="6"/>
        <v>1.4714177109645144E-4</v>
      </c>
      <c r="I9" s="15"/>
      <c r="J9" s="126">
        <f t="shared" si="7"/>
        <v>8.3107852193366086E-4</v>
      </c>
      <c r="K9" s="126">
        <f t="shared" si="8"/>
        <v>5.5586891303103874E-4</v>
      </c>
      <c r="L9" s="126">
        <f t="shared" si="9"/>
        <v>4.087271419345873E-4</v>
      </c>
      <c r="M9" s="126">
        <f t="shared" si="10"/>
        <v>5.3407013212786072E-4</v>
      </c>
      <c r="N9" s="126">
        <f t="shared" si="11"/>
        <v>5.4496952257944984E-4</v>
      </c>
      <c r="O9" s="126">
        <f t="shared" si="12"/>
        <v>9.1554879793347566E-4</v>
      </c>
      <c r="P9" s="126">
        <f t="shared" si="13"/>
        <v>1.1471608450297416E-3</v>
      </c>
      <c r="R9" s="139">
        <v>41974.083333333336</v>
      </c>
      <c r="S9" s="132">
        <v>436</v>
      </c>
      <c r="T9" s="133">
        <v>131</v>
      </c>
      <c r="U9" s="134">
        <f t="shared" si="16"/>
        <v>0.30045871559633025</v>
      </c>
      <c r="V9" s="132">
        <v>385</v>
      </c>
      <c r="W9" s="133">
        <v>181</v>
      </c>
      <c r="X9" s="134">
        <f t="shared" si="17"/>
        <v>0.47012987012987012</v>
      </c>
      <c r="Y9" s="132">
        <v>311</v>
      </c>
      <c r="Z9" s="133">
        <v>161</v>
      </c>
      <c r="AA9" s="134">
        <f t="shared" si="18"/>
        <v>0.51768488745980712</v>
      </c>
      <c r="AB9" s="132">
        <v>387</v>
      </c>
      <c r="AC9" s="133">
        <v>191</v>
      </c>
      <c r="AD9" s="134">
        <f t="shared" si="19"/>
        <v>0.49354005167958659</v>
      </c>
      <c r="AE9" s="132">
        <v>370</v>
      </c>
      <c r="AF9" s="133">
        <v>170</v>
      </c>
      <c r="AG9" s="134">
        <f t="shared" si="20"/>
        <v>0.45945945945945948</v>
      </c>
      <c r="AH9" s="132">
        <v>455</v>
      </c>
      <c r="AI9" s="133">
        <v>119</v>
      </c>
      <c r="AJ9" s="134">
        <v>0.26153846153846155</v>
      </c>
      <c r="AK9" s="132">
        <v>475</v>
      </c>
      <c r="AL9" s="133">
        <v>54</v>
      </c>
      <c r="AM9" s="134">
        <v>0.11368421052631579</v>
      </c>
      <c r="AN9" s="65">
        <f t="shared" si="14"/>
        <v>2819</v>
      </c>
      <c r="AO9" s="65">
        <f t="shared" si="15"/>
        <v>1007</v>
      </c>
      <c r="AP9" s="70">
        <f t="shared" si="21"/>
        <v>0.35721887194040441</v>
      </c>
    </row>
    <row r="10" spans="1:43" ht="14.45" x14ac:dyDescent="0.3">
      <c r="A10" s="139">
        <v>41974.125</v>
      </c>
      <c r="B10" s="126">
        <f t="shared" si="0"/>
        <v>4.3325077045066257E-4</v>
      </c>
      <c r="C10" s="126">
        <f t="shared" si="1"/>
        <v>4.5232470374094327E-4</v>
      </c>
      <c r="D10" s="126">
        <f t="shared" si="2"/>
        <v>5.9674162722449741E-4</v>
      </c>
      <c r="E10" s="126">
        <f t="shared" si="3"/>
        <v>5.8311738916001126E-4</v>
      </c>
      <c r="F10" s="126">
        <f t="shared" si="4"/>
        <v>5.2317074167627172E-4</v>
      </c>
      <c r="G10" s="126">
        <f t="shared" si="5"/>
        <v>3.5695503728953962E-4</v>
      </c>
      <c r="H10" s="126">
        <f t="shared" si="6"/>
        <v>1.5259146632224594E-4</v>
      </c>
      <c r="I10" s="15"/>
      <c r="J10" s="126">
        <f t="shared" si="7"/>
        <v>6.3216464619216168E-4</v>
      </c>
      <c r="K10" s="126">
        <f t="shared" si="8"/>
        <v>4.2507622761197086E-4</v>
      </c>
      <c r="L10" s="126">
        <f t="shared" si="9"/>
        <v>3.9237805625720379E-4</v>
      </c>
      <c r="M10" s="126">
        <f t="shared" si="10"/>
        <v>3.8147866580561483E-4</v>
      </c>
      <c r="N10" s="126">
        <f t="shared" si="11"/>
        <v>4.6049924657963498E-4</v>
      </c>
      <c r="O10" s="126">
        <f t="shared" si="12"/>
        <v>7.6568217922412692E-4</v>
      </c>
      <c r="P10" s="126">
        <f t="shared" si="13"/>
        <v>8.1472943625627734E-4</v>
      </c>
      <c r="R10" s="139">
        <v>41974.125</v>
      </c>
      <c r="S10" s="132">
        <v>391</v>
      </c>
      <c r="T10" s="133">
        <v>159</v>
      </c>
      <c r="U10" s="134">
        <f t="shared" si="16"/>
        <v>0.40664961636828645</v>
      </c>
      <c r="V10" s="132">
        <v>322</v>
      </c>
      <c r="W10" s="133">
        <v>166</v>
      </c>
      <c r="X10" s="134">
        <f t="shared" si="17"/>
        <v>0.51552795031055898</v>
      </c>
      <c r="Y10" s="132">
        <v>363</v>
      </c>
      <c r="Z10" s="133">
        <v>219</v>
      </c>
      <c r="AA10" s="134">
        <f t="shared" si="18"/>
        <v>0.60330578512396693</v>
      </c>
      <c r="AB10" s="132">
        <v>354</v>
      </c>
      <c r="AC10" s="133">
        <v>214</v>
      </c>
      <c r="AD10" s="134">
        <f t="shared" si="19"/>
        <v>0.60451977401129942</v>
      </c>
      <c r="AE10" s="132">
        <v>361</v>
      </c>
      <c r="AF10" s="133">
        <v>192</v>
      </c>
      <c r="AG10" s="134">
        <f t="shared" si="20"/>
        <v>0.53185595567867039</v>
      </c>
      <c r="AH10" s="132">
        <v>412</v>
      </c>
      <c r="AI10" s="133">
        <v>131</v>
      </c>
      <c r="AJ10" s="134">
        <v>0.31796116504854371</v>
      </c>
      <c r="AK10" s="132">
        <v>355</v>
      </c>
      <c r="AL10" s="133">
        <v>56</v>
      </c>
      <c r="AM10" s="134">
        <v>0.15774647887323945</v>
      </c>
      <c r="AN10" s="65">
        <f t="shared" si="14"/>
        <v>2558</v>
      </c>
      <c r="AO10" s="65">
        <f t="shared" si="15"/>
        <v>1137</v>
      </c>
      <c r="AP10" s="70">
        <f t="shared" si="21"/>
        <v>0.44448788115715404</v>
      </c>
    </row>
    <row r="11" spans="1:43" ht="14.45" x14ac:dyDescent="0.3">
      <c r="A11" s="139">
        <v>41974.166666666664</v>
      </c>
      <c r="B11" s="126">
        <f t="shared" si="0"/>
        <v>4.9319741793440205E-4</v>
      </c>
      <c r="C11" s="126">
        <f t="shared" si="1"/>
        <v>6.594131223211342E-4</v>
      </c>
      <c r="D11" s="126">
        <f t="shared" si="2"/>
        <v>6.485137318695453E-4</v>
      </c>
      <c r="E11" s="126">
        <f t="shared" si="3"/>
        <v>6.4851373186954519E-4</v>
      </c>
      <c r="F11" s="126">
        <f t="shared" si="4"/>
        <v>7.8475611251440757E-4</v>
      </c>
      <c r="G11" s="126">
        <f t="shared" si="5"/>
        <v>3.6512958012823138E-4</v>
      </c>
      <c r="H11" s="126">
        <f t="shared" si="6"/>
        <v>1.7166539961252668E-4</v>
      </c>
      <c r="I11" s="15"/>
      <c r="J11" s="126">
        <f t="shared" si="7"/>
        <v>6.1036586528898389E-4</v>
      </c>
      <c r="K11" s="126">
        <f t="shared" si="8"/>
        <v>4.8774772270860744E-4</v>
      </c>
      <c r="L11" s="126">
        <f t="shared" si="9"/>
        <v>4.4959985612804608E-4</v>
      </c>
      <c r="M11" s="126">
        <f t="shared" si="10"/>
        <v>5.1772104645047732E-4</v>
      </c>
      <c r="N11" s="126">
        <f t="shared" si="11"/>
        <v>5.5586891303103885E-4</v>
      </c>
      <c r="O11" s="126">
        <f t="shared" si="12"/>
        <v>5.0137196077309381E-4</v>
      </c>
      <c r="P11" s="126">
        <f t="shared" si="13"/>
        <v>5.2044589406337457E-4</v>
      </c>
      <c r="R11" s="139">
        <v>41974.166666666664</v>
      </c>
      <c r="S11" s="132">
        <v>405</v>
      </c>
      <c r="T11" s="133">
        <v>181</v>
      </c>
      <c r="U11" s="134">
        <f t="shared" si="16"/>
        <v>0.44691358024691358</v>
      </c>
      <c r="V11" s="132">
        <v>421</v>
      </c>
      <c r="W11" s="133">
        <v>242</v>
      </c>
      <c r="X11" s="134">
        <f t="shared" si="17"/>
        <v>0.57482185273159148</v>
      </c>
      <c r="Y11" s="132">
        <v>403</v>
      </c>
      <c r="Z11" s="133">
        <v>238</v>
      </c>
      <c r="AA11" s="134">
        <f t="shared" si="18"/>
        <v>0.59057071960297769</v>
      </c>
      <c r="AB11" s="132">
        <v>428</v>
      </c>
      <c r="AC11" s="133">
        <v>238</v>
      </c>
      <c r="AD11" s="134">
        <f t="shared" si="19"/>
        <v>0.55607476635514019</v>
      </c>
      <c r="AE11" s="132">
        <v>492</v>
      </c>
      <c r="AF11" s="133">
        <v>288</v>
      </c>
      <c r="AG11" s="134">
        <f t="shared" si="20"/>
        <v>0.58536585365853655</v>
      </c>
      <c r="AH11" s="132">
        <v>318</v>
      </c>
      <c r="AI11" s="133">
        <v>134</v>
      </c>
      <c r="AJ11" s="134">
        <v>0.42138364779874216</v>
      </c>
      <c r="AK11" s="132">
        <v>254</v>
      </c>
      <c r="AL11" s="133">
        <v>63</v>
      </c>
      <c r="AM11" s="134">
        <v>0.24803149606299213</v>
      </c>
      <c r="AN11" s="65">
        <f t="shared" si="14"/>
        <v>2721</v>
      </c>
      <c r="AO11" s="65">
        <f t="shared" si="15"/>
        <v>1384</v>
      </c>
      <c r="AP11" s="70">
        <f t="shared" si="21"/>
        <v>0.50863653068724735</v>
      </c>
    </row>
    <row r="12" spans="1:43" ht="14.45" x14ac:dyDescent="0.3">
      <c r="A12" s="139">
        <v>41974.208333333336</v>
      </c>
      <c r="B12" s="126">
        <f t="shared" si="0"/>
        <v>5.9129193199870301E-4</v>
      </c>
      <c r="C12" s="126">
        <f t="shared" si="1"/>
        <v>8.065548934175857E-4</v>
      </c>
      <c r="D12" s="126">
        <f t="shared" si="2"/>
        <v>6.5123857948244245E-4</v>
      </c>
      <c r="E12" s="126">
        <f t="shared" si="3"/>
        <v>9.4279727406244808E-4</v>
      </c>
      <c r="F12" s="126">
        <f t="shared" si="4"/>
        <v>8.229039790949691E-4</v>
      </c>
      <c r="G12" s="126">
        <f t="shared" si="5"/>
        <v>3.3243140877346435E-4</v>
      </c>
      <c r="H12" s="126">
        <f t="shared" si="6"/>
        <v>1.9073933290280742E-4</v>
      </c>
      <c r="I12" s="15"/>
      <c r="J12" s="126">
        <f t="shared" si="7"/>
        <v>1.4605183205129253E-3</v>
      </c>
      <c r="K12" s="126">
        <f t="shared" si="8"/>
        <v>1.2834032256746042E-3</v>
      </c>
      <c r="L12" s="126">
        <f t="shared" si="9"/>
        <v>9.6732090257852323E-4</v>
      </c>
      <c r="M12" s="126">
        <f t="shared" si="10"/>
        <v>1.0027439215461874E-3</v>
      </c>
      <c r="N12" s="126">
        <f t="shared" si="11"/>
        <v>9.9184453109459861E-4</v>
      </c>
      <c r="O12" s="126">
        <f t="shared" si="12"/>
        <v>7.2208461741777089E-4</v>
      </c>
      <c r="P12" s="126">
        <f t="shared" si="13"/>
        <v>6.1309071290188092E-4</v>
      </c>
      <c r="R12" s="139">
        <v>41974.208333333336</v>
      </c>
      <c r="S12" s="132">
        <v>753</v>
      </c>
      <c r="T12" s="133">
        <v>217</v>
      </c>
      <c r="U12" s="134">
        <f t="shared" si="16"/>
        <v>0.28818061088977426</v>
      </c>
      <c r="V12" s="132">
        <v>767</v>
      </c>
      <c r="W12" s="133">
        <v>296</v>
      </c>
      <c r="X12" s="134">
        <f t="shared" si="17"/>
        <v>0.38591916558018252</v>
      </c>
      <c r="Y12" s="132">
        <v>594</v>
      </c>
      <c r="Z12" s="133">
        <v>239</v>
      </c>
      <c r="AA12" s="134">
        <f t="shared" si="18"/>
        <v>0.40235690235690236</v>
      </c>
      <c r="AB12" s="132">
        <v>714</v>
      </c>
      <c r="AC12" s="133">
        <v>346</v>
      </c>
      <c r="AD12" s="134">
        <f t="shared" si="19"/>
        <v>0.484593837535014</v>
      </c>
      <c r="AE12" s="132">
        <v>666</v>
      </c>
      <c r="AF12" s="133">
        <v>302</v>
      </c>
      <c r="AG12" s="134">
        <f t="shared" si="20"/>
        <v>0.45345345345345345</v>
      </c>
      <c r="AH12" s="132">
        <v>387</v>
      </c>
      <c r="AI12" s="133">
        <v>122</v>
      </c>
      <c r="AJ12" s="134">
        <v>0.3152454780361757</v>
      </c>
      <c r="AK12" s="132">
        <v>295</v>
      </c>
      <c r="AL12" s="133">
        <v>70</v>
      </c>
      <c r="AM12" s="134">
        <v>0.23728813559322035</v>
      </c>
      <c r="AN12" s="65">
        <f t="shared" si="14"/>
        <v>4176</v>
      </c>
      <c r="AO12" s="65">
        <f t="shared" si="15"/>
        <v>1592</v>
      </c>
      <c r="AP12" s="70">
        <f t="shared" si="21"/>
        <v>0.38122605363984674</v>
      </c>
    </row>
    <row r="13" spans="1:43" ht="14.45" x14ac:dyDescent="0.3">
      <c r="A13" s="139">
        <v>41974.25</v>
      </c>
      <c r="B13" s="126">
        <f t="shared" si="0"/>
        <v>8.6922638851422227E-4</v>
      </c>
      <c r="C13" s="126">
        <f t="shared" si="1"/>
        <v>1.0299923976751601E-3</v>
      </c>
      <c r="D13" s="126">
        <f t="shared" si="2"/>
        <v>1.1090129784491801E-3</v>
      </c>
      <c r="E13" s="126">
        <f t="shared" si="3"/>
        <v>1.1526105402555364E-3</v>
      </c>
      <c r="F13" s="126">
        <f t="shared" si="4"/>
        <v>1.1335366069652555E-3</v>
      </c>
      <c r="G13" s="126">
        <f t="shared" si="5"/>
        <v>4.3597561806355976E-4</v>
      </c>
      <c r="H13" s="126">
        <f t="shared" si="6"/>
        <v>1.9073933290280742E-4</v>
      </c>
      <c r="I13" s="15"/>
      <c r="J13" s="126">
        <f t="shared" si="7"/>
        <v>3.378811039992588E-3</v>
      </c>
      <c r="K13" s="126">
        <f t="shared" si="8"/>
        <v>2.7657203270907075E-3</v>
      </c>
      <c r="L13" s="126">
        <f t="shared" si="9"/>
        <v>2.6458270321232285E-3</v>
      </c>
      <c r="M13" s="126">
        <f t="shared" si="10"/>
        <v>2.6621761178006122E-3</v>
      </c>
      <c r="N13" s="126">
        <f t="shared" si="11"/>
        <v>2.5014101086396744E-3</v>
      </c>
      <c r="O13" s="126">
        <f t="shared" si="12"/>
        <v>1.4632431681258226E-3</v>
      </c>
      <c r="P13" s="126">
        <f t="shared" si="13"/>
        <v>8.6922638851422238E-4</v>
      </c>
      <c r="R13" s="139">
        <v>41974.25</v>
      </c>
      <c r="S13" s="132">
        <v>1559</v>
      </c>
      <c r="T13" s="133">
        <v>319</v>
      </c>
      <c r="U13" s="134">
        <f t="shared" si="16"/>
        <v>0.20461834509300833</v>
      </c>
      <c r="V13" s="132">
        <v>1393</v>
      </c>
      <c r="W13" s="133">
        <v>378</v>
      </c>
      <c r="X13" s="134">
        <f t="shared" si="17"/>
        <v>0.271356783919598</v>
      </c>
      <c r="Y13" s="132">
        <v>1378</v>
      </c>
      <c r="Z13" s="133">
        <v>407</v>
      </c>
      <c r="AA13" s="134">
        <f t="shared" si="18"/>
        <v>0.29535558780841797</v>
      </c>
      <c r="AB13" s="132">
        <v>1400</v>
      </c>
      <c r="AC13" s="133">
        <v>423</v>
      </c>
      <c r="AD13" s="134">
        <f t="shared" si="19"/>
        <v>0.30214285714285716</v>
      </c>
      <c r="AE13" s="132">
        <v>1334</v>
      </c>
      <c r="AF13" s="133">
        <v>416</v>
      </c>
      <c r="AG13" s="134">
        <f t="shared" si="20"/>
        <v>0.31184407796101948</v>
      </c>
      <c r="AH13" s="132">
        <v>697</v>
      </c>
      <c r="AI13" s="133">
        <v>160</v>
      </c>
      <c r="AJ13" s="134">
        <v>0.22955523672883787</v>
      </c>
      <c r="AK13" s="132">
        <v>389</v>
      </c>
      <c r="AL13" s="133">
        <v>70</v>
      </c>
      <c r="AM13" s="134">
        <v>0.17994858611825193</v>
      </c>
      <c r="AN13" s="65">
        <f t="shared" si="14"/>
        <v>8150</v>
      </c>
      <c r="AO13" s="65">
        <f t="shared" si="15"/>
        <v>2173</v>
      </c>
      <c r="AP13" s="70">
        <f t="shared" si="21"/>
        <v>0.26662576687116563</v>
      </c>
    </row>
    <row r="14" spans="1:43" ht="14.45" x14ac:dyDescent="0.3">
      <c r="A14" s="139">
        <v>41974.291666666664</v>
      </c>
      <c r="B14" s="126">
        <f t="shared" si="0"/>
        <v>1.1798590163845087E-3</v>
      </c>
      <c r="C14" s="126">
        <f t="shared" si="1"/>
        <v>1.4986661870934868E-3</v>
      </c>
      <c r="D14" s="126">
        <f t="shared" si="2"/>
        <v>1.4632431681258226E-3</v>
      </c>
      <c r="E14" s="126">
        <f t="shared" si="3"/>
        <v>1.4523437776742336E-3</v>
      </c>
      <c r="F14" s="126">
        <f t="shared" si="4"/>
        <v>1.4496189300613363E-3</v>
      </c>
      <c r="G14" s="126">
        <f t="shared" si="5"/>
        <v>5.4769437019234698E-4</v>
      </c>
      <c r="H14" s="126">
        <f t="shared" si="6"/>
        <v>2.2616235187047166E-4</v>
      </c>
      <c r="I14" s="15"/>
      <c r="J14" s="126">
        <f t="shared" si="7"/>
        <v>8.9620237988190521E-3</v>
      </c>
      <c r="K14" s="126">
        <f t="shared" si="8"/>
        <v>8.2917112860463275E-3</v>
      </c>
      <c r="L14" s="126">
        <f t="shared" si="9"/>
        <v>7.863910210821461E-3</v>
      </c>
      <c r="M14" s="126">
        <f t="shared" si="10"/>
        <v>8.0628240865629579E-3</v>
      </c>
      <c r="N14" s="126">
        <f t="shared" si="11"/>
        <v>7.6213987732736046E-3</v>
      </c>
      <c r="O14" s="126">
        <f t="shared" si="12"/>
        <v>2.7902439556067829E-3</v>
      </c>
      <c r="P14" s="126">
        <f t="shared" si="13"/>
        <v>1.6921303676091916E-3</v>
      </c>
      <c r="R14" s="139">
        <v>41974.291666666664</v>
      </c>
      <c r="S14" s="132">
        <v>3722</v>
      </c>
      <c r="T14" s="133">
        <v>433</v>
      </c>
      <c r="U14" s="134">
        <f t="shared" si="16"/>
        <v>0.11633530360021493</v>
      </c>
      <c r="V14" s="132">
        <v>3593</v>
      </c>
      <c r="W14" s="133">
        <v>550</v>
      </c>
      <c r="X14" s="134">
        <f t="shared" si="17"/>
        <v>0.15307542443640412</v>
      </c>
      <c r="Y14" s="132">
        <v>3423</v>
      </c>
      <c r="Z14" s="133">
        <v>537</v>
      </c>
      <c r="AA14" s="134">
        <f t="shared" si="18"/>
        <v>0.15687992988606486</v>
      </c>
      <c r="AB14" s="132">
        <v>3492</v>
      </c>
      <c r="AC14" s="133">
        <v>533</v>
      </c>
      <c r="AD14" s="134">
        <f t="shared" si="19"/>
        <v>0.15263459335624285</v>
      </c>
      <c r="AE14" s="132">
        <v>3329</v>
      </c>
      <c r="AF14" s="133">
        <v>532</v>
      </c>
      <c r="AG14" s="134">
        <f t="shared" si="20"/>
        <v>0.15980775007509762</v>
      </c>
      <c r="AH14" s="132">
        <v>1225</v>
      </c>
      <c r="AI14" s="133">
        <v>201</v>
      </c>
      <c r="AJ14" s="134">
        <v>0.16408163265306122</v>
      </c>
      <c r="AK14" s="132">
        <v>704</v>
      </c>
      <c r="AL14" s="133">
        <v>83</v>
      </c>
      <c r="AM14" s="134">
        <v>0.11789772727272728</v>
      </c>
      <c r="AN14" s="65">
        <f t="shared" si="14"/>
        <v>19488</v>
      </c>
      <c r="AO14" s="65">
        <f t="shared" si="15"/>
        <v>2869</v>
      </c>
      <c r="AP14" s="70">
        <f t="shared" si="21"/>
        <v>0.14721880131362891</v>
      </c>
    </row>
    <row r="15" spans="1:43" ht="14.45" x14ac:dyDescent="0.3">
      <c r="A15" s="139">
        <v>41974.333333333336</v>
      </c>
      <c r="B15" s="126">
        <f t="shared" si="0"/>
        <v>1.400571673029186E-3</v>
      </c>
      <c r="C15" s="126">
        <f t="shared" si="1"/>
        <v>1.7003049104478832E-3</v>
      </c>
      <c r="D15" s="126">
        <f t="shared" si="2"/>
        <v>1.7084794532865749E-3</v>
      </c>
      <c r="E15" s="126">
        <f t="shared" si="3"/>
        <v>1.7793254912219034E-3</v>
      </c>
      <c r="F15" s="126">
        <f t="shared" si="4"/>
        <v>1.839272138705643E-3</v>
      </c>
      <c r="G15" s="126">
        <f t="shared" si="5"/>
        <v>5.8856708438580576E-4</v>
      </c>
      <c r="H15" s="126">
        <f t="shared" si="6"/>
        <v>3.1335747548318359E-4</v>
      </c>
      <c r="I15" s="15"/>
      <c r="J15" s="126">
        <f t="shared" si="7"/>
        <v>1.3242759398680628E-2</v>
      </c>
      <c r="K15" s="126">
        <f t="shared" si="8"/>
        <v>1.3081993389519691E-2</v>
      </c>
      <c r="L15" s="126">
        <f t="shared" si="9"/>
        <v>1.2447103895714634E-2</v>
      </c>
      <c r="M15" s="126">
        <f t="shared" si="10"/>
        <v>1.3248209093906423E-2</v>
      </c>
      <c r="N15" s="126">
        <f t="shared" si="11"/>
        <v>1.3035670980100438E-2</v>
      </c>
      <c r="O15" s="126">
        <f t="shared" si="12"/>
        <v>3.8611090674754013E-3</v>
      </c>
      <c r="P15" s="126">
        <f t="shared" si="13"/>
        <v>2.2915968424465859E-3</v>
      </c>
      <c r="R15" s="139">
        <v>41974.333333333336</v>
      </c>
      <c r="S15" s="132">
        <v>5374</v>
      </c>
      <c r="T15" s="133">
        <v>514</v>
      </c>
      <c r="U15" s="134">
        <f t="shared" si="16"/>
        <v>9.5645701525865282E-2</v>
      </c>
      <c r="V15" s="132">
        <v>5425</v>
      </c>
      <c r="W15" s="133">
        <v>624</v>
      </c>
      <c r="X15" s="134">
        <f t="shared" si="17"/>
        <v>0.11502304147465438</v>
      </c>
      <c r="Y15" s="132">
        <v>5195</v>
      </c>
      <c r="Z15" s="133">
        <v>627</v>
      </c>
      <c r="AA15" s="134">
        <f t="shared" si="18"/>
        <v>0.12069297401347449</v>
      </c>
      <c r="AB15" s="132">
        <v>5515</v>
      </c>
      <c r="AC15" s="133">
        <v>653</v>
      </c>
      <c r="AD15" s="134">
        <f t="shared" si="19"/>
        <v>0.11840435176790572</v>
      </c>
      <c r="AE15" s="132">
        <v>5459</v>
      </c>
      <c r="AF15" s="133">
        <v>675</v>
      </c>
      <c r="AG15" s="134">
        <f t="shared" si="20"/>
        <v>0.12364901996702693</v>
      </c>
      <c r="AH15" s="132">
        <v>1633</v>
      </c>
      <c r="AI15" s="133">
        <v>216</v>
      </c>
      <c r="AJ15" s="134">
        <v>0.13227189222290264</v>
      </c>
      <c r="AK15" s="132">
        <v>956</v>
      </c>
      <c r="AL15" s="133">
        <v>115</v>
      </c>
      <c r="AM15" s="134">
        <v>0.1202928870292887</v>
      </c>
      <c r="AN15" s="65">
        <f t="shared" si="14"/>
        <v>29557</v>
      </c>
      <c r="AO15" s="65">
        <f t="shared" si="15"/>
        <v>3424</v>
      </c>
      <c r="AP15" s="70">
        <f t="shared" si="21"/>
        <v>0.11584396251311026</v>
      </c>
    </row>
    <row r="16" spans="1:43" ht="14.45" x14ac:dyDescent="0.3">
      <c r="A16" s="139">
        <v>41974.375</v>
      </c>
      <c r="B16" s="126">
        <f t="shared" si="0"/>
        <v>1.5831364630933015E-3</v>
      </c>
      <c r="C16" s="126">
        <f t="shared" si="1"/>
        <v>1.5858613107061987E-3</v>
      </c>
      <c r="D16" s="126">
        <f t="shared" si="2"/>
        <v>1.8992187861893823E-3</v>
      </c>
      <c r="E16" s="126">
        <f t="shared" si="3"/>
        <v>1.523189815609562E-3</v>
      </c>
      <c r="F16" s="126">
        <f t="shared" si="4"/>
        <v>1.566787377415918E-3</v>
      </c>
      <c r="G16" s="126">
        <f t="shared" si="5"/>
        <v>5.6131860825683324E-4</v>
      </c>
      <c r="H16" s="126">
        <f t="shared" si="6"/>
        <v>2.8883384696710838E-4</v>
      </c>
      <c r="I16" s="15"/>
      <c r="J16" s="126">
        <f t="shared" si="7"/>
        <v>1.2071074925134812E-2</v>
      </c>
      <c r="K16" s="126">
        <f t="shared" si="8"/>
        <v>1.2335385143585844E-2</v>
      </c>
      <c r="L16" s="126">
        <f t="shared" si="9"/>
        <v>1.0610556604621886E-2</v>
      </c>
      <c r="M16" s="126">
        <f t="shared" si="10"/>
        <v>1.2098323401263784E-2</v>
      </c>
      <c r="N16" s="126">
        <f t="shared" si="11"/>
        <v>1.0934813470556659E-2</v>
      </c>
      <c r="O16" s="126">
        <f t="shared" si="12"/>
        <v>5.1009147313436504E-3</v>
      </c>
      <c r="P16" s="126">
        <f t="shared" si="13"/>
        <v>3.256192897412212E-3</v>
      </c>
      <c r="R16" s="139">
        <v>41974.375</v>
      </c>
      <c r="S16" s="132">
        <v>5011</v>
      </c>
      <c r="T16" s="133">
        <v>581</v>
      </c>
      <c r="U16" s="134">
        <f t="shared" si="16"/>
        <v>0.11594492117341848</v>
      </c>
      <c r="V16" s="132">
        <v>5109</v>
      </c>
      <c r="W16" s="133">
        <v>582</v>
      </c>
      <c r="X16" s="134">
        <f t="shared" si="17"/>
        <v>0.11391661773341162</v>
      </c>
      <c r="Y16" s="132">
        <v>4591</v>
      </c>
      <c r="Z16" s="133">
        <v>697</v>
      </c>
      <c r="AA16" s="134">
        <f t="shared" si="18"/>
        <v>0.15181877586582443</v>
      </c>
      <c r="AB16" s="132">
        <v>4999</v>
      </c>
      <c r="AC16" s="133">
        <v>559</v>
      </c>
      <c r="AD16" s="134">
        <f t="shared" si="19"/>
        <v>0.11182236447289458</v>
      </c>
      <c r="AE16" s="132">
        <v>4588</v>
      </c>
      <c r="AF16" s="133">
        <v>575</v>
      </c>
      <c r="AG16" s="134">
        <f t="shared" si="20"/>
        <v>0.12532693984306886</v>
      </c>
      <c r="AH16" s="132">
        <v>2078</v>
      </c>
      <c r="AI16" s="133">
        <v>206</v>
      </c>
      <c r="AJ16" s="134">
        <v>9.9133782483156879E-2</v>
      </c>
      <c r="AK16" s="132">
        <v>1301</v>
      </c>
      <c r="AL16" s="133">
        <v>106</v>
      </c>
      <c r="AM16" s="134">
        <v>8.1475787855495779E-2</v>
      </c>
      <c r="AN16" s="65">
        <f t="shared" si="14"/>
        <v>27677</v>
      </c>
      <c r="AO16" s="65">
        <f t="shared" si="15"/>
        <v>3306</v>
      </c>
      <c r="AP16" s="70">
        <f t="shared" si="21"/>
        <v>0.11944936228637497</v>
      </c>
    </row>
    <row r="17" spans="1:42" ht="14.45" x14ac:dyDescent="0.3">
      <c r="A17" s="139">
        <v>41974.416666666664</v>
      </c>
      <c r="B17" s="126">
        <f t="shared" si="0"/>
        <v>1.2534299019327344E-3</v>
      </c>
      <c r="C17" s="126">
        <f t="shared" si="1"/>
        <v>1.0981135879975911E-3</v>
      </c>
      <c r="D17" s="126">
        <f t="shared" si="2"/>
        <v>1.171684473545817E-3</v>
      </c>
      <c r="E17" s="126">
        <f t="shared" si="3"/>
        <v>1.0654154166428243E-3</v>
      </c>
      <c r="F17" s="126">
        <f t="shared" si="4"/>
        <v>1.239805663868248E-3</v>
      </c>
      <c r="G17" s="126">
        <f t="shared" si="5"/>
        <v>6.2126525574057268E-4</v>
      </c>
      <c r="H17" s="126">
        <f t="shared" si="6"/>
        <v>3.7602897057982038E-4</v>
      </c>
      <c r="I17" s="15"/>
      <c r="J17" s="126">
        <f t="shared" si="7"/>
        <v>8.9429498655287688E-3</v>
      </c>
      <c r="K17" s="126">
        <f t="shared" si="8"/>
        <v>7.9647295724986581E-3</v>
      </c>
      <c r="L17" s="126">
        <f t="shared" si="9"/>
        <v>8.4552021428201639E-3</v>
      </c>
      <c r="M17" s="126">
        <f t="shared" si="10"/>
        <v>8.237214333788382E-3</v>
      </c>
      <c r="N17" s="126">
        <f t="shared" si="11"/>
        <v>7.8584605155956645E-3</v>
      </c>
      <c r="O17" s="126">
        <f t="shared" si="12"/>
        <v>6.1309071290188101E-3</v>
      </c>
      <c r="P17" s="126">
        <f t="shared" si="13"/>
        <v>4.7739330177959801E-3</v>
      </c>
      <c r="R17" s="139">
        <v>41974.416666666664</v>
      </c>
      <c r="S17" s="132">
        <v>3742</v>
      </c>
      <c r="T17" s="133">
        <v>460</v>
      </c>
      <c r="U17" s="134">
        <f t="shared" si="16"/>
        <v>0.12292891501870658</v>
      </c>
      <c r="V17" s="132">
        <v>3326</v>
      </c>
      <c r="W17" s="133">
        <v>403</v>
      </c>
      <c r="X17" s="134">
        <f t="shared" si="17"/>
        <v>0.12116656644618159</v>
      </c>
      <c r="Y17" s="132">
        <v>3533</v>
      </c>
      <c r="Z17" s="133">
        <v>430</v>
      </c>
      <c r="AA17" s="134">
        <f t="shared" si="18"/>
        <v>0.12170959524483442</v>
      </c>
      <c r="AB17" s="132">
        <v>3414</v>
      </c>
      <c r="AC17" s="133">
        <v>391</v>
      </c>
      <c r="AD17" s="134">
        <f t="shared" si="19"/>
        <v>0.11452841241944933</v>
      </c>
      <c r="AE17" s="132">
        <v>3339</v>
      </c>
      <c r="AF17" s="133">
        <v>455</v>
      </c>
      <c r="AG17" s="134">
        <f t="shared" si="20"/>
        <v>0.13626834381551362</v>
      </c>
      <c r="AH17" s="132">
        <v>2478</v>
      </c>
      <c r="AI17" s="133">
        <v>228</v>
      </c>
      <c r="AJ17" s="134">
        <v>9.2009685230024216E-2</v>
      </c>
      <c r="AK17" s="132">
        <v>1890</v>
      </c>
      <c r="AL17" s="133">
        <v>138</v>
      </c>
      <c r="AM17" s="134">
        <v>7.301587301587302E-2</v>
      </c>
      <c r="AN17" s="65">
        <f t="shared" si="14"/>
        <v>21722</v>
      </c>
      <c r="AO17" s="65">
        <f t="shared" si="15"/>
        <v>2505</v>
      </c>
      <c r="AP17" s="70">
        <f t="shared" si="21"/>
        <v>0.11532087284780407</v>
      </c>
    </row>
    <row r="18" spans="1:42" ht="14.45" x14ac:dyDescent="0.3">
      <c r="A18" s="139">
        <v>41974.458333333336</v>
      </c>
      <c r="B18" s="126">
        <f t="shared" si="0"/>
        <v>1.0436166357396463E-3</v>
      </c>
      <c r="C18" s="126">
        <f t="shared" si="1"/>
        <v>1.1117378260620775E-3</v>
      </c>
      <c r="D18" s="126">
        <f t="shared" si="2"/>
        <v>1.0681402642557214E-3</v>
      </c>
      <c r="E18" s="126">
        <f t="shared" si="3"/>
        <v>1.128086911739461E-3</v>
      </c>
      <c r="F18" s="126">
        <f t="shared" si="4"/>
        <v>1.0953887403846942E-3</v>
      </c>
      <c r="G18" s="126">
        <f t="shared" si="5"/>
        <v>6.1309071290188092E-4</v>
      </c>
      <c r="H18" s="126">
        <f t="shared" si="6"/>
        <v>3.8692836103140934E-4</v>
      </c>
      <c r="I18" s="15"/>
      <c r="J18" s="126">
        <f t="shared" si="7"/>
        <v>7.0573553174038744E-3</v>
      </c>
      <c r="K18" s="126">
        <f t="shared" si="8"/>
        <v>6.4469894521148909E-3</v>
      </c>
      <c r="L18" s="126">
        <f t="shared" si="9"/>
        <v>6.0900344148253514E-3</v>
      </c>
      <c r="M18" s="126">
        <f t="shared" si="10"/>
        <v>6.4006670426956366E-3</v>
      </c>
      <c r="N18" s="126">
        <f t="shared" si="11"/>
        <v>6.9647104985653685E-3</v>
      </c>
      <c r="O18" s="126">
        <f t="shared" si="12"/>
        <v>7.4715321545642558E-3</v>
      </c>
      <c r="P18" s="126">
        <f t="shared" si="13"/>
        <v>6.2344513383089046E-3</v>
      </c>
      <c r="R18" s="139">
        <v>41974.458333333336</v>
      </c>
      <c r="S18" s="132">
        <v>2973</v>
      </c>
      <c r="T18" s="133">
        <v>383</v>
      </c>
      <c r="U18" s="134">
        <f t="shared" si="16"/>
        <v>0.12882610158089472</v>
      </c>
      <c r="V18" s="132">
        <v>2774</v>
      </c>
      <c r="W18" s="133">
        <v>408</v>
      </c>
      <c r="X18" s="134">
        <f t="shared" si="17"/>
        <v>0.14708002883922133</v>
      </c>
      <c r="Y18" s="132">
        <v>2627</v>
      </c>
      <c r="Z18" s="133">
        <v>392</v>
      </c>
      <c r="AA18" s="134">
        <f t="shared" si="18"/>
        <v>0.14921964217738864</v>
      </c>
      <c r="AB18" s="132">
        <v>2763</v>
      </c>
      <c r="AC18" s="133">
        <v>414</v>
      </c>
      <c r="AD18" s="134">
        <f t="shared" si="19"/>
        <v>0.14983713355048861</v>
      </c>
      <c r="AE18" s="132">
        <v>2958</v>
      </c>
      <c r="AF18" s="133">
        <v>402</v>
      </c>
      <c r="AG18" s="134">
        <f t="shared" si="20"/>
        <v>0.13590263691683571</v>
      </c>
      <c r="AH18" s="132">
        <v>2967</v>
      </c>
      <c r="AI18" s="133">
        <v>225</v>
      </c>
      <c r="AJ18" s="134">
        <v>7.583417593528817E-2</v>
      </c>
      <c r="AK18" s="132">
        <v>2430</v>
      </c>
      <c r="AL18" s="133">
        <v>142</v>
      </c>
      <c r="AM18" s="134">
        <v>5.8436213991769549E-2</v>
      </c>
      <c r="AN18" s="65">
        <f t="shared" si="14"/>
        <v>19492</v>
      </c>
      <c r="AO18" s="65">
        <f t="shared" si="15"/>
        <v>2366</v>
      </c>
      <c r="AP18" s="70">
        <f t="shared" si="21"/>
        <v>0.12138313154114508</v>
      </c>
    </row>
    <row r="19" spans="1:42" ht="14.45" x14ac:dyDescent="0.3">
      <c r="A19" s="139">
        <v>41974.5</v>
      </c>
      <c r="B19" s="126">
        <f t="shared" si="0"/>
        <v>1.2234565781908647E-3</v>
      </c>
      <c r="C19" s="126">
        <f t="shared" si="1"/>
        <v>1.1662347783200225E-3</v>
      </c>
      <c r="D19" s="126">
        <f t="shared" si="2"/>
        <v>1.3869474349646994E-3</v>
      </c>
      <c r="E19" s="126">
        <f t="shared" si="3"/>
        <v>1.3161013970293713E-3</v>
      </c>
      <c r="F19" s="126">
        <f t="shared" si="4"/>
        <v>1.1771341687716115E-3</v>
      </c>
      <c r="G19" s="126">
        <f t="shared" si="5"/>
        <v>6.0219132245029202E-4</v>
      </c>
      <c r="H19" s="126">
        <f t="shared" si="6"/>
        <v>4.7412348464412129E-4</v>
      </c>
      <c r="I19" s="15"/>
      <c r="J19" s="126">
        <f t="shared" si="7"/>
        <v>7.2508194979195792E-3</v>
      </c>
      <c r="K19" s="126">
        <f t="shared" si="8"/>
        <v>6.1935786241154459E-3</v>
      </c>
      <c r="L19" s="126">
        <f t="shared" si="9"/>
        <v>5.8665969105677765E-3</v>
      </c>
      <c r="M19" s="126">
        <f t="shared" si="10"/>
        <v>6.5396342709533976E-3</v>
      </c>
      <c r="N19" s="126">
        <f t="shared" si="11"/>
        <v>7.2589940407582704E-3</v>
      </c>
      <c r="O19" s="126">
        <f t="shared" si="12"/>
        <v>7.4034109642418244E-3</v>
      </c>
      <c r="P19" s="126">
        <f t="shared" si="13"/>
        <v>7.2399201074679898E-3</v>
      </c>
      <c r="R19" s="139">
        <v>41974.5</v>
      </c>
      <c r="S19" s="132">
        <v>3110</v>
      </c>
      <c r="T19" s="133">
        <v>449</v>
      </c>
      <c r="U19" s="134">
        <f t="shared" si="16"/>
        <v>0.14437299035369774</v>
      </c>
      <c r="V19" s="132">
        <v>2701</v>
      </c>
      <c r="W19" s="133">
        <v>428</v>
      </c>
      <c r="X19" s="134">
        <f t="shared" si="17"/>
        <v>0.15845982969270642</v>
      </c>
      <c r="Y19" s="132">
        <v>2662</v>
      </c>
      <c r="Z19" s="133">
        <v>509</v>
      </c>
      <c r="AA19" s="134">
        <f t="shared" si="18"/>
        <v>0.19120961682945153</v>
      </c>
      <c r="AB19" s="132">
        <v>2883</v>
      </c>
      <c r="AC19" s="133">
        <v>483</v>
      </c>
      <c r="AD19" s="134">
        <f t="shared" si="19"/>
        <v>0.16753381893860561</v>
      </c>
      <c r="AE19" s="132">
        <v>3096</v>
      </c>
      <c r="AF19" s="133">
        <v>432</v>
      </c>
      <c r="AG19" s="134">
        <f t="shared" si="20"/>
        <v>0.13953488372093023</v>
      </c>
      <c r="AH19" s="132">
        <v>2938</v>
      </c>
      <c r="AI19" s="133">
        <v>221</v>
      </c>
      <c r="AJ19" s="134">
        <v>7.5221238938053103E-2</v>
      </c>
      <c r="AK19" s="132">
        <v>2831</v>
      </c>
      <c r="AL19" s="133">
        <v>174</v>
      </c>
      <c r="AM19" s="134">
        <v>6.1462380784175201E-2</v>
      </c>
      <c r="AN19" s="65">
        <f t="shared" si="14"/>
        <v>20221</v>
      </c>
      <c r="AO19" s="65">
        <f t="shared" si="15"/>
        <v>2696</v>
      </c>
      <c r="AP19" s="70">
        <f t="shared" si="21"/>
        <v>0.13332673952821325</v>
      </c>
    </row>
    <row r="20" spans="1:42" ht="14.45" x14ac:dyDescent="0.3">
      <c r="A20" s="139">
        <v>41974.541666666664</v>
      </c>
      <c r="B20" s="126">
        <f t="shared" si="0"/>
        <v>1.2261814258037621E-3</v>
      </c>
      <c r="C20" s="126">
        <f t="shared" si="1"/>
        <v>1.3705983492873161E-3</v>
      </c>
      <c r="D20" s="126">
        <f t="shared" si="2"/>
        <v>1.5940358535448905E-3</v>
      </c>
      <c r="E20" s="126">
        <f t="shared" si="3"/>
        <v>1.3951219778033915E-3</v>
      </c>
      <c r="F20" s="126">
        <f t="shared" si="4"/>
        <v>1.2343559686424537E-3</v>
      </c>
      <c r="G20" s="126">
        <f t="shared" si="5"/>
        <v>5.3951982735365512E-4</v>
      </c>
      <c r="H20" s="126">
        <f t="shared" si="6"/>
        <v>4.7412348464412129E-4</v>
      </c>
      <c r="I20" s="15"/>
      <c r="J20" s="126">
        <f t="shared" si="7"/>
        <v>7.5178545639835092E-3</v>
      </c>
      <c r="K20" s="126">
        <f t="shared" si="8"/>
        <v>6.3080222238571307E-3</v>
      </c>
      <c r="L20" s="126">
        <f t="shared" si="9"/>
        <v>6.4497142997277873E-3</v>
      </c>
      <c r="M20" s="126">
        <f t="shared" si="10"/>
        <v>6.9265626319848072E-3</v>
      </c>
      <c r="N20" s="126">
        <f t="shared" si="11"/>
        <v>7.5750763638543512E-3</v>
      </c>
      <c r="O20" s="126">
        <f t="shared" si="12"/>
        <v>7.4524582212739743E-3</v>
      </c>
      <c r="P20" s="126">
        <f t="shared" si="13"/>
        <v>7.6649963350799615E-3</v>
      </c>
      <c r="R20" s="139">
        <v>41974.541666666664</v>
      </c>
      <c r="S20" s="132">
        <v>3209</v>
      </c>
      <c r="T20" s="133">
        <v>450</v>
      </c>
      <c r="U20" s="134">
        <f t="shared" si="16"/>
        <v>0.14023060143346838</v>
      </c>
      <c r="V20" s="132">
        <v>2818</v>
      </c>
      <c r="W20" s="133">
        <v>503</v>
      </c>
      <c r="X20" s="134">
        <f t="shared" si="17"/>
        <v>0.17849538679914834</v>
      </c>
      <c r="Y20" s="132">
        <v>2952</v>
      </c>
      <c r="Z20" s="133">
        <v>585</v>
      </c>
      <c r="AA20" s="134">
        <f t="shared" si="18"/>
        <v>0.19817073170731708</v>
      </c>
      <c r="AB20" s="132">
        <v>3054</v>
      </c>
      <c r="AC20" s="133">
        <v>512</v>
      </c>
      <c r="AD20" s="134">
        <f t="shared" si="19"/>
        <v>0.16764898493778652</v>
      </c>
      <c r="AE20" s="132">
        <v>3233</v>
      </c>
      <c r="AF20" s="133">
        <v>453</v>
      </c>
      <c r="AG20" s="134">
        <f t="shared" si="20"/>
        <v>0.14011753789050418</v>
      </c>
      <c r="AH20" s="132">
        <v>2933</v>
      </c>
      <c r="AI20" s="133">
        <v>198</v>
      </c>
      <c r="AJ20" s="134">
        <v>6.7507671326287072E-2</v>
      </c>
      <c r="AK20" s="132">
        <v>2987</v>
      </c>
      <c r="AL20" s="133">
        <v>174</v>
      </c>
      <c r="AM20" s="134">
        <v>5.8252427184466021E-2</v>
      </c>
      <c r="AN20" s="65">
        <f t="shared" si="14"/>
        <v>21186</v>
      </c>
      <c r="AO20" s="65">
        <f t="shared" si="15"/>
        <v>2875</v>
      </c>
      <c r="AP20" s="70">
        <f t="shared" si="21"/>
        <v>0.13570282261871047</v>
      </c>
    </row>
    <row r="21" spans="1:42" ht="14.45" x14ac:dyDescent="0.3">
      <c r="A21" s="139">
        <v>41974.583333333336</v>
      </c>
      <c r="B21" s="126">
        <f t="shared" si="0"/>
        <v>1.2943026161261932E-3</v>
      </c>
      <c r="C21" s="126">
        <f t="shared" si="1"/>
        <v>1.3923971301904941E-3</v>
      </c>
      <c r="D21" s="126">
        <f t="shared" si="2"/>
        <v>1.2806783780617069E-3</v>
      </c>
      <c r="E21" s="126">
        <f t="shared" si="3"/>
        <v>1.2016577972876867E-3</v>
      </c>
      <c r="F21" s="126">
        <f t="shared" si="4"/>
        <v>1.2997523113519875E-3</v>
      </c>
      <c r="G21" s="126">
        <f t="shared" si="5"/>
        <v>5.4224467496655248E-4</v>
      </c>
      <c r="H21" s="126">
        <f t="shared" si="6"/>
        <v>5.5859376064393599E-4</v>
      </c>
      <c r="I21" s="15"/>
      <c r="J21" s="126">
        <f t="shared" si="7"/>
        <v>7.3979612690160314E-3</v>
      </c>
      <c r="K21" s="126">
        <f t="shared" si="8"/>
        <v>6.4388149092761979E-3</v>
      </c>
      <c r="L21" s="126">
        <f t="shared" si="9"/>
        <v>6.8175687274689162E-3</v>
      </c>
      <c r="M21" s="126">
        <f t="shared" si="10"/>
        <v>7.2235710217906065E-3</v>
      </c>
      <c r="N21" s="126">
        <f t="shared" si="11"/>
        <v>8.0410253056597807E-3</v>
      </c>
      <c r="O21" s="126">
        <f t="shared" si="12"/>
        <v>6.7576220799851761E-3</v>
      </c>
      <c r="P21" s="126">
        <f t="shared" si="13"/>
        <v>8.3789064096590395E-3</v>
      </c>
      <c r="R21" s="139">
        <v>41974.583333333336</v>
      </c>
      <c r="S21" s="132">
        <v>3190</v>
      </c>
      <c r="T21" s="133">
        <v>475</v>
      </c>
      <c r="U21" s="134">
        <f t="shared" si="16"/>
        <v>0.14890282131661442</v>
      </c>
      <c r="V21" s="132">
        <v>2874</v>
      </c>
      <c r="W21" s="133">
        <v>511</v>
      </c>
      <c r="X21" s="134">
        <f t="shared" si="17"/>
        <v>0.17780097425191371</v>
      </c>
      <c r="Y21" s="132">
        <v>2972</v>
      </c>
      <c r="Z21" s="133">
        <v>470</v>
      </c>
      <c r="AA21" s="134">
        <f t="shared" si="18"/>
        <v>0.15814266487213996</v>
      </c>
      <c r="AB21" s="132">
        <v>3092</v>
      </c>
      <c r="AC21" s="133">
        <v>441</v>
      </c>
      <c r="AD21" s="134">
        <f t="shared" si="19"/>
        <v>0.14262613195342821</v>
      </c>
      <c r="AE21" s="132">
        <v>3428</v>
      </c>
      <c r="AF21" s="133">
        <v>477</v>
      </c>
      <c r="AG21" s="134">
        <f t="shared" si="20"/>
        <v>0.13914819136522755</v>
      </c>
      <c r="AH21" s="132">
        <v>2679</v>
      </c>
      <c r="AI21" s="133">
        <v>199</v>
      </c>
      <c r="AJ21" s="134">
        <v>7.4281448301605074E-2</v>
      </c>
      <c r="AK21" s="132">
        <v>3280</v>
      </c>
      <c r="AL21" s="133">
        <v>205</v>
      </c>
      <c r="AM21" s="134">
        <v>6.25E-2</v>
      </c>
      <c r="AN21" s="65">
        <f t="shared" si="14"/>
        <v>21515</v>
      </c>
      <c r="AO21" s="65">
        <f t="shared" si="15"/>
        <v>2778</v>
      </c>
      <c r="AP21" s="70">
        <f t="shared" si="21"/>
        <v>0.12911921914943064</v>
      </c>
    </row>
    <row r="22" spans="1:42" ht="14.45" x14ac:dyDescent="0.3">
      <c r="A22" s="139">
        <v>41974.625</v>
      </c>
      <c r="B22" s="126">
        <f t="shared" si="0"/>
        <v>1.2806783780617069E-3</v>
      </c>
      <c r="C22" s="126">
        <f t="shared" si="1"/>
        <v>1.2207317305779676E-3</v>
      </c>
      <c r="D22" s="126">
        <f t="shared" si="2"/>
        <v>1.3270007874809603E-3</v>
      </c>
      <c r="E22" s="126">
        <f t="shared" si="3"/>
        <v>1.3433498731583436E-3</v>
      </c>
      <c r="F22" s="126">
        <f t="shared" si="4"/>
        <v>1.3379001779325493E-3</v>
      </c>
      <c r="G22" s="126">
        <f t="shared" si="5"/>
        <v>5.3951982735365523E-4</v>
      </c>
      <c r="H22" s="126">
        <f t="shared" si="6"/>
        <v>5.6131860825683324E-4</v>
      </c>
      <c r="I22" s="15"/>
      <c r="J22" s="126">
        <f t="shared" si="7"/>
        <v>7.7658156967571586E-3</v>
      </c>
      <c r="K22" s="126">
        <f t="shared" si="8"/>
        <v>6.8284681179205057E-3</v>
      </c>
      <c r="L22" s="126">
        <f t="shared" si="9"/>
        <v>7.0628050126296691E-3</v>
      </c>
      <c r="M22" s="126">
        <f t="shared" si="10"/>
        <v>7.6840702683702421E-3</v>
      </c>
      <c r="N22" s="126">
        <f t="shared" si="11"/>
        <v>9.0056213606254064E-3</v>
      </c>
      <c r="O22" s="126">
        <f t="shared" si="12"/>
        <v>7.3434643167580851E-3</v>
      </c>
      <c r="P22" s="126">
        <f t="shared" si="13"/>
        <v>8.3325840002397861E-3</v>
      </c>
      <c r="R22" s="139">
        <v>41974.625</v>
      </c>
      <c r="S22" s="132">
        <v>3320</v>
      </c>
      <c r="T22" s="133">
        <v>470</v>
      </c>
      <c r="U22" s="134">
        <f t="shared" si="16"/>
        <v>0.14156626506024098</v>
      </c>
      <c r="V22" s="132">
        <v>2954</v>
      </c>
      <c r="W22" s="133">
        <v>448</v>
      </c>
      <c r="X22" s="134">
        <f t="shared" si="17"/>
        <v>0.15165876777251186</v>
      </c>
      <c r="Y22" s="132">
        <v>3079</v>
      </c>
      <c r="Z22" s="133">
        <v>487</v>
      </c>
      <c r="AA22" s="134">
        <f t="shared" si="18"/>
        <v>0.15816823644040273</v>
      </c>
      <c r="AB22" s="132">
        <v>3313</v>
      </c>
      <c r="AC22" s="133">
        <v>493</v>
      </c>
      <c r="AD22" s="134">
        <f t="shared" si="19"/>
        <v>0.1488077271355267</v>
      </c>
      <c r="AE22" s="132">
        <v>3796</v>
      </c>
      <c r="AF22" s="133">
        <v>491</v>
      </c>
      <c r="AG22" s="134">
        <f t="shared" si="20"/>
        <v>0.12934668071654373</v>
      </c>
      <c r="AH22" s="132">
        <v>2893</v>
      </c>
      <c r="AI22" s="133">
        <v>198</v>
      </c>
      <c r="AJ22" s="134">
        <v>6.8441064638783272E-2</v>
      </c>
      <c r="AK22" s="132">
        <v>3264</v>
      </c>
      <c r="AL22" s="133">
        <v>206</v>
      </c>
      <c r="AM22" s="134">
        <v>6.3112745098039214E-2</v>
      </c>
      <c r="AN22" s="65">
        <f t="shared" si="14"/>
        <v>22619</v>
      </c>
      <c r="AO22" s="65">
        <f t="shared" si="15"/>
        <v>2793</v>
      </c>
      <c r="AP22" s="70">
        <f t="shared" si="21"/>
        <v>0.12348025995844202</v>
      </c>
    </row>
    <row r="23" spans="1:42" ht="14.45" x14ac:dyDescent="0.3">
      <c r="A23" s="139">
        <v>41974.666666666664</v>
      </c>
      <c r="B23" s="126">
        <f t="shared" si="0"/>
        <v>1.084489349933105E-3</v>
      </c>
      <c r="C23" s="126">
        <f t="shared" si="1"/>
        <v>1.117187521287872E-3</v>
      </c>
      <c r="D23" s="126">
        <f t="shared" si="2"/>
        <v>1.3433498731583438E-3</v>
      </c>
      <c r="E23" s="126">
        <f t="shared" si="3"/>
        <v>1.305202006577782E-3</v>
      </c>
      <c r="F23" s="126">
        <f t="shared" si="4"/>
        <v>1.3787728921260077E-3</v>
      </c>
      <c r="G23" s="126">
        <f t="shared" si="5"/>
        <v>5.0954650361178556E-4</v>
      </c>
      <c r="H23" s="126">
        <f t="shared" si="6"/>
        <v>6.2671495096636718E-4</v>
      </c>
      <c r="I23" s="15"/>
      <c r="J23" s="126">
        <f t="shared" si="7"/>
        <v>8.7413111421743746E-3</v>
      </c>
      <c r="K23" s="126">
        <f t="shared" si="8"/>
        <v>8.8802783704321347E-3</v>
      </c>
      <c r="L23" s="126">
        <f t="shared" si="9"/>
        <v>8.3680070192074518E-3</v>
      </c>
      <c r="M23" s="126">
        <f t="shared" si="10"/>
        <v>8.433403361916985E-3</v>
      </c>
      <c r="N23" s="126">
        <f t="shared" si="11"/>
        <v>9.3489521598504599E-3</v>
      </c>
      <c r="O23" s="126">
        <f t="shared" si="12"/>
        <v>7.0600801650167718E-3</v>
      </c>
      <c r="P23" s="126">
        <f t="shared" si="13"/>
        <v>7.812138106176412E-3</v>
      </c>
      <c r="R23" s="139">
        <v>41974.666666666664</v>
      </c>
      <c r="S23" s="132">
        <v>3606</v>
      </c>
      <c r="T23" s="133">
        <v>398</v>
      </c>
      <c r="U23" s="134">
        <f t="shared" si="16"/>
        <v>0.11037160288408208</v>
      </c>
      <c r="V23" s="132">
        <v>3669</v>
      </c>
      <c r="W23" s="133">
        <v>410</v>
      </c>
      <c r="X23" s="134">
        <f t="shared" si="17"/>
        <v>0.11174707004633415</v>
      </c>
      <c r="Y23" s="132">
        <v>3564</v>
      </c>
      <c r="Z23" s="133">
        <v>493</v>
      </c>
      <c r="AA23" s="134">
        <f t="shared" si="18"/>
        <v>0.138327721661055</v>
      </c>
      <c r="AB23" s="132">
        <v>3574</v>
      </c>
      <c r="AC23" s="133">
        <v>479</v>
      </c>
      <c r="AD23" s="134">
        <f t="shared" si="19"/>
        <v>0.13402350307778399</v>
      </c>
      <c r="AE23" s="132">
        <v>3937</v>
      </c>
      <c r="AF23" s="133">
        <v>506</v>
      </c>
      <c r="AG23" s="134">
        <f t="shared" si="20"/>
        <v>0.12852425704851408</v>
      </c>
      <c r="AH23" s="132">
        <v>2778</v>
      </c>
      <c r="AI23" s="133">
        <v>187</v>
      </c>
      <c r="AJ23" s="134">
        <v>6.7314614830813538E-2</v>
      </c>
      <c r="AK23" s="132">
        <v>3097</v>
      </c>
      <c r="AL23" s="133">
        <v>230</v>
      </c>
      <c r="AM23" s="134">
        <v>7.4265418146593473E-2</v>
      </c>
      <c r="AN23" s="65">
        <f t="shared" si="14"/>
        <v>24225</v>
      </c>
      <c r="AO23" s="65">
        <f t="shared" si="15"/>
        <v>2703</v>
      </c>
      <c r="AP23" s="70">
        <f t="shared" si="21"/>
        <v>0.11157894736842106</v>
      </c>
    </row>
    <row r="24" spans="1:42" ht="14.45" x14ac:dyDescent="0.3">
      <c r="A24" s="139">
        <v>41974.708333333336</v>
      </c>
      <c r="B24" s="126">
        <f t="shared" si="0"/>
        <v>1.1362614545781526E-3</v>
      </c>
      <c r="C24" s="126">
        <f t="shared" si="1"/>
        <v>1.117187521287872E-3</v>
      </c>
      <c r="D24" s="126">
        <f t="shared" si="2"/>
        <v>1.2316311210295563E-3</v>
      </c>
      <c r="E24" s="126">
        <f t="shared" si="3"/>
        <v>1.0681402642557214E-3</v>
      </c>
      <c r="F24" s="126">
        <f t="shared" si="4"/>
        <v>1.0817645023202078E-3</v>
      </c>
      <c r="G24" s="126">
        <f t="shared" si="5"/>
        <v>4.904725703215048E-4</v>
      </c>
      <c r="H24" s="126">
        <f t="shared" si="6"/>
        <v>5.9946647483739477E-4</v>
      </c>
      <c r="I24" s="15"/>
      <c r="J24" s="126">
        <f t="shared" si="7"/>
        <v>8.7276869041098878E-3</v>
      </c>
      <c r="K24" s="126">
        <f t="shared" si="8"/>
        <v>9.1827364554637279E-3</v>
      </c>
      <c r="L24" s="126">
        <f t="shared" si="9"/>
        <v>8.7440359897872702E-3</v>
      </c>
      <c r="M24" s="126">
        <f t="shared" si="10"/>
        <v>7.9974277438534247E-3</v>
      </c>
      <c r="N24" s="126">
        <f t="shared" si="11"/>
        <v>9.4007242644955063E-3</v>
      </c>
      <c r="O24" s="126">
        <f t="shared" si="12"/>
        <v>6.5450839661791915E-3</v>
      </c>
      <c r="P24" s="126">
        <f t="shared" si="13"/>
        <v>7.147275288629483E-3</v>
      </c>
      <c r="R24" s="139">
        <v>41974.708333333336</v>
      </c>
      <c r="S24" s="132">
        <v>3620</v>
      </c>
      <c r="T24" s="133">
        <v>417</v>
      </c>
      <c r="U24" s="134">
        <f t="shared" si="16"/>
        <v>0.11519337016574585</v>
      </c>
      <c r="V24" s="132">
        <v>3780</v>
      </c>
      <c r="W24" s="133">
        <v>410</v>
      </c>
      <c r="X24" s="134">
        <f t="shared" si="17"/>
        <v>0.10846560846560846</v>
      </c>
      <c r="Y24" s="132">
        <v>3661</v>
      </c>
      <c r="Z24" s="133">
        <v>452</v>
      </c>
      <c r="AA24" s="134">
        <f t="shared" si="18"/>
        <v>0.12346353455340071</v>
      </c>
      <c r="AB24" s="132">
        <v>3327</v>
      </c>
      <c r="AC24" s="133">
        <v>392</v>
      </c>
      <c r="AD24" s="134">
        <f t="shared" si="19"/>
        <v>0.11782386534415389</v>
      </c>
      <c r="AE24" s="132">
        <v>3847</v>
      </c>
      <c r="AF24" s="133">
        <v>397</v>
      </c>
      <c r="AG24" s="134">
        <f t="shared" si="20"/>
        <v>0.10319729659474916</v>
      </c>
      <c r="AH24" s="132">
        <v>2582</v>
      </c>
      <c r="AI24" s="133">
        <v>180</v>
      </c>
      <c r="AJ24" s="134">
        <v>6.9713400464756006E-2</v>
      </c>
      <c r="AK24" s="132">
        <v>2843</v>
      </c>
      <c r="AL24" s="133">
        <v>220</v>
      </c>
      <c r="AM24" s="134">
        <v>7.7383046078086534E-2</v>
      </c>
      <c r="AN24" s="65">
        <f t="shared" si="14"/>
        <v>23660</v>
      </c>
      <c r="AO24" s="65">
        <f t="shared" si="15"/>
        <v>2468</v>
      </c>
      <c r="AP24" s="70">
        <f t="shared" si="21"/>
        <v>0.10431107354184277</v>
      </c>
    </row>
    <row r="25" spans="1:42" ht="14.45" x14ac:dyDescent="0.3">
      <c r="A25" s="139">
        <v>41974.75</v>
      </c>
      <c r="B25" s="126">
        <f t="shared" si="0"/>
        <v>7.4115855070805154E-4</v>
      </c>
      <c r="C25" s="126">
        <f t="shared" si="1"/>
        <v>1.0735899594815162E-3</v>
      </c>
      <c r="D25" s="126">
        <f t="shared" si="2"/>
        <v>1.1090129784491801E-3</v>
      </c>
      <c r="E25" s="126">
        <f t="shared" si="3"/>
        <v>1.1771341687716115E-3</v>
      </c>
      <c r="F25" s="126">
        <f t="shared" si="4"/>
        <v>9.8366998825590675E-4</v>
      </c>
      <c r="G25" s="126">
        <f t="shared" si="5"/>
        <v>3.8692836103140928E-4</v>
      </c>
      <c r="H25" s="126">
        <f t="shared" si="6"/>
        <v>5.068216559988882E-4</v>
      </c>
      <c r="I25" s="15"/>
      <c r="J25" s="126">
        <f t="shared" si="7"/>
        <v>7.291692212113037E-3</v>
      </c>
      <c r="K25" s="126">
        <f t="shared" si="8"/>
        <v>7.7957890204990296E-3</v>
      </c>
      <c r="L25" s="126">
        <f t="shared" si="9"/>
        <v>8.6159681519810995E-3</v>
      </c>
      <c r="M25" s="126">
        <f t="shared" si="10"/>
        <v>8.6268675424326906E-3</v>
      </c>
      <c r="N25" s="126">
        <f t="shared" si="11"/>
        <v>9.234508560108776E-3</v>
      </c>
      <c r="O25" s="126">
        <f t="shared" si="12"/>
        <v>6.5941312232113422E-3</v>
      </c>
      <c r="P25" s="126">
        <f t="shared" si="13"/>
        <v>7.1772486123713531E-3</v>
      </c>
      <c r="R25" s="139">
        <v>41974.75</v>
      </c>
      <c r="S25" s="132">
        <v>2948</v>
      </c>
      <c r="T25" s="133">
        <v>272</v>
      </c>
      <c r="U25" s="134">
        <f t="shared" si="16"/>
        <v>9.2265943012211665E-2</v>
      </c>
      <c r="V25" s="132">
        <v>3255</v>
      </c>
      <c r="W25" s="133">
        <v>394</v>
      </c>
      <c r="X25" s="134">
        <f t="shared" si="17"/>
        <v>0.12104454685099847</v>
      </c>
      <c r="Y25" s="132">
        <v>3569</v>
      </c>
      <c r="Z25" s="133">
        <v>407</v>
      </c>
      <c r="AA25" s="134">
        <f t="shared" si="18"/>
        <v>0.11403754553096106</v>
      </c>
      <c r="AB25" s="132">
        <v>3598</v>
      </c>
      <c r="AC25" s="133">
        <v>432</v>
      </c>
      <c r="AD25" s="134">
        <f t="shared" si="19"/>
        <v>0.12006670372429128</v>
      </c>
      <c r="AE25" s="132">
        <v>3750</v>
      </c>
      <c r="AF25" s="133">
        <v>361</v>
      </c>
      <c r="AG25" s="134">
        <f t="shared" si="20"/>
        <v>9.6266666666666667E-2</v>
      </c>
      <c r="AH25" s="132">
        <v>2562</v>
      </c>
      <c r="AI25" s="133">
        <v>142</v>
      </c>
      <c r="AJ25" s="134">
        <v>5.5425448868071818E-2</v>
      </c>
      <c r="AK25" s="132">
        <v>2820</v>
      </c>
      <c r="AL25" s="133">
        <v>186</v>
      </c>
      <c r="AM25" s="134">
        <v>6.5957446808510636E-2</v>
      </c>
      <c r="AN25" s="65">
        <f t="shared" si="14"/>
        <v>22502</v>
      </c>
      <c r="AO25" s="65">
        <f t="shared" si="15"/>
        <v>2194</v>
      </c>
      <c r="AP25" s="70">
        <f t="shared" si="21"/>
        <v>9.750244422717981E-2</v>
      </c>
    </row>
    <row r="26" spans="1:42" ht="14.45" x14ac:dyDescent="0.3">
      <c r="A26" s="139">
        <v>41974.791666666664</v>
      </c>
      <c r="B26" s="126">
        <f t="shared" si="0"/>
        <v>7.1663492219197638E-4</v>
      </c>
      <c r="C26" s="126">
        <f t="shared" si="1"/>
        <v>8.2017913148207185E-4</v>
      </c>
      <c r="D26" s="126">
        <f t="shared" si="2"/>
        <v>7.8203126490151043E-4</v>
      </c>
      <c r="E26" s="126">
        <f t="shared" si="3"/>
        <v>8.3652821715945525E-4</v>
      </c>
      <c r="F26" s="126">
        <f t="shared" si="4"/>
        <v>6.1854040812767542E-4</v>
      </c>
      <c r="G26" s="126">
        <f t="shared" si="5"/>
        <v>3.0790778025738914E-4</v>
      </c>
      <c r="H26" s="126">
        <f t="shared" si="6"/>
        <v>5.0409680838599106E-4</v>
      </c>
      <c r="I26" s="15"/>
      <c r="J26" s="126">
        <f t="shared" si="7"/>
        <v>6.144531367083296E-3</v>
      </c>
      <c r="K26" s="126">
        <f t="shared" si="8"/>
        <v>5.5287158065685177E-3</v>
      </c>
      <c r="L26" s="126">
        <f t="shared" si="9"/>
        <v>6.8529917464365802E-3</v>
      </c>
      <c r="M26" s="126">
        <f t="shared" si="10"/>
        <v>7.2017722408874276E-3</v>
      </c>
      <c r="N26" s="126">
        <f t="shared" si="11"/>
        <v>7.5478278877253793E-3</v>
      </c>
      <c r="O26" s="126">
        <f t="shared" si="12"/>
        <v>6.4306403664375067E-3</v>
      </c>
      <c r="P26" s="126">
        <f t="shared" si="13"/>
        <v>6.3161967666958228E-3</v>
      </c>
      <c r="R26" s="139">
        <v>41974.791666666664</v>
      </c>
      <c r="S26" s="132">
        <v>2518</v>
      </c>
      <c r="T26" s="133">
        <v>263</v>
      </c>
      <c r="U26" s="134">
        <f t="shared" si="16"/>
        <v>0.10444797458300238</v>
      </c>
      <c r="V26" s="132">
        <v>2330</v>
      </c>
      <c r="W26" s="133">
        <v>301</v>
      </c>
      <c r="X26" s="134">
        <f t="shared" si="17"/>
        <v>0.12918454935622317</v>
      </c>
      <c r="Y26" s="132">
        <v>2802</v>
      </c>
      <c r="Z26" s="133">
        <v>287</v>
      </c>
      <c r="AA26" s="134">
        <f t="shared" si="18"/>
        <v>0.10242683797287652</v>
      </c>
      <c r="AB26" s="132">
        <v>2950</v>
      </c>
      <c r="AC26" s="133">
        <v>307</v>
      </c>
      <c r="AD26" s="134">
        <f t="shared" si="19"/>
        <v>0.10406779661016949</v>
      </c>
      <c r="AE26" s="132">
        <v>2997</v>
      </c>
      <c r="AF26" s="133">
        <v>227</v>
      </c>
      <c r="AG26" s="134">
        <f t="shared" si="20"/>
        <v>7.5742409075742409E-2</v>
      </c>
      <c r="AH26" s="132">
        <v>2473</v>
      </c>
      <c r="AI26" s="133">
        <v>113</v>
      </c>
      <c r="AJ26" s="134">
        <v>4.5693489688637283E-2</v>
      </c>
      <c r="AK26" s="132">
        <v>2503</v>
      </c>
      <c r="AL26" s="133">
        <v>185</v>
      </c>
      <c r="AM26" s="134">
        <v>7.3911306432281262E-2</v>
      </c>
      <c r="AN26" s="65">
        <f t="shared" si="14"/>
        <v>18573</v>
      </c>
      <c r="AO26" s="65">
        <f t="shared" si="15"/>
        <v>1683</v>
      </c>
      <c r="AP26" s="70">
        <f t="shared" si="21"/>
        <v>9.0615409465352931E-2</v>
      </c>
    </row>
    <row r="27" spans="1:42" ht="14.45" x14ac:dyDescent="0.3">
      <c r="A27" s="139">
        <v>41974.833333333336</v>
      </c>
      <c r="B27" s="126">
        <f t="shared" si="0"/>
        <v>4.0872714193458735E-4</v>
      </c>
      <c r="C27" s="126">
        <f t="shared" si="1"/>
        <v>5.2317074167627182E-4</v>
      </c>
      <c r="D27" s="126">
        <f t="shared" si="2"/>
        <v>6.6213796993403145E-4</v>
      </c>
      <c r="E27" s="126">
        <f t="shared" si="3"/>
        <v>6.2126525574057268E-4</v>
      </c>
      <c r="F27" s="126">
        <f t="shared" si="4"/>
        <v>4.8229802748281305E-4</v>
      </c>
      <c r="G27" s="126">
        <f t="shared" si="5"/>
        <v>3.7057927535402583E-4</v>
      </c>
      <c r="H27" s="126">
        <f t="shared" si="6"/>
        <v>4.7412348464412124E-4</v>
      </c>
      <c r="I27" s="15"/>
      <c r="J27" s="126">
        <f t="shared" si="7"/>
        <v>4.0681974860555924E-3</v>
      </c>
      <c r="K27" s="126">
        <f t="shared" si="8"/>
        <v>3.9755526672170865E-3</v>
      </c>
      <c r="L27" s="126">
        <f t="shared" si="9"/>
        <v>4.700362132247754E-3</v>
      </c>
      <c r="M27" s="126">
        <f t="shared" si="10"/>
        <v>4.5314215802481255E-3</v>
      </c>
      <c r="N27" s="126">
        <f t="shared" si="11"/>
        <v>5.6104612349554342E-3</v>
      </c>
      <c r="O27" s="126">
        <f t="shared" si="12"/>
        <v>4.7548590845056986E-3</v>
      </c>
      <c r="P27" s="126">
        <f t="shared" si="13"/>
        <v>5.4033728163752435E-3</v>
      </c>
      <c r="R27" s="139">
        <v>41974.833333333336</v>
      </c>
      <c r="S27" s="132">
        <v>1643</v>
      </c>
      <c r="T27" s="133">
        <v>150</v>
      </c>
      <c r="U27" s="134">
        <f t="shared" si="16"/>
        <v>9.129640900791236E-2</v>
      </c>
      <c r="V27" s="132">
        <v>1651</v>
      </c>
      <c r="W27" s="133">
        <v>192</v>
      </c>
      <c r="X27" s="134">
        <f t="shared" si="17"/>
        <v>0.11629315566323441</v>
      </c>
      <c r="Y27" s="132">
        <v>1968</v>
      </c>
      <c r="Z27" s="133">
        <v>243</v>
      </c>
      <c r="AA27" s="134">
        <f t="shared" si="18"/>
        <v>0.12347560975609756</v>
      </c>
      <c r="AB27" s="132">
        <v>1891</v>
      </c>
      <c r="AC27" s="133">
        <v>228</v>
      </c>
      <c r="AD27" s="134">
        <f t="shared" si="19"/>
        <v>0.12057112638815441</v>
      </c>
      <c r="AE27" s="132">
        <v>2236</v>
      </c>
      <c r="AF27" s="133">
        <v>177</v>
      </c>
      <c r="AG27" s="134">
        <f t="shared" si="20"/>
        <v>7.9159212880143118E-2</v>
      </c>
      <c r="AH27" s="132">
        <v>1881</v>
      </c>
      <c r="AI27" s="133">
        <v>136</v>
      </c>
      <c r="AJ27" s="134">
        <v>7.2301967038809145E-2</v>
      </c>
      <c r="AK27" s="132">
        <v>2157</v>
      </c>
      <c r="AL27" s="133">
        <v>174</v>
      </c>
      <c r="AM27" s="134">
        <v>8.0667593880389424E-2</v>
      </c>
      <c r="AN27" s="65">
        <f t="shared" si="14"/>
        <v>13427</v>
      </c>
      <c r="AO27" s="65">
        <f t="shared" si="15"/>
        <v>1300</v>
      </c>
      <c r="AP27" s="70">
        <f t="shared" si="21"/>
        <v>9.6819840619646977E-2</v>
      </c>
    </row>
    <row r="28" spans="1:42" ht="14.45" x14ac:dyDescent="0.3">
      <c r="A28" s="139">
        <v>41974.875</v>
      </c>
      <c r="B28" s="126">
        <f t="shared" si="0"/>
        <v>5.1227135122468271E-4</v>
      </c>
      <c r="C28" s="126">
        <f t="shared" si="1"/>
        <v>5.4496952257944984E-4</v>
      </c>
      <c r="D28" s="126">
        <f t="shared" si="2"/>
        <v>6.4033918903085344E-4</v>
      </c>
      <c r="E28" s="126">
        <f t="shared" si="3"/>
        <v>4.9319741793440194E-4</v>
      </c>
      <c r="F28" s="126">
        <f t="shared" si="4"/>
        <v>3.7057927535402583E-4</v>
      </c>
      <c r="G28" s="126">
        <f t="shared" si="5"/>
        <v>3.0245808503159458E-4</v>
      </c>
      <c r="H28" s="126">
        <f t="shared" si="6"/>
        <v>5.3679497974075798E-4</v>
      </c>
      <c r="I28" s="15"/>
      <c r="J28" s="126">
        <f t="shared" si="7"/>
        <v>3.700343058314464E-3</v>
      </c>
      <c r="K28" s="126">
        <f t="shared" si="8"/>
        <v>3.3542874114765131E-3</v>
      </c>
      <c r="L28" s="126">
        <f t="shared" si="9"/>
        <v>3.844759981798018E-3</v>
      </c>
      <c r="M28" s="126">
        <f t="shared" si="10"/>
        <v>4.4551258470870011E-3</v>
      </c>
      <c r="N28" s="126">
        <f t="shared" si="11"/>
        <v>4.8338796652797186E-3</v>
      </c>
      <c r="O28" s="126">
        <f t="shared" si="12"/>
        <v>3.7957127247658668E-3</v>
      </c>
      <c r="P28" s="126">
        <f t="shared" si="13"/>
        <v>4.3979040472161592E-3</v>
      </c>
      <c r="R28" s="139">
        <v>41974.875</v>
      </c>
      <c r="S28" s="132">
        <v>1546</v>
      </c>
      <c r="T28" s="133">
        <v>188</v>
      </c>
      <c r="U28" s="134">
        <f t="shared" si="16"/>
        <v>0.12160413971539456</v>
      </c>
      <c r="V28" s="132">
        <v>1431</v>
      </c>
      <c r="W28" s="133">
        <v>200</v>
      </c>
      <c r="X28" s="134">
        <f t="shared" si="17"/>
        <v>0.13976240391334732</v>
      </c>
      <c r="Y28" s="132">
        <v>1646</v>
      </c>
      <c r="Z28" s="133">
        <v>235</v>
      </c>
      <c r="AA28" s="134">
        <f t="shared" si="18"/>
        <v>0.14277035236938032</v>
      </c>
      <c r="AB28" s="132">
        <v>1816</v>
      </c>
      <c r="AC28" s="133">
        <v>181</v>
      </c>
      <c r="AD28" s="134">
        <f t="shared" si="19"/>
        <v>9.9669603524229072E-2</v>
      </c>
      <c r="AE28" s="132">
        <v>1910</v>
      </c>
      <c r="AF28" s="133">
        <v>136</v>
      </c>
      <c r="AG28" s="134">
        <f t="shared" si="20"/>
        <v>7.1204188481675396E-2</v>
      </c>
      <c r="AH28" s="132">
        <v>1504</v>
      </c>
      <c r="AI28" s="133">
        <v>111</v>
      </c>
      <c r="AJ28" s="134">
        <v>7.3803191489361708E-2</v>
      </c>
      <c r="AK28" s="132">
        <v>1811</v>
      </c>
      <c r="AL28" s="133">
        <v>197</v>
      </c>
      <c r="AM28" s="134">
        <v>0.10877967973495306</v>
      </c>
      <c r="AN28" s="65">
        <f t="shared" si="14"/>
        <v>11664</v>
      </c>
      <c r="AO28" s="65">
        <f t="shared" si="15"/>
        <v>1248</v>
      </c>
      <c r="AP28" s="70">
        <f t="shared" si="21"/>
        <v>0.10699588477366255</v>
      </c>
    </row>
    <row r="29" spans="1:42" ht="14.45" x14ac:dyDescent="0.3">
      <c r="A29" s="139">
        <v>41974.916666666664</v>
      </c>
      <c r="B29" s="126">
        <f t="shared" si="0"/>
        <v>6.1036586528898378E-4</v>
      </c>
      <c r="C29" s="126">
        <f t="shared" si="1"/>
        <v>5.749428463213195E-4</v>
      </c>
      <c r="D29" s="126">
        <f t="shared" si="2"/>
        <v>5.4496952257944984E-4</v>
      </c>
      <c r="E29" s="126">
        <f t="shared" si="3"/>
        <v>7.7658156967571593E-4</v>
      </c>
      <c r="F29" s="126">
        <f t="shared" si="4"/>
        <v>4.959222655472993E-4</v>
      </c>
      <c r="G29" s="126">
        <f t="shared" si="5"/>
        <v>3.6240473251533407E-4</v>
      </c>
      <c r="H29" s="126">
        <f t="shared" si="6"/>
        <v>4.1145198954748455E-4</v>
      </c>
      <c r="I29" s="15"/>
      <c r="J29" s="126">
        <f t="shared" si="7"/>
        <v>3.0818026501867883E-3</v>
      </c>
      <c r="K29" s="126">
        <f t="shared" si="8"/>
        <v>2.8283918221873442E-3</v>
      </c>
      <c r="L29" s="126">
        <f t="shared" si="9"/>
        <v>3.0709032597351998E-3</v>
      </c>
      <c r="M29" s="126">
        <f t="shared" si="10"/>
        <v>3.689443667862875E-3</v>
      </c>
      <c r="N29" s="126">
        <f t="shared" si="11"/>
        <v>4.5913682277318639E-3</v>
      </c>
      <c r="O29" s="126">
        <f t="shared" si="12"/>
        <v>3.5967988490243682E-3</v>
      </c>
      <c r="P29" s="126">
        <f t="shared" si="13"/>
        <v>3.3706364971538968E-3</v>
      </c>
      <c r="R29" s="139">
        <v>41974.916666666664</v>
      </c>
      <c r="S29" s="132">
        <v>1355</v>
      </c>
      <c r="T29" s="133">
        <v>224</v>
      </c>
      <c r="U29" s="134">
        <f t="shared" si="16"/>
        <v>0.16531365313653137</v>
      </c>
      <c r="V29" s="132">
        <v>1249</v>
      </c>
      <c r="W29" s="133">
        <v>211</v>
      </c>
      <c r="X29" s="134">
        <f t="shared" si="17"/>
        <v>0.1689351481184948</v>
      </c>
      <c r="Y29" s="132">
        <v>1327</v>
      </c>
      <c r="Z29" s="133">
        <v>200</v>
      </c>
      <c r="AA29" s="134">
        <f t="shared" si="18"/>
        <v>0.15071590052750566</v>
      </c>
      <c r="AB29" s="132">
        <v>1639</v>
      </c>
      <c r="AC29" s="133">
        <v>285</v>
      </c>
      <c r="AD29" s="134">
        <f t="shared" si="19"/>
        <v>0.17388651616839537</v>
      </c>
      <c r="AE29" s="132">
        <v>1867</v>
      </c>
      <c r="AF29" s="133">
        <v>182</v>
      </c>
      <c r="AG29" s="134">
        <f t="shared" si="20"/>
        <v>9.748259239421532E-2</v>
      </c>
      <c r="AH29" s="132">
        <v>1453</v>
      </c>
      <c r="AI29" s="133">
        <v>133</v>
      </c>
      <c r="AJ29" s="134">
        <v>9.1534755677907781E-2</v>
      </c>
      <c r="AK29" s="132">
        <v>1388</v>
      </c>
      <c r="AL29" s="133">
        <v>151</v>
      </c>
      <c r="AM29" s="134">
        <v>0.10878962536023054</v>
      </c>
      <c r="AN29" s="65">
        <f t="shared" si="14"/>
        <v>10278</v>
      </c>
      <c r="AO29" s="65">
        <f t="shared" si="15"/>
        <v>1386</v>
      </c>
      <c r="AP29" s="70">
        <f t="shared" si="21"/>
        <v>0.13485113835376533</v>
      </c>
    </row>
    <row r="30" spans="1:42" thickBot="1" x14ac:dyDescent="0.35">
      <c r="A30" s="139">
        <v>41974.958333333336</v>
      </c>
      <c r="B30" s="126">
        <f t="shared" si="0"/>
        <v>4.4142531328935432E-4</v>
      </c>
      <c r="C30" s="126">
        <f t="shared" si="1"/>
        <v>5.0409680838599106E-4</v>
      </c>
      <c r="D30" s="126">
        <f t="shared" si="2"/>
        <v>6.2399010335346993E-4</v>
      </c>
      <c r="E30" s="126">
        <f t="shared" si="3"/>
        <v>5.7766769393421665E-4</v>
      </c>
      <c r="F30" s="126">
        <f t="shared" si="4"/>
        <v>4.9319741793440205E-4</v>
      </c>
      <c r="G30" s="126">
        <f t="shared" si="5"/>
        <v>2.9428354219290288E-4</v>
      </c>
      <c r="H30" s="126">
        <f t="shared" si="6"/>
        <v>3.3788110399925886E-4</v>
      </c>
      <c r="I30" s="15"/>
      <c r="J30" s="126">
        <f t="shared" si="7"/>
        <v>2.2697980615434083E-3</v>
      </c>
      <c r="K30" s="126">
        <f t="shared" si="8"/>
        <v>2.0872332714792926E-3</v>
      </c>
      <c r="L30" s="126">
        <f t="shared" si="9"/>
        <v>2.1281059856727512E-3</v>
      </c>
      <c r="M30" s="126">
        <f t="shared" si="10"/>
        <v>2.7766197175422965E-3</v>
      </c>
      <c r="N30" s="126">
        <f t="shared" si="11"/>
        <v>3.7630145534111007E-3</v>
      </c>
      <c r="O30" s="126">
        <f t="shared" si="12"/>
        <v>3.2398438117348283E-3</v>
      </c>
      <c r="P30" s="126">
        <f t="shared" si="13"/>
        <v>2.7956936508325772E-3</v>
      </c>
      <c r="R30" s="139">
        <v>41974.958333333336</v>
      </c>
      <c r="S30" s="135">
        <v>995</v>
      </c>
      <c r="T30" s="136">
        <v>162</v>
      </c>
      <c r="U30" s="137">
        <f t="shared" si="16"/>
        <v>0.16281407035175879</v>
      </c>
      <c r="V30" s="135">
        <v>951</v>
      </c>
      <c r="W30" s="136">
        <v>185</v>
      </c>
      <c r="X30" s="137">
        <f t="shared" si="17"/>
        <v>0.19453207150368035</v>
      </c>
      <c r="Y30" s="135">
        <v>1010</v>
      </c>
      <c r="Z30" s="136">
        <v>229</v>
      </c>
      <c r="AA30" s="137">
        <f t="shared" si="18"/>
        <v>0.22673267326732674</v>
      </c>
      <c r="AB30" s="135">
        <v>1231</v>
      </c>
      <c r="AC30" s="136">
        <v>212</v>
      </c>
      <c r="AD30" s="137">
        <f t="shared" si="19"/>
        <v>0.17221770917952883</v>
      </c>
      <c r="AE30" s="135">
        <v>1562</v>
      </c>
      <c r="AF30" s="136">
        <v>181</v>
      </c>
      <c r="AG30" s="137">
        <f t="shared" si="20"/>
        <v>0.11587708066581306</v>
      </c>
      <c r="AH30" s="135">
        <v>1297</v>
      </c>
      <c r="AI30" s="136">
        <v>108</v>
      </c>
      <c r="AJ30" s="137">
        <v>8.326908249807248E-2</v>
      </c>
      <c r="AK30" s="135">
        <v>1150</v>
      </c>
      <c r="AL30" s="136">
        <v>124</v>
      </c>
      <c r="AM30" s="137">
        <v>0.10782608695652174</v>
      </c>
      <c r="AN30" s="65">
        <f t="shared" si="14"/>
        <v>8196</v>
      </c>
      <c r="AO30" s="65">
        <f t="shared" si="15"/>
        <v>1201</v>
      </c>
      <c r="AP30" s="70">
        <f t="shared" si="21"/>
        <v>0.14653489507076622</v>
      </c>
    </row>
    <row r="31" spans="1:42" thickTop="1" x14ac:dyDescent="0.3"/>
    <row r="32" spans="1:42" ht="14.45" x14ac:dyDescent="0.3">
      <c r="G32" s="142" t="s">
        <v>72</v>
      </c>
      <c r="H32" s="127">
        <f>SUM(B7:H30)</f>
        <v>0.13335131732757852</v>
      </c>
      <c r="O32" s="142" t="s">
        <v>71</v>
      </c>
      <c r="P32" s="127">
        <f>SUM(J7:P30)</f>
        <v>0.86664868267242123</v>
      </c>
      <c r="R32" s="118" t="s">
        <v>58</v>
      </c>
      <c r="S32" s="128">
        <f>SUM(S7:S30)</f>
        <v>57076</v>
      </c>
      <c r="T32" s="66"/>
      <c r="U32" s="66"/>
      <c r="V32" s="66">
        <f>SUM(V7:V30)</f>
        <v>54436</v>
      </c>
      <c r="W32" s="66"/>
      <c r="X32" s="66"/>
      <c r="Y32" s="66">
        <f>SUM(Y7:Y30)</f>
        <v>54816</v>
      </c>
      <c r="Z32" s="66"/>
      <c r="AA32" s="66"/>
      <c r="AB32" s="66">
        <f>SUM(AB7:AB30)</f>
        <v>57100</v>
      </c>
      <c r="AC32" s="66"/>
      <c r="AD32" s="66"/>
      <c r="AE32" s="66">
        <f>SUM(AE7:AE30)</f>
        <v>60010</v>
      </c>
      <c r="AF32" s="66"/>
      <c r="AG32" s="66"/>
      <c r="AH32" s="66">
        <f>SUM(AH7:AH30)</f>
        <v>42524</v>
      </c>
      <c r="AI32" s="66"/>
      <c r="AJ32" s="66"/>
      <c r="AK32" s="66">
        <f>SUM(AK7:AK30)</f>
        <v>41031</v>
      </c>
      <c r="AL32" s="65"/>
      <c r="AM32" s="65"/>
      <c r="AN32" s="65">
        <f>SUM(AN7:AN30)</f>
        <v>366993</v>
      </c>
      <c r="AO32" s="65"/>
      <c r="AP32" s="70">
        <f>AO34/AN32</f>
        <v>0.13335131732757846</v>
      </c>
    </row>
    <row r="33" spans="1:42" ht="14.45" x14ac:dyDescent="0.3">
      <c r="O33" s="15" t="s">
        <v>30</v>
      </c>
      <c r="P33" s="129">
        <f>SUM(B7:P30)</f>
        <v>0.99999999999999967</v>
      </c>
      <c r="R33" s="118" t="s">
        <v>65</v>
      </c>
      <c r="S33" s="129">
        <f>S32/SUM($S$32:$AM$32)</f>
        <v>0.15552340235372336</v>
      </c>
      <c r="T33" s="129"/>
      <c r="U33" s="129"/>
      <c r="V33" s="129">
        <f>V32/SUM($S$32:$AM$32)</f>
        <v>0.14832980465567464</v>
      </c>
      <c r="W33" s="129"/>
      <c r="X33" s="129"/>
      <c r="Y33" s="129">
        <f>Y32/SUM($S$32:$AM$32)</f>
        <v>0.1493652467485756</v>
      </c>
      <c r="Z33" s="129"/>
      <c r="AA33" s="129"/>
      <c r="AB33" s="129">
        <f>AB32/SUM($S$32:$AM$32)</f>
        <v>0.15558879869643291</v>
      </c>
      <c r="AC33" s="129"/>
      <c r="AD33" s="129"/>
      <c r="AE33" s="129">
        <f>AE32/SUM($S$32:$AM$32)</f>
        <v>0.16351810524996391</v>
      </c>
      <c r="AF33" s="129"/>
      <c r="AG33" s="129"/>
      <c r="AH33" s="129">
        <f>AH32/SUM($S$32:$AM$32)</f>
        <v>0.11587141989084261</v>
      </c>
      <c r="AI33" s="129"/>
      <c r="AJ33" s="129"/>
      <c r="AK33" s="129">
        <f>AK32/SUM($S$32:$AM$32)</f>
        <v>0.11180322240478702</v>
      </c>
      <c r="AL33" s="65"/>
      <c r="AM33" s="65"/>
      <c r="AN33" s="131">
        <f>SUM(S33:AM33)</f>
        <v>1</v>
      </c>
      <c r="AO33" s="65"/>
      <c r="AP33" s="65"/>
    </row>
    <row r="34" spans="1:42" ht="14.45" x14ac:dyDescent="0.3">
      <c r="R34" s="118" t="s">
        <v>66</v>
      </c>
      <c r="S34" s="65"/>
      <c r="T34" s="66">
        <f>SUM(T7:T30)</f>
        <v>7545</v>
      </c>
      <c r="U34" s="66"/>
      <c r="V34" s="66"/>
      <c r="W34" s="66">
        <f>SUM(W7:W30)</f>
        <v>8330</v>
      </c>
      <c r="X34" s="66"/>
      <c r="Y34" s="66"/>
      <c r="Z34" s="66">
        <f>SUM(Z7:Z30)</f>
        <v>8840</v>
      </c>
      <c r="AA34" s="66"/>
      <c r="AB34" s="66"/>
      <c r="AC34" s="66">
        <f>SUM(AC7:AC30)</f>
        <v>8724</v>
      </c>
      <c r="AD34" s="66"/>
      <c r="AE34" s="66"/>
      <c r="AF34" s="66">
        <f>SUM(AF7:AF30)</f>
        <v>8304</v>
      </c>
      <c r="AG34" s="66"/>
      <c r="AH34" s="66"/>
      <c r="AI34" s="66">
        <f>SUM(AI7:AI30)</f>
        <v>3933</v>
      </c>
      <c r="AJ34" s="66"/>
      <c r="AK34" s="66"/>
      <c r="AL34" s="66">
        <f>SUM(AL7:AL30)</f>
        <v>3263</v>
      </c>
      <c r="AM34" s="65"/>
      <c r="AN34" s="65"/>
      <c r="AO34" s="65">
        <f>SUM(AO7:AO30)</f>
        <v>48939</v>
      </c>
      <c r="AP34" s="65"/>
    </row>
    <row r="35" spans="1:42" ht="14.45" x14ac:dyDescent="0.3">
      <c r="R35" s="118" t="s">
        <v>65</v>
      </c>
      <c r="S35" s="65"/>
      <c r="T35" s="129">
        <f>T34/SUM($S$34:$AM$34)</f>
        <v>0.15417151964690737</v>
      </c>
      <c r="U35" s="65"/>
      <c r="V35" s="65"/>
      <c r="W35" s="129">
        <f>W34/SUM($S$34:$AM$34)</f>
        <v>0.17021189644251006</v>
      </c>
      <c r="X35" s="65"/>
      <c r="Y35" s="65"/>
      <c r="Z35" s="129">
        <f>Z34/SUM($S$34:$AM$34)</f>
        <v>0.18063303295939845</v>
      </c>
      <c r="AA35" s="70"/>
      <c r="AB35" s="65"/>
      <c r="AC35" s="129">
        <f>AC34/SUM($S$34:$AM$34)</f>
        <v>0.17826273524183167</v>
      </c>
      <c r="AD35" s="65"/>
      <c r="AE35" s="65"/>
      <c r="AF35" s="129">
        <f>AF34/SUM($S$34:$AM$34)</f>
        <v>0.16968062281615889</v>
      </c>
      <c r="AG35" s="65"/>
      <c r="AH35" s="65"/>
      <c r="AI35" s="129">
        <f>AI34/SUM($S$34:$AM$34)</f>
        <v>8.0365352786121502E-2</v>
      </c>
      <c r="AJ35" s="65"/>
      <c r="AK35" s="65"/>
      <c r="AL35" s="129">
        <f>AL34/SUM($S$34:$AM$34)</f>
        <v>6.6674840107072073E-2</v>
      </c>
      <c r="AM35" s="65"/>
      <c r="AN35" s="65"/>
      <c r="AO35" s="131">
        <f>SUM(S35:AN35)</f>
        <v>1</v>
      </c>
      <c r="AP35" s="65"/>
    </row>
    <row r="37" spans="1:42" ht="14.45" x14ac:dyDescent="0.3">
      <c r="R37" s="15" t="s">
        <v>28</v>
      </c>
      <c r="S37" s="70">
        <f>SUM(S13:S16)/S32</f>
        <v>0.27447613708038404</v>
      </c>
      <c r="T37" s="70">
        <f>SUM(T13:T16)/T34</f>
        <v>0.24479787939032471</v>
      </c>
      <c r="U37" s="65"/>
      <c r="V37" s="70">
        <f>SUM(V13:V16)/V32</f>
        <v>0.28510544492615181</v>
      </c>
      <c r="W37" s="70">
        <f>SUM(W13:W16)/W34</f>
        <v>0.25618247298919566</v>
      </c>
      <c r="X37" s="65"/>
      <c r="Y37" s="70">
        <f>SUM(Y13:Y16)/Y32</f>
        <v>0.26610843549328661</v>
      </c>
      <c r="Z37" s="70">
        <f>SUM(Z13:Z16)/Z34</f>
        <v>0.25656108597285066</v>
      </c>
      <c r="AA37" s="65"/>
      <c r="AB37" s="70">
        <f>SUM(AB13:AB16)/AB32</f>
        <v>0.26980735551663748</v>
      </c>
      <c r="AC37" s="70">
        <f>SUM(AC13:AC16)/AC34</f>
        <v>0.24850985786336544</v>
      </c>
      <c r="AD37" s="65"/>
      <c r="AE37" s="70">
        <f>SUM(AE13:AE16)/AE32</f>
        <v>0.2451258123646059</v>
      </c>
      <c r="AF37" s="70">
        <f>SUM(AF13:AF16)/AF34</f>
        <v>0.2646917148362235</v>
      </c>
      <c r="AG37" s="65"/>
      <c r="AH37" s="70">
        <f>SUM(AH13:AH16)/AH32</f>
        <v>0.13246637193114477</v>
      </c>
      <c r="AI37" s="70">
        <f>SUM(AI13:AI16)/AI34</f>
        <v>0.19908466819221968</v>
      </c>
      <c r="AJ37" s="65"/>
      <c r="AK37" s="70">
        <f>SUM(AK13:AK16)/AK32</f>
        <v>8.1645585045453439E-2</v>
      </c>
      <c r="AL37" s="70">
        <f>SUM(AL13:AL16)/AL34</f>
        <v>0.11461844927980386</v>
      </c>
      <c r="AM37" s="65"/>
      <c r="AN37" s="70">
        <f>SUM(AN13:AN16)/AN32</f>
        <v>0.23126326660181529</v>
      </c>
      <c r="AO37" s="70">
        <f>SUM(AO13:AO16)/AO34</f>
        <v>0.24054435113099981</v>
      </c>
      <c r="AP37" s="65"/>
    </row>
    <row r="38" spans="1:42" ht="14.45" x14ac:dyDescent="0.3">
      <c r="R38" s="15" t="s">
        <v>37</v>
      </c>
      <c r="S38" s="70">
        <f>SUM(S17:S21)/S32</f>
        <v>0.28425257551335065</v>
      </c>
      <c r="T38" s="70">
        <f>SUM(T17:T21)/T34</f>
        <v>0.29383697813121273</v>
      </c>
      <c r="U38" s="65"/>
      <c r="V38" s="70">
        <f>SUM(V17:V21)/V32</f>
        <v>0.2662392534352267</v>
      </c>
      <c r="W38" s="70">
        <f>SUM(W17:W21)/W34</f>
        <v>0.27046818727490995</v>
      </c>
      <c r="X38" s="65"/>
      <c r="Y38" s="70">
        <f>SUM(Y17:Y21)/Y32</f>
        <v>0.26900904845300644</v>
      </c>
      <c r="Z38" s="70">
        <f>SUM(Z17:Z21)/Z34</f>
        <v>0.26990950226244342</v>
      </c>
      <c r="AA38" s="65"/>
      <c r="AB38" s="70">
        <f>SUM(AB17:AB21)/AB32</f>
        <v>0.2663047285464098</v>
      </c>
      <c r="AC38" s="70">
        <f>SUM(AC17:AC21)/AC34</f>
        <v>0.25687757909215958</v>
      </c>
      <c r="AD38" s="65"/>
      <c r="AE38" s="70">
        <f>SUM(AE17:AE21)/AE32</f>
        <v>0.26752207965339109</v>
      </c>
      <c r="AF38" s="70">
        <f>SUM(AF17:AF21)/AF34</f>
        <v>0.26722061657032753</v>
      </c>
      <c r="AG38" s="65"/>
      <c r="AH38" s="70">
        <f>SUM(AH17:AH21)/AH32</f>
        <v>0.3291082682720346</v>
      </c>
      <c r="AI38" s="70">
        <f>SUM(AI17:AI21)/AI34</f>
        <v>0.27231121281464532</v>
      </c>
      <c r="AJ38" s="65"/>
      <c r="AK38" s="70">
        <f>SUM(AK17:AK21)/AK32</f>
        <v>0.32702103287758039</v>
      </c>
      <c r="AL38" s="70">
        <f>SUM(AL17:AL21)/AL34</f>
        <v>0.25528654612319951</v>
      </c>
      <c r="AM38" s="65"/>
      <c r="AN38" s="70">
        <f>SUM(AN17:AN21)/AN32</f>
        <v>0.28375473101666787</v>
      </c>
      <c r="AO38" s="70">
        <f>SUM(AO17:AO21)/AO34</f>
        <v>0.27013220539855737</v>
      </c>
      <c r="AP38" s="65"/>
    </row>
    <row r="39" spans="1:42" ht="14.45" x14ac:dyDescent="0.3">
      <c r="R39" s="15" t="s">
        <v>29</v>
      </c>
      <c r="S39" s="70">
        <f>SUM(S22:S25)/S32</f>
        <v>0.23642161328754643</v>
      </c>
      <c r="T39" s="70">
        <f>SUM(T22:T25)/T34</f>
        <v>0.20636182902584493</v>
      </c>
      <c r="U39" s="65"/>
      <c r="V39" s="70">
        <f>SUM(V22:V25)/V32</f>
        <v>0.25090013961349106</v>
      </c>
      <c r="W39" s="70">
        <f>SUM(W22:W25)/W34</f>
        <v>0.19951980792316926</v>
      </c>
      <c r="X39" s="65"/>
      <c r="Y39" s="70">
        <f>SUM(Y22:Y25)/Y32</f>
        <v>0.25308304144775245</v>
      </c>
      <c r="Z39" s="70">
        <f>SUM(Z22:Z25)/Z34</f>
        <v>0.20803167420814481</v>
      </c>
      <c r="AA39" s="65"/>
      <c r="AB39" s="70">
        <f>SUM(AB22:AB25)/AB32</f>
        <v>0.24189141856392293</v>
      </c>
      <c r="AC39" s="70">
        <f>SUM(AC22:AC25)/AC34</f>
        <v>0.20586886749197617</v>
      </c>
      <c r="AD39" s="65"/>
      <c r="AE39" s="70">
        <f>SUM(AE22:AE25)/AE32</f>
        <v>0.25545742376270619</v>
      </c>
      <c r="AF39" s="70">
        <f>SUM(AF22:AF25)/AF34</f>
        <v>0.21134393063583815</v>
      </c>
      <c r="AG39" s="65"/>
      <c r="AH39" s="70">
        <f>SUM(AH22:AH25)/AH32</f>
        <v>0.25432696830025397</v>
      </c>
      <c r="AI39" s="70">
        <f>SUM(AI22:AI25)/AI34</f>
        <v>0.17976099669463513</v>
      </c>
      <c r="AJ39" s="65"/>
      <c r="AK39" s="70">
        <f>SUM(AK22:AK25)/AK32</f>
        <v>0.29304672077209915</v>
      </c>
      <c r="AL39" s="70">
        <f>SUM(AL22:AL25)/AL34</f>
        <v>0.25804474410052097</v>
      </c>
      <c r="AM39" s="65"/>
      <c r="AN39" s="70">
        <f>SUM(AN22:AN25)/AN32</f>
        <v>0.25342717708512152</v>
      </c>
      <c r="AO39" s="70">
        <f>SUM(AO22:AO25)/AO34</f>
        <v>0.20756451909520016</v>
      </c>
      <c r="AP39" s="65"/>
    </row>
    <row r="40" spans="1:42" ht="14.45" x14ac:dyDescent="0.3">
      <c r="R40" s="15" t="s">
        <v>38</v>
      </c>
      <c r="S40" s="70">
        <f>SUM(S26:S30,S7:S12)/S32</f>
        <v>0.20484967411871891</v>
      </c>
      <c r="T40" s="70">
        <f>SUM(T26:T30,T7:T12)/T34</f>
        <v>0.25500331345261762</v>
      </c>
      <c r="U40" s="65"/>
      <c r="V40" s="70">
        <f>SUM(V26:V30,V7:V12)/V32</f>
        <v>0.19775516202513044</v>
      </c>
      <c r="W40" s="70">
        <f>SUM(W26:W30,W7:W12)/W34</f>
        <v>0.27382953181272507</v>
      </c>
      <c r="X40" s="65"/>
      <c r="Y40" s="70">
        <f>SUM(Y26:Y30,Y7:Y12)/Y32</f>
        <v>0.21179947460595447</v>
      </c>
      <c r="Z40" s="70">
        <f>SUM(Z26:Z30,Z7:Z12)/Z34</f>
        <v>0.26549773755656109</v>
      </c>
      <c r="AA40" s="65"/>
      <c r="AB40" s="70">
        <f>SUM(AB26:AB30,AB7:AB12)/AB32</f>
        <v>0.22199649737302976</v>
      </c>
      <c r="AC40" s="70">
        <f>SUM(AC26:AC30,AC7:AC12)/AC34</f>
        <v>0.28874369555249885</v>
      </c>
      <c r="AD40" s="65"/>
      <c r="AE40" s="70">
        <f>SUM(AE26:AE30,AE7:AE12)/AE32</f>
        <v>0.23189468421929679</v>
      </c>
      <c r="AF40" s="70">
        <f>SUM(AF26:AF30,AF7:AF12)/AF34</f>
        <v>0.2567437379576108</v>
      </c>
      <c r="AG40" s="65"/>
      <c r="AH40" s="70">
        <f>SUM(AH26:AH30,AH7:AH12)/AH32</f>
        <v>0.28409839149656663</v>
      </c>
      <c r="AI40" s="70">
        <f>SUM(AI26:AI30,AI7:AI12)/AI34</f>
        <v>0.3488431222984999</v>
      </c>
      <c r="AJ40" s="65"/>
      <c r="AK40" s="70">
        <f>SUM(AK26:AK30,AK7:AK12)/AK32</f>
        <v>0.29828666130486703</v>
      </c>
      <c r="AL40" s="70">
        <f>SUM(AL26:AL30,AL7:AL12)/AL34</f>
        <v>0.37205026049647566</v>
      </c>
      <c r="AM40" s="65"/>
      <c r="AN40" s="70">
        <f>SUM(AN26:AN30,AN7:AN12)/AN32</f>
        <v>0.23155482529639529</v>
      </c>
      <c r="AO40" s="70">
        <f>SUM(AO26:AO30,AO7:AO12)/AO34</f>
        <v>0.28175892437524264</v>
      </c>
      <c r="AP40" s="65"/>
    </row>
    <row r="41" spans="1:42" ht="14.45" x14ac:dyDescent="0.3">
      <c r="S41" s="130">
        <f>SUM(S37:S40)</f>
        <v>1</v>
      </c>
      <c r="T41" s="130">
        <f>SUM(T37:T40)</f>
        <v>0.99999999999999989</v>
      </c>
      <c r="U41" s="65"/>
      <c r="V41" s="130">
        <f>SUM(V37:V40)</f>
        <v>1</v>
      </c>
      <c r="W41" s="130">
        <f>SUM(W37:W40)</f>
        <v>1</v>
      </c>
      <c r="X41" s="65"/>
      <c r="Y41" s="130">
        <f>SUM(Y37:Y40)</f>
        <v>1</v>
      </c>
      <c r="Z41" s="130">
        <f>SUM(Z37:Z40)</f>
        <v>1</v>
      </c>
      <c r="AA41" s="65"/>
      <c r="AB41" s="130">
        <f>SUM(AB37:AB40)</f>
        <v>1</v>
      </c>
      <c r="AC41" s="130">
        <f>SUM(AC37:AC40)</f>
        <v>1</v>
      </c>
      <c r="AD41" s="65"/>
      <c r="AE41" s="130">
        <f>SUM(AE37:AE40)</f>
        <v>1</v>
      </c>
      <c r="AF41" s="130">
        <f>SUM(AF37:AF40)</f>
        <v>1</v>
      </c>
      <c r="AG41" s="65"/>
      <c r="AH41" s="130">
        <f>SUM(AH37:AH40)</f>
        <v>1</v>
      </c>
      <c r="AI41" s="130">
        <f>SUM(AI37:AI40)</f>
        <v>1</v>
      </c>
      <c r="AJ41" s="65"/>
      <c r="AK41" s="130">
        <f>SUM(AK37:AK40)</f>
        <v>1</v>
      </c>
      <c r="AL41" s="130">
        <f>SUM(AL37:AL40)</f>
        <v>1</v>
      </c>
      <c r="AM41" s="65"/>
      <c r="AN41" s="130">
        <f>SUM(AN37:AN40)</f>
        <v>1</v>
      </c>
      <c r="AO41" s="130">
        <f>SUM(AO37:AO40)</f>
        <v>1</v>
      </c>
      <c r="AP41" s="65"/>
    </row>
    <row r="43" spans="1:42" ht="14.45" x14ac:dyDescent="0.3">
      <c r="AD43" s="118" t="s">
        <v>56</v>
      </c>
      <c r="AE43" s="65">
        <f>AVERAGE(S32:AE32)</f>
        <v>56687.6</v>
      </c>
      <c r="AJ43" s="118" t="s">
        <v>57</v>
      </c>
      <c r="AK43" s="65">
        <f>AVERAGE(S32:AK32)</f>
        <v>52427.571428571428</v>
      </c>
    </row>
    <row r="44" spans="1:42" ht="21" x14ac:dyDescent="0.4">
      <c r="A44" s="214" t="s">
        <v>218</v>
      </c>
      <c r="B44" s="214"/>
      <c r="C44" s="214"/>
      <c r="D44" s="214"/>
      <c r="E44" s="214"/>
      <c r="F44" s="214"/>
      <c r="G44" s="214"/>
      <c r="H44" s="214"/>
      <c r="I44" s="214"/>
      <c r="J44" s="214"/>
      <c r="K44" s="214"/>
      <c r="L44" s="214"/>
      <c r="M44" s="214"/>
      <c r="N44" s="214"/>
      <c r="O44" s="214"/>
      <c r="P44" s="214"/>
    </row>
    <row r="45" spans="1:42" ht="14.45" x14ac:dyDescent="0.3">
      <c r="A45" s="16"/>
      <c r="B45" s="201" t="s">
        <v>215</v>
      </c>
      <c r="C45" s="201"/>
      <c r="D45" s="201"/>
      <c r="E45" s="201"/>
      <c r="F45" s="201"/>
      <c r="G45" s="201"/>
      <c r="H45" s="201"/>
      <c r="I45" s="16"/>
      <c r="J45" s="201" t="s">
        <v>216</v>
      </c>
      <c r="K45" s="201"/>
      <c r="L45" s="201"/>
      <c r="M45" s="201"/>
      <c r="N45" s="201"/>
      <c r="O45" s="201"/>
      <c r="P45" s="201"/>
      <c r="R45" s="201" t="s">
        <v>80</v>
      </c>
      <c r="S45" s="201"/>
      <c r="T45" s="201"/>
      <c r="U45" s="201"/>
    </row>
    <row r="46" spans="1:42" ht="14.45" x14ac:dyDescent="0.3">
      <c r="A46" s="16" t="s">
        <v>14</v>
      </c>
      <c r="B46" s="16" t="s">
        <v>7</v>
      </c>
      <c r="C46" s="16" t="s">
        <v>8</v>
      </c>
      <c r="D46" s="16" t="s">
        <v>2</v>
      </c>
      <c r="E46" s="16" t="s">
        <v>3</v>
      </c>
      <c r="F46" s="16" t="s">
        <v>4</v>
      </c>
      <c r="G46" s="16" t="s">
        <v>5</v>
      </c>
      <c r="H46" s="16" t="s">
        <v>6</v>
      </c>
      <c r="I46" s="16"/>
      <c r="J46" s="16" t="s">
        <v>7</v>
      </c>
      <c r="K46" s="16" t="s">
        <v>8</v>
      </c>
      <c r="L46" s="16" t="s">
        <v>2</v>
      </c>
      <c r="M46" s="16" t="s">
        <v>3</v>
      </c>
      <c r="N46" s="16" t="s">
        <v>4</v>
      </c>
      <c r="O46" s="16" t="s">
        <v>5</v>
      </c>
      <c r="P46" s="16" t="s">
        <v>6</v>
      </c>
      <c r="R46" s="16" t="s">
        <v>25</v>
      </c>
      <c r="S46" s="16" t="s">
        <v>63</v>
      </c>
      <c r="T46" s="16" t="s">
        <v>64</v>
      </c>
      <c r="U46" s="16" t="s">
        <v>26</v>
      </c>
    </row>
    <row r="47" spans="1:42" ht="14.45" x14ac:dyDescent="0.3">
      <c r="A47" s="139">
        <v>41974</v>
      </c>
      <c r="B47" s="126">
        <f t="shared" ref="B47:B70" si="22">$S$33*U7*$S47/$S$72</f>
        <v>1.4672176800697412E-4</v>
      </c>
      <c r="C47" s="126">
        <f t="shared" ref="C47:C70" si="23">$V$33*X7*$S47/$S$72</f>
        <v>2.1818167505773E-4</v>
      </c>
      <c r="D47" s="126">
        <f t="shared" ref="D47:D70" si="24">$Y$33*AA7*$S47/$S$72</f>
        <v>2.4155812383427146E-4</v>
      </c>
      <c r="E47" s="126">
        <f t="shared" ref="E47:E70" si="25">$AB$33*AD7*$S47/$S$72</f>
        <v>2.6050682634169611E-4</v>
      </c>
      <c r="F47" s="126">
        <f t="shared" ref="F47:F70" si="26">$AE$33*AG7*$S47/$S$72</f>
        <v>1.9577252309245594E-4</v>
      </c>
      <c r="G47" s="126">
        <f t="shared" ref="G47:G70" si="27">$AH$33*AJ7*$S47/$S$72</f>
        <v>9.7530879893692747E-5</v>
      </c>
      <c r="H47" s="126">
        <f t="shared" ref="H47:H70" si="28">$AK$33*AM7*$S47/$S$72</f>
        <v>5.8355343038694753E-5</v>
      </c>
      <c r="I47" s="15"/>
      <c r="J47" s="126">
        <f t="shared" ref="J47:J70" si="29">$S$33*(1-U7)*$S47/$S$72</f>
        <v>1.0530836574694112E-3</v>
      </c>
      <c r="K47" s="126">
        <f t="shared" ref="K47:K70" si="30">$V$33*(1-X7)*$S47/$S$72</f>
        <v>9.2612780951078404E-4</v>
      </c>
      <c r="L47" s="126">
        <f t="shared" ref="L47:L70" si="31">$Y$33*(1-AA7)*$S47/$S$72</f>
        <v>9.1073941283461798E-4</v>
      </c>
      <c r="M47" s="126">
        <f t="shared" ref="M47:M70" si="32">$AB$33*(1-AD7)*$S47/$S$72</f>
        <v>9.3980310768839717E-4</v>
      </c>
      <c r="N47" s="126">
        <f t="shared" ref="N47:N70" si="33">$AE$33*(1-AG7)*$S47/$S$72</f>
        <v>1.0657090730747227E-3</v>
      </c>
      <c r="O47" s="126">
        <f t="shared" ref="O47:O70" si="34">$AH$33*(1-AJ7)*$S47/$S$72</f>
        <v>7.9637419251779031E-4</v>
      </c>
      <c r="P47" s="126">
        <f t="shared" ref="P47:P70" si="35">$AK$33*(1-AM7)*$S47/$S$72</f>
        <v>8.0416509309420826E-4</v>
      </c>
      <c r="R47" s="139">
        <v>41974</v>
      </c>
      <c r="S47" s="140">
        <v>163.5</v>
      </c>
      <c r="T47" s="140">
        <v>185</v>
      </c>
      <c r="U47" s="140">
        <v>348.5</v>
      </c>
    </row>
    <row r="48" spans="1:42" ht="14.45" x14ac:dyDescent="0.3">
      <c r="A48" s="139">
        <v>41974.041666666664</v>
      </c>
      <c r="B48" s="126">
        <f t="shared" si="22"/>
        <v>1.5648607584697435E-4</v>
      </c>
      <c r="C48" s="126">
        <f t="shared" si="23"/>
        <v>2.45152098153244E-4</v>
      </c>
      <c r="D48" s="126">
        <f t="shared" si="24"/>
        <v>2.3577464123125671E-4</v>
      </c>
      <c r="E48" s="126">
        <f t="shared" si="25"/>
        <v>2.3540746480815974E-4</v>
      </c>
      <c r="F48" s="126">
        <f t="shared" si="26"/>
        <v>2.0158314113831018E-4</v>
      </c>
      <c r="G48" s="126">
        <f t="shared" si="27"/>
        <v>1.1107465714975695E-4</v>
      </c>
      <c r="H48" s="126">
        <f t="shared" si="28"/>
        <v>5.1952746355250775E-5</v>
      </c>
      <c r="I48" s="15"/>
      <c r="J48" s="126">
        <f t="shared" si="29"/>
        <v>6.397150780624311E-4</v>
      </c>
      <c r="K48" s="126">
        <f t="shared" si="30"/>
        <v>5.1422147417509712E-4</v>
      </c>
      <c r="L48" s="126">
        <f t="shared" si="31"/>
        <v>5.2889987087011646E-4</v>
      </c>
      <c r="M48" s="126">
        <f t="shared" si="32"/>
        <v>5.6112848529743726E-4</v>
      </c>
      <c r="N48" s="126">
        <f t="shared" si="33"/>
        <v>6.3554684775550551E-4</v>
      </c>
      <c r="O48" s="126">
        <f t="shared" si="34"/>
        <v>4.8212840313553918E-4</v>
      </c>
      <c r="P48" s="126">
        <f t="shared" si="35"/>
        <v>5.2042320055863285E-4</v>
      </c>
      <c r="R48" s="139">
        <v>41974.041666666664</v>
      </c>
      <c r="S48" s="140">
        <v>108.5</v>
      </c>
      <c r="T48" s="140">
        <v>102</v>
      </c>
      <c r="U48" s="140">
        <v>210.5</v>
      </c>
    </row>
    <row r="49" spans="1:21" ht="14.45" x14ac:dyDescent="0.3">
      <c r="A49" s="139">
        <v>41974.083333333336</v>
      </c>
      <c r="B49" s="126">
        <f t="shared" si="22"/>
        <v>1.4882697128152704E-4</v>
      </c>
      <c r="C49" s="126">
        <f t="shared" si="23"/>
        <v>2.220993864365673E-4</v>
      </c>
      <c r="D49" s="126">
        <f t="shared" si="24"/>
        <v>2.4627262317962494E-4</v>
      </c>
      <c r="E49" s="126">
        <f t="shared" si="25"/>
        <v>2.4456923127773398E-4</v>
      </c>
      <c r="F49" s="126">
        <f t="shared" si="26"/>
        <v>2.3928426012097487E-4</v>
      </c>
      <c r="G49" s="126">
        <f t="shared" si="27"/>
        <v>9.6519037458685204E-5</v>
      </c>
      <c r="H49" s="126">
        <f t="shared" si="28"/>
        <v>4.0481403376203839E-5</v>
      </c>
      <c r="I49" s="15"/>
      <c r="J49" s="126">
        <f t="shared" si="29"/>
        <v>3.4650554382340264E-4</v>
      </c>
      <c r="K49" s="126">
        <f t="shared" si="30"/>
        <v>2.5032196040364492E-4</v>
      </c>
      <c r="L49" s="126">
        <f t="shared" si="31"/>
        <v>2.2944654333505423E-4</v>
      </c>
      <c r="M49" s="126">
        <f t="shared" si="32"/>
        <v>2.5097156717505682E-4</v>
      </c>
      <c r="N49" s="126">
        <f t="shared" si="33"/>
        <v>2.8151089425997044E-4</v>
      </c>
      <c r="O49" s="126">
        <f t="shared" si="34"/>
        <v>2.7252434105981701E-4</v>
      </c>
      <c r="P49" s="126">
        <f t="shared" si="35"/>
        <v>3.1560501521077442E-4</v>
      </c>
      <c r="R49" s="139">
        <v>41974.083333333336</v>
      </c>
      <c r="S49" s="140">
        <v>67.5</v>
      </c>
      <c r="T49" s="140">
        <v>81.5</v>
      </c>
      <c r="U49" s="140">
        <v>149</v>
      </c>
    </row>
    <row r="50" spans="1:21" ht="14.45" x14ac:dyDescent="0.3">
      <c r="A50" s="139">
        <v>41974.125</v>
      </c>
      <c r="B50" s="126">
        <f t="shared" si="22"/>
        <v>2.7752133753364006E-4</v>
      </c>
      <c r="C50" s="126">
        <f t="shared" si="23"/>
        <v>3.3555282965351719E-4</v>
      </c>
      <c r="D50" s="126">
        <f t="shared" si="24"/>
        <v>3.9542790590366166E-4</v>
      </c>
      <c r="E50" s="126">
        <f t="shared" si="25"/>
        <v>4.1273291361403817E-4</v>
      </c>
      <c r="F50" s="126">
        <f t="shared" si="26"/>
        <v>3.8162791737462434E-4</v>
      </c>
      <c r="G50" s="126">
        <f t="shared" si="27"/>
        <v>1.6167045956457795E-4</v>
      </c>
      <c r="H50" s="126">
        <f t="shared" si="28"/>
        <v>7.7391677329201168E-5</v>
      </c>
      <c r="I50" s="15"/>
      <c r="J50" s="126">
        <f t="shared" si="29"/>
        <v>4.0493679438870743E-4</v>
      </c>
      <c r="K50" s="126">
        <f t="shared" si="30"/>
        <v>3.1533880377077522E-4</v>
      </c>
      <c r="L50" s="126">
        <f t="shared" si="31"/>
        <v>2.6000739018322956E-4</v>
      </c>
      <c r="M50" s="126">
        <f t="shared" si="32"/>
        <v>2.7001218647647362E-4</v>
      </c>
      <c r="N50" s="126">
        <f t="shared" si="33"/>
        <v>3.3591207310578911E-4</v>
      </c>
      <c r="O50" s="126">
        <f t="shared" si="34"/>
        <v>3.4678930639424734E-4</v>
      </c>
      <c r="P50" s="126">
        <f t="shared" si="35"/>
        <v>4.1321627716841327E-4</v>
      </c>
      <c r="R50" s="139">
        <v>41974.125</v>
      </c>
      <c r="S50" s="140">
        <v>93</v>
      </c>
      <c r="T50" s="140">
        <v>77</v>
      </c>
      <c r="U50" s="140">
        <v>170</v>
      </c>
    </row>
    <row r="51" spans="1:21" ht="14.45" x14ac:dyDescent="0.3">
      <c r="A51" s="139">
        <v>41974.166666666664</v>
      </c>
      <c r="B51" s="126">
        <f t="shared" si="22"/>
        <v>4.7389754975077765E-4</v>
      </c>
      <c r="C51" s="126">
        <f t="shared" si="23"/>
        <v>5.813355178201947E-4</v>
      </c>
      <c r="D51" s="126">
        <f t="shared" si="24"/>
        <v>6.0143214247243212E-4</v>
      </c>
      <c r="E51" s="126">
        <f t="shared" si="25"/>
        <v>5.8989766699861295E-4</v>
      </c>
      <c r="F51" s="126">
        <f t="shared" si="26"/>
        <v>6.5261701730555302E-4</v>
      </c>
      <c r="G51" s="126">
        <f t="shared" si="27"/>
        <v>3.3290412011431441E-4</v>
      </c>
      <c r="H51" s="126">
        <f t="shared" si="28"/>
        <v>1.8907160755943751E-4</v>
      </c>
      <c r="I51" s="15"/>
      <c r="J51" s="126">
        <f t="shared" si="29"/>
        <v>5.8648094554792371E-4</v>
      </c>
      <c r="K51" s="126">
        <f t="shared" si="30"/>
        <v>4.2999610615625965E-4</v>
      </c>
      <c r="L51" s="126">
        <f t="shared" si="31"/>
        <v>4.1695925843677003E-4</v>
      </c>
      <c r="M51" s="126">
        <f t="shared" si="32"/>
        <v>4.7092670894847256E-4</v>
      </c>
      <c r="N51" s="126">
        <f t="shared" si="33"/>
        <v>4.6227038725810018E-4</v>
      </c>
      <c r="O51" s="126">
        <f t="shared" si="34"/>
        <v>4.5712207538084953E-4</v>
      </c>
      <c r="P51" s="126">
        <f t="shared" si="35"/>
        <v>5.7321709593416773E-4</v>
      </c>
      <c r="R51" s="139">
        <v>41974.166666666664</v>
      </c>
      <c r="S51" s="140">
        <v>144.5</v>
      </c>
      <c r="T51" s="140">
        <v>124</v>
      </c>
      <c r="U51" s="140">
        <v>268.5</v>
      </c>
    </row>
    <row r="52" spans="1:21" ht="14.45" x14ac:dyDescent="0.3">
      <c r="A52" s="139">
        <v>41974.208333333336</v>
      </c>
      <c r="B52" s="126">
        <f t="shared" si="22"/>
        <v>6.2279213765290811E-4</v>
      </c>
      <c r="C52" s="126">
        <f t="shared" si="23"/>
        <v>7.9543992750504564E-4</v>
      </c>
      <c r="D52" s="126">
        <f t="shared" si="24"/>
        <v>8.3510989885818559E-4</v>
      </c>
      <c r="E52" s="126">
        <f t="shared" si="25"/>
        <v>1.0477045490184464E-3</v>
      </c>
      <c r="F52" s="126">
        <f t="shared" si="26"/>
        <v>1.0303414578019551E-3</v>
      </c>
      <c r="G52" s="126">
        <f t="shared" si="27"/>
        <v>5.0758386627586434E-4</v>
      </c>
      <c r="H52" s="126">
        <f t="shared" si="28"/>
        <v>3.686489149614843E-4</v>
      </c>
      <c r="I52" s="15"/>
      <c r="J52" s="126">
        <f t="shared" si="29"/>
        <v>1.5383252801011926E-3</v>
      </c>
      <c r="K52" s="126">
        <f t="shared" si="30"/>
        <v>1.26571691167188E-3</v>
      </c>
      <c r="L52" s="126">
        <f t="shared" si="31"/>
        <v>1.2404352054169701E-3</v>
      </c>
      <c r="M52" s="126">
        <f t="shared" si="32"/>
        <v>1.1143216012681739E-3</v>
      </c>
      <c r="N52" s="126">
        <f t="shared" si="33"/>
        <v>1.2418685120526877E-3</v>
      </c>
      <c r="O52" s="126">
        <f t="shared" si="34"/>
        <v>1.1025387259270822E-3</v>
      </c>
      <c r="P52" s="126">
        <f t="shared" si="35"/>
        <v>1.184942940947628E-3</v>
      </c>
      <c r="R52" s="139">
        <v>41974.208333333336</v>
      </c>
      <c r="S52" s="140">
        <v>294.5</v>
      </c>
      <c r="T52" s="140">
        <v>343</v>
      </c>
      <c r="U52" s="140">
        <v>637.5</v>
      </c>
    </row>
    <row r="53" spans="1:21" ht="14.45" x14ac:dyDescent="0.3">
      <c r="A53" s="139">
        <v>41974.25</v>
      </c>
      <c r="B53" s="126">
        <f t="shared" si="22"/>
        <v>1.0946244907245053E-3</v>
      </c>
      <c r="C53" s="126">
        <f t="shared" si="23"/>
        <v>1.3845031632020693E-3</v>
      </c>
      <c r="D53" s="126">
        <f t="shared" si="24"/>
        <v>1.5174681918228763E-3</v>
      </c>
      <c r="E53" s="126">
        <f t="shared" si="25"/>
        <v>1.6170204168940924E-3</v>
      </c>
      <c r="F53" s="126">
        <f t="shared" si="26"/>
        <v>1.7539943550245211E-3</v>
      </c>
      <c r="G53" s="126">
        <f t="shared" si="27"/>
        <v>9.1493107328546896E-4</v>
      </c>
      <c r="H53" s="126">
        <f t="shared" si="28"/>
        <v>6.9203427365489866E-4</v>
      </c>
      <c r="I53" s="15"/>
      <c r="J53" s="126">
        <f t="shared" si="29"/>
        <v>4.2549666724087352E-3</v>
      </c>
      <c r="K53" s="126">
        <f t="shared" si="30"/>
        <v>3.7176473826722226E-3</v>
      </c>
      <c r="L53" s="126">
        <f t="shared" si="31"/>
        <v>3.6202988065356591E-3</v>
      </c>
      <c r="M53" s="126">
        <f t="shared" si="32"/>
        <v>3.7348202063960476E-3</v>
      </c>
      <c r="N53" s="126">
        <f t="shared" si="33"/>
        <v>3.8705933122896883E-3</v>
      </c>
      <c r="O53" s="126">
        <f t="shared" si="34"/>
        <v>3.0707374147143549E-3</v>
      </c>
      <c r="P53" s="126">
        <f t="shared" si="35"/>
        <v>3.1536990470844664E-3</v>
      </c>
      <c r="R53" s="139">
        <v>41974.25</v>
      </c>
      <c r="S53" s="140">
        <v>729</v>
      </c>
      <c r="T53" s="140">
        <v>934</v>
      </c>
      <c r="U53" s="140">
        <v>1663</v>
      </c>
    </row>
    <row r="54" spans="1:21" ht="14.45" x14ac:dyDescent="0.3">
      <c r="A54" s="139">
        <v>41974.291666666664</v>
      </c>
      <c r="B54" s="126">
        <f t="shared" si="22"/>
        <v>1.0534641277524877E-3</v>
      </c>
      <c r="C54" s="126">
        <f t="shared" si="23"/>
        <v>1.3220454096976716E-3</v>
      </c>
      <c r="D54" s="126">
        <f t="shared" si="24"/>
        <v>1.3643613959783353E-3</v>
      </c>
      <c r="E54" s="126">
        <f t="shared" si="25"/>
        <v>1.3827503501759215E-3</v>
      </c>
      <c r="F54" s="126">
        <f t="shared" si="26"/>
        <v>1.5215147216236129E-3</v>
      </c>
      <c r="G54" s="126">
        <f t="shared" si="27"/>
        <v>1.1070029369307111E-3</v>
      </c>
      <c r="H54" s="126">
        <f t="shared" si="28"/>
        <v>7.674891238323967E-4</v>
      </c>
      <c r="I54" s="15"/>
      <c r="J54" s="126">
        <f t="shared" si="29"/>
        <v>8.0019480743139301E-3</v>
      </c>
      <c r="K54" s="126">
        <f t="shared" si="30"/>
        <v>7.3145166940182084E-3</v>
      </c>
      <c r="L54" s="126">
        <f t="shared" si="31"/>
        <v>7.3324897370455793E-3</v>
      </c>
      <c r="M54" s="126">
        <f t="shared" si="32"/>
        <v>7.676469580057319E-3</v>
      </c>
      <c r="N54" s="126">
        <f t="shared" si="33"/>
        <v>7.999392248836926E-3</v>
      </c>
      <c r="O54" s="126">
        <f t="shared" si="34"/>
        <v>5.6396567533186477E-3</v>
      </c>
      <c r="P54" s="126">
        <f t="shared" si="35"/>
        <v>5.7422981433725099E-3</v>
      </c>
      <c r="R54" s="139">
        <v>41974.291666666664</v>
      </c>
      <c r="S54" s="140">
        <v>1234</v>
      </c>
      <c r="T54" s="140">
        <v>1822</v>
      </c>
      <c r="U54" s="140">
        <v>3056</v>
      </c>
    </row>
    <row r="55" spans="1:21" ht="14.45" x14ac:dyDescent="0.3">
      <c r="A55" s="139">
        <v>41974.333333333336</v>
      </c>
      <c r="B55" s="126">
        <f t="shared" si="22"/>
        <v>8.506700471953791E-4</v>
      </c>
      <c r="C55" s="126">
        <f t="shared" si="23"/>
        <v>9.7569304129466574E-4</v>
      </c>
      <c r="D55" s="126">
        <f t="shared" si="24"/>
        <v>1.0309354775446507E-3</v>
      </c>
      <c r="E55" s="126">
        <f t="shared" si="25"/>
        <v>1.0535276246312292E-3</v>
      </c>
      <c r="F55" s="126">
        <f t="shared" si="26"/>
        <v>1.1562625519503675E-3</v>
      </c>
      <c r="G55" s="126">
        <f t="shared" si="27"/>
        <v>8.7648367375759882E-4</v>
      </c>
      <c r="H55" s="126">
        <f t="shared" si="28"/>
        <v>7.6912017701306424E-4</v>
      </c>
      <c r="I55" s="15"/>
      <c r="J55" s="126">
        <f t="shared" si="29"/>
        <v>8.0433004462442462E-3</v>
      </c>
      <c r="K55" s="126">
        <f t="shared" si="30"/>
        <v>7.5068946975251453E-3</v>
      </c>
      <c r="L55" s="126">
        <f t="shared" si="31"/>
        <v>7.5108664456522553E-3</v>
      </c>
      <c r="M55" s="126">
        <f t="shared" si="32"/>
        <v>7.8441827120322143E-3</v>
      </c>
      <c r="N55" s="126">
        <f t="shared" si="33"/>
        <v>8.1949037756008265E-3</v>
      </c>
      <c r="O55" s="126">
        <f t="shared" si="34"/>
        <v>5.749895211641284E-3</v>
      </c>
      <c r="P55" s="126">
        <f t="shared" si="35"/>
        <v>5.6246092945042344E-3</v>
      </c>
      <c r="R55" s="139">
        <v>41974.333333333336</v>
      </c>
      <c r="S55" s="140">
        <v>1212</v>
      </c>
      <c r="T55" s="140">
        <v>1518.5</v>
      </c>
      <c r="U55" s="140">
        <v>2730.5</v>
      </c>
    </row>
    <row r="56" spans="1:21" ht="14.45" x14ac:dyDescent="0.3">
      <c r="A56" s="139">
        <v>41974.375</v>
      </c>
      <c r="B56" s="126">
        <f t="shared" si="22"/>
        <v>8.0573971969323218E-4</v>
      </c>
      <c r="C56" s="126">
        <f t="shared" si="23"/>
        <v>7.5502755484909074E-4</v>
      </c>
      <c r="D56" s="126">
        <f t="shared" si="24"/>
        <v>1.0132633649749916E-3</v>
      </c>
      <c r="E56" s="126">
        <f t="shared" si="25"/>
        <v>7.7741746600979214E-4</v>
      </c>
      <c r="F56" s="126">
        <f t="shared" si="26"/>
        <v>9.1570919771153151E-4</v>
      </c>
      <c r="G56" s="126">
        <f t="shared" si="27"/>
        <v>5.132693142847213E-4</v>
      </c>
      <c r="H56" s="126">
        <f t="shared" si="28"/>
        <v>4.0703352828989729E-4</v>
      </c>
      <c r="I56" s="15"/>
      <c r="J56" s="126">
        <f t="shared" si="29"/>
        <v>6.1435920107418551E-3</v>
      </c>
      <c r="K56" s="126">
        <f t="shared" si="30"/>
        <v>5.872868970449887E-3</v>
      </c>
      <c r="L56" s="126">
        <f t="shared" si="31"/>
        <v>5.6609003489420627E-3</v>
      </c>
      <c r="M56" s="126">
        <f t="shared" si="32"/>
        <v>6.1748364026538048E-3</v>
      </c>
      <c r="N56" s="126">
        <f t="shared" si="33"/>
        <v>6.3908539311589158E-3</v>
      </c>
      <c r="O56" s="126">
        <f t="shared" si="34"/>
        <v>4.66427260359708E-3</v>
      </c>
      <c r="P56" s="126">
        <f t="shared" si="35"/>
        <v>4.5887270406266721E-3</v>
      </c>
      <c r="R56" s="139">
        <v>41974.375</v>
      </c>
      <c r="S56" s="140">
        <v>947</v>
      </c>
      <c r="T56" s="140">
        <v>940</v>
      </c>
      <c r="U56" s="140">
        <v>1887</v>
      </c>
    </row>
    <row r="57" spans="1:21" ht="14.45" x14ac:dyDescent="0.3">
      <c r="A57" s="139">
        <v>41974.416666666664</v>
      </c>
      <c r="B57" s="126">
        <f t="shared" si="22"/>
        <v>7.9969771100674722E-4</v>
      </c>
      <c r="C57" s="126">
        <f t="shared" si="23"/>
        <v>7.5177396566428721E-4</v>
      </c>
      <c r="D57" s="126">
        <f t="shared" si="24"/>
        <v>7.6041457864814551E-4</v>
      </c>
      <c r="E57" s="126">
        <f t="shared" si="25"/>
        <v>7.4536264562435298E-4</v>
      </c>
      <c r="F57" s="126">
        <f t="shared" si="26"/>
        <v>9.3204499676422144E-4</v>
      </c>
      <c r="G57" s="126">
        <f t="shared" si="27"/>
        <v>4.4594975489741846E-4</v>
      </c>
      <c r="H57" s="126">
        <f t="shared" si="28"/>
        <v>3.4146615081853937E-4</v>
      </c>
      <c r="I57" s="15"/>
      <c r="J57" s="126">
        <f t="shared" si="29"/>
        <v>5.7056693207046625E-3</v>
      </c>
      <c r="K57" s="126">
        <f t="shared" si="30"/>
        <v>5.4526930561705003E-3</v>
      </c>
      <c r="L57" s="126">
        <f t="shared" si="31"/>
        <v>5.4873638082446417E-3</v>
      </c>
      <c r="M57" s="126">
        <f t="shared" si="32"/>
        <v>5.7627398407222993E-3</v>
      </c>
      <c r="N57" s="126">
        <f t="shared" si="33"/>
        <v>5.9077313641055264E-3</v>
      </c>
      <c r="O57" s="126">
        <f t="shared" si="34"/>
        <v>4.4008199496455777E-3</v>
      </c>
      <c r="P57" s="126">
        <f t="shared" si="35"/>
        <v>4.3351354799571083E-3</v>
      </c>
      <c r="R57" s="139">
        <v>41974.416666666664</v>
      </c>
      <c r="S57" s="140">
        <v>886.5</v>
      </c>
      <c r="T57" s="140">
        <v>909.5</v>
      </c>
      <c r="U57" s="140">
        <v>1796</v>
      </c>
    </row>
    <row r="58" spans="1:21" ht="14.45" x14ac:dyDescent="0.3">
      <c r="A58" s="139">
        <v>41974.458333333336</v>
      </c>
      <c r="B58" s="126">
        <f t="shared" si="22"/>
        <v>9.4961347871570757E-4</v>
      </c>
      <c r="C58" s="126">
        <f t="shared" si="23"/>
        <v>1.0340210692066823E-3</v>
      </c>
      <c r="D58" s="126">
        <f t="shared" si="24"/>
        <v>1.0563864252054089E-3</v>
      </c>
      <c r="E58" s="126">
        <f t="shared" si="25"/>
        <v>1.1049561430381521E-3</v>
      </c>
      <c r="F58" s="126">
        <f t="shared" si="26"/>
        <v>1.0532730848942737E-3</v>
      </c>
      <c r="G58" s="126">
        <f t="shared" si="27"/>
        <v>4.1647463624518085E-4</v>
      </c>
      <c r="H58" s="126">
        <f t="shared" si="28"/>
        <v>3.0965895845650354E-4</v>
      </c>
      <c r="I58" s="15"/>
      <c r="J58" s="126">
        <f t="shared" si="29"/>
        <v>6.4216681719939488E-3</v>
      </c>
      <c r="K58" s="126">
        <f t="shared" si="30"/>
        <v>5.996308455252476E-3</v>
      </c>
      <c r="L58" s="126">
        <f t="shared" si="31"/>
        <v>6.0230195416685946E-3</v>
      </c>
      <c r="M58" s="126">
        <f t="shared" si="32"/>
        <v>6.2694250724556009E-3</v>
      </c>
      <c r="N58" s="126">
        <f t="shared" si="33"/>
        <v>6.6969303606710523E-3</v>
      </c>
      <c r="O58" s="126">
        <f t="shared" si="34"/>
        <v>5.0754375670412702E-3</v>
      </c>
      <c r="P58" s="126">
        <f t="shared" si="35"/>
        <v>4.9894344855526762E-3</v>
      </c>
      <c r="R58" s="139">
        <v>41974.458333333336</v>
      </c>
      <c r="S58" s="140">
        <v>1004.5</v>
      </c>
      <c r="T58" s="140">
        <v>981</v>
      </c>
      <c r="U58" s="140">
        <v>1985.5</v>
      </c>
    </row>
    <row r="59" spans="1:21" ht="14.45" x14ac:dyDescent="0.3">
      <c r="A59" s="139">
        <v>41974.5</v>
      </c>
      <c r="B59" s="126">
        <f t="shared" si="22"/>
        <v>1.0997054312484637E-3</v>
      </c>
      <c r="C59" s="126">
        <f t="shared" si="23"/>
        <v>1.1511774636698072E-3</v>
      </c>
      <c r="D59" s="126">
        <f t="shared" si="24"/>
        <v>1.3987946454890427E-3</v>
      </c>
      <c r="E59" s="126">
        <f t="shared" si="25"/>
        <v>1.2766606876453306E-3</v>
      </c>
      <c r="F59" s="126">
        <f t="shared" si="26"/>
        <v>1.1174891374623693E-3</v>
      </c>
      <c r="G59" s="126">
        <f t="shared" si="27"/>
        <v>4.2688557570222813E-4</v>
      </c>
      <c r="H59" s="126">
        <f t="shared" si="28"/>
        <v>3.3655679963280247E-4</v>
      </c>
      <c r="I59" s="15"/>
      <c r="J59" s="126">
        <f t="shared" si="29"/>
        <v>6.5174079121428996E-3</v>
      </c>
      <c r="K59" s="126">
        <f t="shared" si="30"/>
        <v>6.1136130255174557E-3</v>
      </c>
      <c r="L59" s="126">
        <f t="shared" si="31"/>
        <v>5.9167089818033571E-3</v>
      </c>
      <c r="M59" s="126">
        <f t="shared" si="32"/>
        <v>6.3436555907842515E-3</v>
      </c>
      <c r="N59" s="126">
        <f t="shared" si="33"/>
        <v>6.8911830143512784E-3</v>
      </c>
      <c r="O59" s="126">
        <f t="shared" si="34"/>
        <v>5.248181489515627E-3</v>
      </c>
      <c r="P59" s="126">
        <f t="shared" si="35"/>
        <v>5.1392610150825073E-3</v>
      </c>
      <c r="R59" s="139">
        <v>41974.5</v>
      </c>
      <c r="S59" s="140">
        <v>1038</v>
      </c>
      <c r="T59" s="140">
        <v>969.5</v>
      </c>
      <c r="U59" s="140">
        <v>2007.5</v>
      </c>
    </row>
    <row r="60" spans="1:21" ht="14.45" x14ac:dyDescent="0.3">
      <c r="A60" s="139">
        <v>41974.541666666664</v>
      </c>
      <c r="B60" s="126">
        <f t="shared" si="22"/>
        <v>1.2060448897953208E-3</v>
      </c>
      <c r="C60" s="126">
        <f t="shared" si="23"/>
        <v>1.4641323907360331E-3</v>
      </c>
      <c r="D60" s="126">
        <f t="shared" si="24"/>
        <v>1.6368692911060642E-3</v>
      </c>
      <c r="E60" s="126">
        <f t="shared" si="25"/>
        <v>1.4424613436308203E-3</v>
      </c>
      <c r="F60" s="126">
        <f t="shared" si="26"/>
        <v>1.2670194186494093E-3</v>
      </c>
      <c r="G60" s="126">
        <f t="shared" si="27"/>
        <v>4.3256799507767067E-4</v>
      </c>
      <c r="H60" s="126">
        <f t="shared" si="28"/>
        <v>3.6015817267222311E-4</v>
      </c>
      <c r="I60" s="15"/>
      <c r="J60" s="126">
        <f t="shared" si="29"/>
        <v>7.3943952243228656E-3</v>
      </c>
      <c r="K60" s="126">
        <f t="shared" si="30"/>
        <v>6.7385019573636519E-3</v>
      </c>
      <c r="L60" s="126">
        <f t="shared" si="31"/>
        <v>6.6230249778599206E-3</v>
      </c>
      <c r="M60" s="126">
        <f t="shared" si="32"/>
        <v>7.161595186542081E-3</v>
      </c>
      <c r="N60" s="126">
        <f t="shared" si="33"/>
        <v>7.7755275581575219E-3</v>
      </c>
      <c r="O60" s="126">
        <f t="shared" si="34"/>
        <v>5.9751185178658038E-3</v>
      </c>
      <c r="P60" s="126">
        <f t="shared" si="35"/>
        <v>5.8225571248676075E-3</v>
      </c>
      <c r="R60" s="139">
        <v>41974.541666666664</v>
      </c>
      <c r="S60" s="140">
        <v>1172</v>
      </c>
      <c r="T60" s="140">
        <v>1000.5</v>
      </c>
      <c r="U60" s="140">
        <v>2172.5</v>
      </c>
    </row>
    <row r="61" spans="1:21" ht="14.45" x14ac:dyDescent="0.3">
      <c r="A61" s="139">
        <v>41974.583333333336</v>
      </c>
      <c r="B61" s="126">
        <f t="shared" si="22"/>
        <v>1.3308934244233464E-3</v>
      </c>
      <c r="C61" s="126">
        <f t="shared" si="23"/>
        <v>1.5156787619817749E-3</v>
      </c>
      <c r="D61" s="126">
        <f t="shared" si="24"/>
        <v>1.3575105630975186E-3</v>
      </c>
      <c r="E61" s="126">
        <f t="shared" si="25"/>
        <v>1.2753284145433147E-3</v>
      </c>
      <c r="F61" s="126">
        <f t="shared" si="26"/>
        <v>1.3076394553056222E-3</v>
      </c>
      <c r="G61" s="126">
        <f t="shared" si="27"/>
        <v>4.9465373852637987E-4</v>
      </c>
      <c r="H61" s="126">
        <f t="shared" si="28"/>
        <v>4.015863498508699E-4</v>
      </c>
      <c r="I61" s="15"/>
      <c r="J61" s="126">
        <f t="shared" si="29"/>
        <v>7.6071066259144962E-3</v>
      </c>
      <c r="K61" s="126">
        <f t="shared" si="30"/>
        <v>7.0089019854460543E-3</v>
      </c>
      <c r="L61" s="126">
        <f t="shared" si="31"/>
        <v>7.2265775082340248E-3</v>
      </c>
      <c r="M61" s="126">
        <f t="shared" si="32"/>
        <v>7.6664299930937121E-3</v>
      </c>
      <c r="N61" s="126">
        <f t="shared" si="33"/>
        <v>8.0898197748572129E-3</v>
      </c>
      <c r="O61" s="126">
        <f t="shared" si="34"/>
        <v>6.1645290027408156E-3</v>
      </c>
      <c r="P61" s="126">
        <f t="shared" si="35"/>
        <v>6.0237952477630481E-3</v>
      </c>
      <c r="R61" s="139">
        <v>41974.583333333336</v>
      </c>
      <c r="S61" s="140">
        <v>1218</v>
      </c>
      <c r="T61" s="140">
        <v>1059</v>
      </c>
      <c r="U61" s="140">
        <v>2277</v>
      </c>
    </row>
    <row r="62" spans="1:21" ht="14.45" x14ac:dyDescent="0.3">
      <c r="A62" s="139">
        <v>41974.625</v>
      </c>
      <c r="B62" s="126">
        <f t="shared" si="22"/>
        <v>1.8953818013842203E-3</v>
      </c>
      <c r="C62" s="126">
        <f t="shared" si="23"/>
        <v>1.9365875312563772E-3</v>
      </c>
      <c r="D62" s="126">
        <f t="shared" si="24"/>
        <v>2.0338083052556153E-3</v>
      </c>
      <c r="E62" s="126">
        <f t="shared" si="25"/>
        <v>1.9931729956338936E-3</v>
      </c>
      <c r="F62" s="126">
        <f t="shared" si="26"/>
        <v>1.8208003073469346E-3</v>
      </c>
      <c r="G62" s="126">
        <f t="shared" si="27"/>
        <v>6.8270686347985526E-4</v>
      </c>
      <c r="H62" s="126">
        <f t="shared" si="28"/>
        <v>6.0745285115586418E-4</v>
      </c>
      <c r="I62" s="15"/>
      <c r="J62" s="126">
        <f t="shared" si="29"/>
        <v>1.1493272625414953E-2</v>
      </c>
      <c r="K62" s="126">
        <f t="shared" si="30"/>
        <v>1.0832786502965359E-2</v>
      </c>
      <c r="L62" s="126">
        <f t="shared" si="31"/>
        <v>1.0824704573352268E-2</v>
      </c>
      <c r="M62" s="126">
        <f t="shared" si="32"/>
        <v>1.1401111252915985E-2</v>
      </c>
      <c r="N62" s="126">
        <f t="shared" si="33"/>
        <v>1.2256099828475803E-2</v>
      </c>
      <c r="O62" s="126">
        <f t="shared" si="34"/>
        <v>9.292398975142474E-3</v>
      </c>
      <c r="P62" s="126">
        <f t="shared" si="35"/>
        <v>9.017431159391423E-3</v>
      </c>
      <c r="R62" s="139">
        <v>41974.625</v>
      </c>
      <c r="S62" s="140">
        <v>1824.5</v>
      </c>
      <c r="T62" s="140">
        <v>1282.5</v>
      </c>
      <c r="U62" s="140">
        <v>3107</v>
      </c>
    </row>
    <row r="63" spans="1:21" ht="14.45" x14ac:dyDescent="0.3">
      <c r="A63" s="139">
        <v>41974.666666666664</v>
      </c>
      <c r="B63" s="126">
        <f t="shared" si="22"/>
        <v>2.0167392991897763E-3</v>
      </c>
      <c r="C63" s="126">
        <f t="shared" si="23"/>
        <v>1.9474272048662876E-3</v>
      </c>
      <c r="D63" s="126">
        <f t="shared" si="24"/>
        <v>2.4274788096538421E-3</v>
      </c>
      <c r="E63" s="126">
        <f t="shared" si="25"/>
        <v>2.4499428619147675E-3</v>
      </c>
      <c r="F63" s="126">
        <f t="shared" si="26"/>
        <v>2.4691507796337805E-3</v>
      </c>
      <c r="G63" s="126">
        <f t="shared" si="27"/>
        <v>9.1639425293747279E-4</v>
      </c>
      <c r="H63" s="126">
        <f t="shared" si="28"/>
        <v>9.7552322761459672E-4</v>
      </c>
      <c r="I63" s="15"/>
      <c r="J63" s="126">
        <f t="shared" si="29"/>
        <v>1.6255526813569853E-2</v>
      </c>
      <c r="K63" s="126">
        <f t="shared" si="30"/>
        <v>1.5479671367461542E-2</v>
      </c>
      <c r="L63" s="126">
        <f t="shared" si="31"/>
        <v>1.5121272666220991E-2</v>
      </c>
      <c r="M63" s="126">
        <f t="shared" si="32"/>
        <v>1.5830006592121512E-2</v>
      </c>
      <c r="N63" s="126">
        <f t="shared" si="33"/>
        <v>1.6742403804196643E-2</v>
      </c>
      <c r="O63" s="126">
        <f t="shared" si="34"/>
        <v>1.2697205932411719E-2</v>
      </c>
      <c r="P63" s="126">
        <f t="shared" si="35"/>
        <v>1.2160109102482823E-2</v>
      </c>
      <c r="R63" s="139">
        <v>41974.666666666664</v>
      </c>
      <c r="S63" s="140">
        <v>2490</v>
      </c>
      <c r="T63" s="140">
        <v>1739.5</v>
      </c>
      <c r="U63" s="140">
        <v>4229.5</v>
      </c>
    </row>
    <row r="64" spans="1:21" ht="14.45" x14ac:dyDescent="0.3">
      <c r="A64" s="139">
        <v>41974.708333333336</v>
      </c>
      <c r="B64" s="126">
        <f t="shared" si="22"/>
        <v>2.0148174575274568E-3</v>
      </c>
      <c r="C64" s="126">
        <f t="shared" si="23"/>
        <v>1.8093931996057018E-3</v>
      </c>
      <c r="D64" s="126">
        <f t="shared" si="24"/>
        <v>2.073961731934232E-3</v>
      </c>
      <c r="E64" s="126">
        <f t="shared" si="25"/>
        <v>2.0616933297709777E-3</v>
      </c>
      <c r="F64" s="126">
        <f t="shared" si="26"/>
        <v>1.8977833788152089E-3</v>
      </c>
      <c r="G64" s="126">
        <f t="shared" si="27"/>
        <v>9.0845844843671583E-4</v>
      </c>
      <c r="H64" s="126">
        <f t="shared" si="28"/>
        <v>9.7299949356810772E-4</v>
      </c>
      <c r="I64" s="15"/>
      <c r="J64" s="126">
        <f t="shared" si="29"/>
        <v>1.5475924020288837E-2</v>
      </c>
      <c r="K64" s="126">
        <f t="shared" si="30"/>
        <v>1.4872329469929795E-2</v>
      </c>
      <c r="L64" s="126">
        <f t="shared" si="31"/>
        <v>1.4724210614550773E-2</v>
      </c>
      <c r="M64" s="126">
        <f t="shared" si="32"/>
        <v>1.5436402864484234E-2</v>
      </c>
      <c r="N64" s="126">
        <f t="shared" si="33"/>
        <v>1.6492072183658613E-2</v>
      </c>
      <c r="O64" s="126">
        <f t="shared" si="34"/>
        <v>1.2122873295249951E-2</v>
      </c>
      <c r="P64" s="126">
        <f t="shared" si="35"/>
        <v>1.1600807598314302E-2</v>
      </c>
      <c r="R64" s="139">
        <v>41974.708333333336</v>
      </c>
      <c r="S64" s="140">
        <v>2383.5</v>
      </c>
      <c r="T64" s="140">
        <v>1717.5</v>
      </c>
      <c r="U64" s="140">
        <v>4101</v>
      </c>
    </row>
    <row r="65" spans="1:21" ht="14.45" x14ac:dyDescent="0.3">
      <c r="A65" s="139">
        <v>41974.75</v>
      </c>
      <c r="B65" s="126">
        <f t="shared" si="22"/>
        <v>8.2602714615015763E-4</v>
      </c>
      <c r="C65" s="126">
        <f t="shared" si="23"/>
        <v>1.0335483552331034E-3</v>
      </c>
      <c r="D65" s="126">
        <f t="shared" si="24"/>
        <v>9.8051573712399482E-4</v>
      </c>
      <c r="E65" s="126">
        <f t="shared" si="25"/>
        <v>1.0753703597330157E-3</v>
      </c>
      <c r="F65" s="126">
        <f t="shared" si="26"/>
        <v>9.0614756303192474E-4</v>
      </c>
      <c r="G65" s="126">
        <f t="shared" si="27"/>
        <v>3.6969424867461947E-4</v>
      </c>
      <c r="H65" s="126">
        <f t="shared" si="28"/>
        <v>4.2449766275680123E-4</v>
      </c>
      <c r="I65" s="15"/>
      <c r="J65" s="126">
        <f t="shared" si="29"/>
        <v>8.1266494231537565E-3</v>
      </c>
      <c r="K65" s="126">
        <f t="shared" si="30"/>
        <v>7.5050300617307327E-3</v>
      </c>
      <c r="L65" s="126">
        <f t="shared" si="31"/>
        <v>7.617667716919096E-3</v>
      </c>
      <c r="M65" s="126">
        <f t="shared" si="32"/>
        <v>7.8810707382285378E-3</v>
      </c>
      <c r="N65" s="126">
        <f t="shared" si="33"/>
        <v>8.506742634668123E-3</v>
      </c>
      <c r="O65" s="126">
        <f t="shared" si="34"/>
        <v>6.3004231112153463E-3</v>
      </c>
      <c r="P65" s="126">
        <f t="shared" si="35"/>
        <v>6.0114346435559901E-3</v>
      </c>
      <c r="R65" s="139">
        <v>41974.75</v>
      </c>
      <c r="S65" s="140">
        <v>1220</v>
      </c>
      <c r="T65" s="140">
        <v>836.5</v>
      </c>
      <c r="U65" s="140">
        <v>2056.5</v>
      </c>
    </row>
    <row r="66" spans="1:21" ht="14.45" x14ac:dyDescent="0.3">
      <c r="A66" s="139">
        <v>41974.791666666664</v>
      </c>
      <c r="B66" s="126">
        <f t="shared" si="22"/>
        <v>6.4574789142271972E-4</v>
      </c>
      <c r="C66" s="126">
        <f t="shared" si="23"/>
        <v>7.6173905832825617E-4</v>
      </c>
      <c r="D66" s="126">
        <f t="shared" si="24"/>
        <v>6.0817778393916055E-4</v>
      </c>
      <c r="E66" s="126">
        <f t="shared" si="25"/>
        <v>6.4366799079883588E-4</v>
      </c>
      <c r="F66" s="126">
        <f t="shared" si="26"/>
        <v>4.9234800868755088E-4</v>
      </c>
      <c r="G66" s="126">
        <f t="shared" si="27"/>
        <v>2.1047372208538262E-4</v>
      </c>
      <c r="H66" s="126">
        <f t="shared" si="28"/>
        <v>3.2849776959212144E-4</v>
      </c>
      <c r="I66" s="15"/>
      <c r="J66" s="126">
        <f t="shared" si="29"/>
        <v>5.5367357230351067E-3</v>
      </c>
      <c r="K66" s="126">
        <f t="shared" si="30"/>
        <v>5.1347792337143932E-3</v>
      </c>
      <c r="L66" s="126">
        <f t="shared" si="31"/>
        <v>5.3295021832996123E-3</v>
      </c>
      <c r="M66" s="126">
        <f t="shared" si="32"/>
        <v>5.54141530840822E-3</v>
      </c>
      <c r="N66" s="126">
        <f t="shared" si="33"/>
        <v>6.0079470663635072E-3</v>
      </c>
      <c r="O66" s="126">
        <f t="shared" si="34"/>
        <v>4.3957343727566633E-3</v>
      </c>
      <c r="P66" s="126">
        <f t="shared" si="35"/>
        <v>4.1159882698083104E-3</v>
      </c>
      <c r="R66" s="139">
        <v>41974.791666666664</v>
      </c>
      <c r="S66" s="140">
        <v>842.5</v>
      </c>
      <c r="T66" s="140">
        <v>651</v>
      </c>
      <c r="U66" s="140">
        <v>1493.5</v>
      </c>
    </row>
    <row r="67" spans="1:21" ht="14.45" x14ac:dyDescent="0.3">
      <c r="A67" s="139">
        <v>41974.833333333336</v>
      </c>
      <c r="B67" s="126">
        <f t="shared" si="22"/>
        <v>5.1921647285632048E-4</v>
      </c>
      <c r="C67" s="126">
        <f t="shared" si="23"/>
        <v>6.3078535038090119E-4</v>
      </c>
      <c r="D67" s="126">
        <f t="shared" si="24"/>
        <v>6.7441894033331033E-4</v>
      </c>
      <c r="E67" s="126">
        <f t="shared" si="25"/>
        <v>6.8599454794921854E-4</v>
      </c>
      <c r="F67" s="126">
        <f t="shared" si="26"/>
        <v>4.7333250713712431E-4</v>
      </c>
      <c r="G67" s="126">
        <f t="shared" si="27"/>
        <v>3.0635534365762993E-4</v>
      </c>
      <c r="H67" s="126">
        <f t="shared" si="28"/>
        <v>3.2980136023251782E-4</v>
      </c>
      <c r="I67" s="15"/>
      <c r="J67" s="126">
        <f t="shared" si="29"/>
        <v>5.1679346264965759E-3</v>
      </c>
      <c r="K67" s="126">
        <f t="shared" si="30"/>
        <v>4.7933115948215355E-3</v>
      </c>
      <c r="L67" s="126">
        <f t="shared" si="31"/>
        <v>4.7875418603907831E-3</v>
      </c>
      <c r="M67" s="126">
        <f t="shared" si="32"/>
        <v>5.0035479528050463E-3</v>
      </c>
      <c r="N67" s="126">
        <f t="shared" si="33"/>
        <v>5.5061674135329884E-3</v>
      </c>
      <c r="O67" s="126">
        <f t="shared" si="34"/>
        <v>3.9308093726659141E-3</v>
      </c>
      <c r="P67" s="126">
        <f t="shared" si="35"/>
        <v>3.7585982605809354E-3</v>
      </c>
      <c r="R67" s="139">
        <v>41974.833333333336</v>
      </c>
      <c r="S67" s="140">
        <v>775</v>
      </c>
      <c r="T67" s="140">
        <v>903</v>
      </c>
      <c r="U67" s="140">
        <v>1678</v>
      </c>
    </row>
    <row r="68" spans="1:21" ht="14.45" x14ac:dyDescent="0.3">
      <c r="A68" s="139">
        <v>41974.875</v>
      </c>
      <c r="B68" s="126">
        <f t="shared" si="22"/>
        <v>5.1489329604256946E-4</v>
      </c>
      <c r="C68" s="126">
        <f t="shared" si="23"/>
        <v>5.6440638171038632E-4</v>
      </c>
      <c r="D68" s="126">
        <f t="shared" si="24"/>
        <v>5.8057819525276014E-4</v>
      </c>
      <c r="E68" s="126">
        <f t="shared" si="25"/>
        <v>4.2219607087627762E-4</v>
      </c>
      <c r="F68" s="126">
        <f t="shared" si="26"/>
        <v>3.1698923680109788E-4</v>
      </c>
      <c r="G68" s="126">
        <f t="shared" si="27"/>
        <v>2.3282231347492626E-4</v>
      </c>
      <c r="H68" s="126">
        <f t="shared" si="28"/>
        <v>3.3111223276980777E-4</v>
      </c>
      <c r="I68" s="15"/>
      <c r="J68" s="126">
        <f t="shared" si="29"/>
        <v>3.7192824256691995E-3</v>
      </c>
      <c r="K68" s="126">
        <f t="shared" si="30"/>
        <v>3.4739212794274279E-3</v>
      </c>
      <c r="L68" s="126">
        <f t="shared" si="31"/>
        <v>3.4859397170282753E-3</v>
      </c>
      <c r="M68" s="126">
        <f t="shared" si="32"/>
        <v>3.8137600877498012E-3</v>
      </c>
      <c r="N68" s="126">
        <f t="shared" si="33"/>
        <v>4.1348448976849085E-3</v>
      </c>
      <c r="O68" s="126">
        <f t="shared" si="34"/>
        <v>2.9218151591943443E-3</v>
      </c>
      <c r="P68" s="126">
        <f t="shared" si="35"/>
        <v>2.7127672268551766E-3</v>
      </c>
      <c r="R68" s="139">
        <v>41974.875</v>
      </c>
      <c r="S68" s="140">
        <v>577</v>
      </c>
      <c r="T68" s="140">
        <v>517.5</v>
      </c>
      <c r="U68" s="140">
        <v>1094.5</v>
      </c>
    </row>
    <row r="69" spans="1:21" ht="14.45" x14ac:dyDescent="0.3">
      <c r="A69" s="139">
        <v>41974.916666666664</v>
      </c>
      <c r="B69" s="126">
        <f t="shared" si="22"/>
        <v>5.3437692967537101E-4</v>
      </c>
      <c r="C69" s="126">
        <f t="shared" si="23"/>
        <v>5.2082481739746701E-4</v>
      </c>
      <c r="D69" s="126">
        <f t="shared" si="24"/>
        <v>4.678987252777721E-4</v>
      </c>
      <c r="E69" s="126">
        <f t="shared" si="25"/>
        <v>5.6232509153964242E-4</v>
      </c>
      <c r="F69" s="126">
        <f t="shared" si="26"/>
        <v>3.3131122078894457E-4</v>
      </c>
      <c r="G69" s="126">
        <f t="shared" si="27"/>
        <v>2.2044770610562292E-4</v>
      </c>
      <c r="H69" s="126">
        <f t="shared" si="28"/>
        <v>2.5280463417143935E-4</v>
      </c>
      <c r="I69" s="15"/>
      <c r="J69" s="126">
        <f t="shared" si="29"/>
        <v>2.6981263726019852E-3</v>
      </c>
      <c r="K69" s="126">
        <f t="shared" si="30"/>
        <v>2.562161897907918E-3</v>
      </c>
      <c r="L69" s="126">
        <f t="shared" si="31"/>
        <v>2.6366093169402456E-3</v>
      </c>
      <c r="M69" s="126">
        <f t="shared" si="32"/>
        <v>2.6715374524374589E-3</v>
      </c>
      <c r="N69" s="126">
        <f t="shared" si="33"/>
        <v>3.0673593792822614E-3</v>
      </c>
      <c r="O69" s="126">
        <f t="shared" si="34"/>
        <v>2.1879020455595655E-3</v>
      </c>
      <c r="P69" s="126">
        <f t="shared" si="35"/>
        <v>2.0709889567554337E-3</v>
      </c>
      <c r="R69" s="139">
        <v>41974.916666666664</v>
      </c>
      <c r="S69" s="140">
        <v>440.5</v>
      </c>
      <c r="T69" s="140">
        <v>402.5</v>
      </c>
      <c r="U69" s="140">
        <v>843</v>
      </c>
    </row>
    <row r="70" spans="1:21" ht="14.45" x14ac:dyDescent="0.3">
      <c r="A70" s="139">
        <v>41974.958333333336</v>
      </c>
      <c r="B70" s="126">
        <f t="shared" si="22"/>
        <v>3.9188518179959856E-4</v>
      </c>
      <c r="C70" s="126">
        <f t="shared" si="23"/>
        <v>4.4657128677437518E-4</v>
      </c>
      <c r="D70" s="126">
        <f t="shared" si="24"/>
        <v>5.2412494367804299E-4</v>
      </c>
      <c r="E70" s="126">
        <f t="shared" si="25"/>
        <v>4.1469356393432935E-4</v>
      </c>
      <c r="F70" s="126">
        <f t="shared" si="26"/>
        <v>2.9324765709003614E-4</v>
      </c>
      <c r="G70" s="126">
        <f t="shared" si="27"/>
        <v>1.4932456827024669E-4</v>
      </c>
      <c r="H70" s="126">
        <f t="shared" si="28"/>
        <v>1.865732279132957E-4</v>
      </c>
      <c r="I70" s="15"/>
      <c r="J70" s="126">
        <f t="shared" si="29"/>
        <v>2.015063928636208E-3</v>
      </c>
      <c r="K70" s="126">
        <f t="shared" si="30"/>
        <v>1.849046517130656E-3</v>
      </c>
      <c r="L70" s="126">
        <f t="shared" si="31"/>
        <v>1.7875178210155092E-3</v>
      </c>
      <c r="M70" s="126">
        <f t="shared" si="32"/>
        <v>1.9932676492881211E-3</v>
      </c>
      <c r="N70" s="126">
        <f t="shared" si="33"/>
        <v>2.2374310190129277E-3</v>
      </c>
      <c r="O70" s="126">
        <f t="shared" si="34"/>
        <v>1.6439528858641047E-3</v>
      </c>
      <c r="P70" s="126">
        <f t="shared" si="35"/>
        <v>1.5437429987019467E-3</v>
      </c>
      <c r="R70" s="139">
        <v>41974.958333333336</v>
      </c>
      <c r="S70" s="140">
        <v>328</v>
      </c>
      <c r="T70" s="140">
        <v>284</v>
      </c>
      <c r="U70" s="140">
        <v>612</v>
      </c>
    </row>
    <row r="71" spans="1:21" ht="14.45" x14ac:dyDescent="0.3">
      <c r="A71" s="3"/>
      <c r="R71" s="13"/>
      <c r="S71" s="13"/>
      <c r="T71" s="13"/>
      <c r="U71" s="13"/>
    </row>
    <row r="72" spans="1:21" ht="14.45" x14ac:dyDescent="0.3">
      <c r="G72" s="21" t="s">
        <v>60</v>
      </c>
      <c r="H72" s="65">
        <f>SUM(B47:H70)</f>
        <v>0.1338565158438105</v>
      </c>
      <c r="O72" s="21" t="s">
        <v>62</v>
      </c>
      <c r="P72" s="65">
        <f>SUM(J47:P70)</f>
        <v>0.86614348415618958</v>
      </c>
      <c r="R72" s="26" t="s">
        <v>30</v>
      </c>
      <c r="S72" s="141">
        <f>SUM(S47:S70)</f>
        <v>21193.5</v>
      </c>
      <c r="T72" s="141">
        <f t="shared" ref="T72:U72" si="36">SUM(T47:T70)</f>
        <v>19380.5</v>
      </c>
      <c r="U72" s="141">
        <f t="shared" si="36"/>
        <v>40574</v>
      </c>
    </row>
    <row r="73" spans="1:21" ht="14.45" x14ac:dyDescent="0.3">
      <c r="B73" t="s">
        <v>209</v>
      </c>
      <c r="O73" s="21" t="s">
        <v>61</v>
      </c>
      <c r="P73" s="129">
        <f>SUM(B47:P70)</f>
        <v>0.99999999999999989</v>
      </c>
    </row>
    <row r="74" spans="1:21" ht="18" x14ac:dyDescent="0.35">
      <c r="B74" t="s">
        <v>207</v>
      </c>
      <c r="C74" s="2"/>
      <c r="G74" s="22"/>
      <c r="R74" s="23" t="s">
        <v>210</v>
      </c>
      <c r="S74" s="23"/>
    </row>
    <row r="75" spans="1:21" ht="14.45" x14ac:dyDescent="0.3">
      <c r="B75" t="s">
        <v>208</v>
      </c>
    </row>
    <row r="76" spans="1:21" ht="14.45" x14ac:dyDescent="0.3">
      <c r="B76" s="23" t="s">
        <v>76</v>
      </c>
      <c r="C76" s="23"/>
    </row>
  </sheetData>
  <mergeCells count="16">
    <mergeCell ref="A4:P4"/>
    <mergeCell ref="A44:P44"/>
    <mergeCell ref="AH5:AJ5"/>
    <mergeCell ref="AK5:AM5"/>
    <mergeCell ref="R45:U45"/>
    <mergeCell ref="R4:AP4"/>
    <mergeCell ref="AN5:AP5"/>
    <mergeCell ref="S5:U5"/>
    <mergeCell ref="V5:X5"/>
    <mergeCell ref="Y5:AA5"/>
    <mergeCell ref="AB5:AD5"/>
    <mergeCell ref="AE5:AG5"/>
    <mergeCell ref="B45:H45"/>
    <mergeCell ref="J45:P45"/>
    <mergeCell ref="J5:P5"/>
    <mergeCell ref="B5:H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S139"/>
  <sheetViews>
    <sheetView topLeftCell="E22" zoomScale="85" zoomScaleNormal="85" workbookViewId="0">
      <selection activeCell="E5" sqref="E5"/>
    </sheetView>
  </sheetViews>
  <sheetFormatPr defaultRowHeight="15" x14ac:dyDescent="0.25"/>
  <cols>
    <col min="1" max="1" width="25.7109375" style="147" bestFit="1" customWidth="1"/>
    <col min="2" max="2" width="12.7109375" style="21" customWidth="1"/>
    <col min="3" max="47" width="12.7109375" customWidth="1"/>
  </cols>
  <sheetData>
    <row r="2" spans="1:13" s="147" customFormat="1" ht="48" customHeight="1" x14ac:dyDescent="0.3">
      <c r="B2" s="216" t="s">
        <v>329</v>
      </c>
      <c r="C2" s="216"/>
      <c r="D2" s="216"/>
      <c r="E2" s="216"/>
      <c r="F2" s="216"/>
      <c r="G2" s="216"/>
      <c r="H2" s="216"/>
      <c r="I2" s="216"/>
      <c r="J2" s="216"/>
      <c r="K2" s="216"/>
    </row>
    <row r="3" spans="1:13" s="147" customFormat="1" ht="14.45" x14ac:dyDescent="0.3">
      <c r="B3" s="21"/>
    </row>
    <row r="4" spans="1:13" ht="14.45" x14ac:dyDescent="0.3">
      <c r="A4" s="16" t="s">
        <v>129</v>
      </c>
      <c r="B4" s="16" t="s">
        <v>136</v>
      </c>
      <c r="C4" s="17" t="s">
        <v>137</v>
      </c>
      <c r="F4" s="47"/>
      <c r="H4" s="201" t="s">
        <v>131</v>
      </c>
      <c r="I4" s="201"/>
      <c r="J4" s="201"/>
      <c r="K4" s="195" t="s">
        <v>113</v>
      </c>
      <c r="L4" s="195"/>
      <c r="M4" s="195"/>
    </row>
    <row r="5" spans="1:13" ht="14.45" x14ac:dyDescent="0.3">
      <c r="A5" s="15" t="s">
        <v>93</v>
      </c>
      <c r="B5" s="64">
        <v>365</v>
      </c>
      <c r="C5" s="47" t="s">
        <v>124</v>
      </c>
      <c r="F5" s="47"/>
      <c r="H5" s="16" t="s">
        <v>46</v>
      </c>
      <c r="I5" s="16" t="s">
        <v>27</v>
      </c>
      <c r="J5" s="16" t="s">
        <v>39</v>
      </c>
      <c r="K5" s="16" t="s">
        <v>46</v>
      </c>
      <c r="L5" s="16" t="s">
        <v>27</v>
      </c>
      <c r="M5" s="16" t="s">
        <v>39</v>
      </c>
    </row>
    <row r="6" spans="1:13" ht="14.45" x14ac:dyDescent="0.3">
      <c r="A6" s="15" t="s">
        <v>89</v>
      </c>
      <c r="B6" s="64">
        <v>56000</v>
      </c>
      <c r="C6" s="47" t="s">
        <v>123</v>
      </c>
      <c r="H6" s="15" t="s">
        <v>28</v>
      </c>
      <c r="I6" s="64">
        <v>1.38759924485235</v>
      </c>
      <c r="J6" s="64">
        <v>1.1781905847544993</v>
      </c>
      <c r="K6" s="15" t="s">
        <v>28</v>
      </c>
      <c r="L6" s="65">
        <f>(I6-1)*T_1!$I$14+1</f>
        <v>1.2460164290905</v>
      </c>
      <c r="M6" s="65">
        <f>(J6-1)*T_1!$I$14+1</f>
        <v>1.113100868851149</v>
      </c>
    </row>
    <row r="7" spans="1:13" ht="14.45" x14ac:dyDescent="0.3">
      <c r="A7" s="15" t="s">
        <v>90</v>
      </c>
      <c r="B7" s="64">
        <v>38000</v>
      </c>
      <c r="C7" s="47" t="s">
        <v>123</v>
      </c>
      <c r="H7" s="15" t="s">
        <v>37</v>
      </c>
      <c r="I7" s="64">
        <v>1.8176207065940237</v>
      </c>
      <c r="J7" s="64">
        <v>1.199152788874992</v>
      </c>
      <c r="K7" s="15" t="s">
        <v>37</v>
      </c>
      <c r="L7" s="65">
        <f>(I7-1)*T_1!$I$14+1</f>
        <v>1.5189590259994896</v>
      </c>
      <c r="M7" s="65">
        <f>(J7-1)*T_1!$I$14+1</f>
        <v>1.126405968569685</v>
      </c>
    </row>
    <row r="8" spans="1:13" ht="14.45" x14ac:dyDescent="0.3">
      <c r="A8" s="15" t="s">
        <v>51</v>
      </c>
      <c r="B8" s="71">
        <f>0.009</f>
        <v>8.9999999999999993E-3</v>
      </c>
      <c r="C8" s="23" t="s">
        <v>126</v>
      </c>
      <c r="H8" s="15" t="s">
        <v>29</v>
      </c>
      <c r="I8" s="64">
        <v>2.1082749706921953</v>
      </c>
      <c r="J8" s="64">
        <v>1.3181250867288075</v>
      </c>
      <c r="K8" s="15" t="s">
        <v>29</v>
      </c>
      <c r="L8" s="65">
        <f>(I8-1)*T_1!$I$14+1</f>
        <v>1.7034426778719238</v>
      </c>
      <c r="M8" s="65">
        <f>(J8-1)*T_1!$I$14+1</f>
        <v>1.2019198924676449</v>
      </c>
    </row>
    <row r="9" spans="1:13" ht="14.45" x14ac:dyDescent="0.3">
      <c r="A9" s="15" t="s">
        <v>91</v>
      </c>
      <c r="B9" s="73">
        <f>B6*(1+Trip_Growth)^(2014-2011)</f>
        <v>57525.648823999974</v>
      </c>
      <c r="C9" s="47" t="s">
        <v>128</v>
      </c>
      <c r="H9" s="15" t="s">
        <v>38</v>
      </c>
      <c r="I9" s="64">
        <v>1.2517914030823887</v>
      </c>
      <c r="J9" s="64">
        <v>1.2948471147731739</v>
      </c>
      <c r="K9" s="15" t="s">
        <v>38</v>
      </c>
      <c r="L9" s="65">
        <f>(I9-1)*T_1!$I$14+1</f>
        <v>1.1598166732383932</v>
      </c>
      <c r="M9" s="65">
        <f>(J9-1)*T_1!$I$14+1</f>
        <v>1.1871449319561111</v>
      </c>
    </row>
    <row r="10" spans="1:13" ht="14.45" x14ac:dyDescent="0.3">
      <c r="A10" s="15" t="s">
        <v>92</v>
      </c>
      <c r="B10" s="73">
        <f>B7*(1+Trip_Growth)^(2014-2011)</f>
        <v>39035.261701999982</v>
      </c>
      <c r="C10" s="47" t="s">
        <v>128</v>
      </c>
      <c r="H10" s="27" t="s">
        <v>132</v>
      </c>
    </row>
    <row r="11" spans="1:13" ht="14.45" x14ac:dyDescent="0.3">
      <c r="A11" s="15" t="s">
        <v>105</v>
      </c>
      <c r="B11" s="64">
        <v>55</v>
      </c>
      <c r="C11" s="47" t="s">
        <v>125</v>
      </c>
    </row>
    <row r="12" spans="1:13" ht="14.45" x14ac:dyDescent="0.3">
      <c r="A12" s="15" t="s">
        <v>107</v>
      </c>
      <c r="B12" s="72">
        <v>0.25</v>
      </c>
      <c r="C12" s="23" t="s">
        <v>108</v>
      </c>
    </row>
    <row r="13" spans="1:13" ht="14.45" x14ac:dyDescent="0.3">
      <c r="A13" s="15" t="s">
        <v>106</v>
      </c>
      <c r="B13" s="64">
        <v>45</v>
      </c>
      <c r="C13" t="s">
        <v>127</v>
      </c>
    </row>
    <row r="15" spans="1:13" ht="28.9" x14ac:dyDescent="0.3">
      <c r="A15" s="201" t="s">
        <v>83</v>
      </c>
      <c r="B15" s="201"/>
      <c r="C15" s="201"/>
      <c r="D15" s="201"/>
      <c r="E15" s="146" t="s">
        <v>87</v>
      </c>
      <c r="F15" s="146" t="s">
        <v>219</v>
      </c>
    </row>
    <row r="16" spans="1:13" ht="14.45" x14ac:dyDescent="0.3">
      <c r="A16" s="16" t="s">
        <v>46</v>
      </c>
      <c r="B16" s="16" t="s">
        <v>42</v>
      </c>
      <c r="C16" s="144" t="s">
        <v>306</v>
      </c>
      <c r="D16" s="17" t="s">
        <v>44</v>
      </c>
      <c r="E16" s="17" t="s">
        <v>44</v>
      </c>
      <c r="F16" s="17" t="s">
        <v>44</v>
      </c>
      <c r="G16" s="47"/>
      <c r="H16" s="16" t="s">
        <v>46</v>
      </c>
      <c r="I16" s="195" t="s">
        <v>45</v>
      </c>
      <c r="J16" s="195"/>
    </row>
    <row r="17" spans="1:45" x14ac:dyDescent="0.25">
      <c r="A17" s="15" t="s">
        <v>28</v>
      </c>
      <c r="B17" s="15" t="s">
        <v>43</v>
      </c>
      <c r="C17" s="67">
        <v>978306.20000000019</v>
      </c>
      <c r="D17" s="68">
        <f>C17/C$21</f>
        <v>0.19255795481876578</v>
      </c>
      <c r="E17" s="68">
        <f>T_2!AN37</f>
        <v>0.23126326660181529</v>
      </c>
      <c r="F17" s="69">
        <f>AVERAGE(E17,D17)</f>
        <v>0.21191061071029055</v>
      </c>
      <c r="G17" s="47"/>
      <c r="H17" s="15" t="s">
        <v>28</v>
      </c>
      <c r="I17" s="71">
        <v>8.3959571626823076E-2</v>
      </c>
      <c r="J17" s="217" t="s">
        <v>49</v>
      </c>
    </row>
    <row r="18" spans="1:45" x14ac:dyDescent="0.25">
      <c r="A18" s="15" t="s">
        <v>37</v>
      </c>
      <c r="B18" s="15" t="s">
        <v>43</v>
      </c>
      <c r="C18" s="67">
        <v>1663207.0833333335</v>
      </c>
      <c r="D18" s="68">
        <f>C18/C$21</f>
        <v>0.32736555733445333</v>
      </c>
      <c r="E18" s="68">
        <f>T_2!AN38</f>
        <v>0.28375473101666787</v>
      </c>
      <c r="F18" s="69">
        <f>AVERAGE(E18,D18)</f>
        <v>0.3055601441755606</v>
      </c>
      <c r="G18" s="47"/>
      <c r="H18" s="15" t="s">
        <v>37</v>
      </c>
      <c r="I18" s="71">
        <v>8.67747304715282E-2</v>
      </c>
      <c r="J18" s="217"/>
    </row>
    <row r="19" spans="1:45" x14ac:dyDescent="0.25">
      <c r="A19" s="15" t="s">
        <v>29</v>
      </c>
      <c r="B19" s="15" t="s">
        <v>43</v>
      </c>
      <c r="C19" s="67">
        <v>1596395.2166666668</v>
      </c>
      <c r="D19" s="68">
        <f>C19/C$21</f>
        <v>0.3142151179291246</v>
      </c>
      <c r="E19" s="68">
        <f>T_2!AN39</f>
        <v>0.25342717708512152</v>
      </c>
      <c r="F19" s="69">
        <f>AVERAGE(E19,D19)</f>
        <v>0.28382114750712306</v>
      </c>
      <c r="H19" s="15" t="s">
        <v>29</v>
      </c>
      <c r="I19" s="71">
        <v>4.8483026446695943E-2</v>
      </c>
      <c r="J19" s="217"/>
    </row>
    <row r="20" spans="1:45" x14ac:dyDescent="0.25">
      <c r="A20" s="15" t="s">
        <v>38</v>
      </c>
      <c r="B20" s="15" t="s">
        <v>43</v>
      </c>
      <c r="C20" s="67">
        <v>842672.05</v>
      </c>
      <c r="D20" s="68">
        <f>C20/C$21</f>
        <v>0.16586136991765638</v>
      </c>
      <c r="E20" s="68">
        <f>T_2!AN40</f>
        <v>0.23155482529639529</v>
      </c>
      <c r="F20" s="69">
        <f>AVERAGE(E20,D20)</f>
        <v>0.19870809760702585</v>
      </c>
      <c r="H20" s="15" t="s">
        <v>38</v>
      </c>
      <c r="I20" s="71">
        <v>5.6428998359606831E-2</v>
      </c>
      <c r="J20" s="217"/>
    </row>
    <row r="21" spans="1:45" ht="14.45" x14ac:dyDescent="0.3">
      <c r="A21" s="18" t="s">
        <v>30</v>
      </c>
      <c r="B21" s="18" t="s">
        <v>43</v>
      </c>
      <c r="C21" s="19">
        <f>SUM(C17,C18,C19,C20)</f>
        <v>5080580.55</v>
      </c>
      <c r="D21" s="20">
        <f>SUM(D17,D18,D19,D20)</f>
        <v>1</v>
      </c>
    </row>
    <row r="22" spans="1:45" ht="14.45" x14ac:dyDescent="0.3">
      <c r="A22" s="15" t="s">
        <v>28</v>
      </c>
      <c r="B22" s="15" t="s">
        <v>31</v>
      </c>
      <c r="C22" s="67">
        <v>101921.81666666668</v>
      </c>
      <c r="D22" s="68">
        <f>C22/C$26</f>
        <v>0.18560325110690132</v>
      </c>
      <c r="E22" s="68">
        <f>T_2!AO37</f>
        <v>0.24054435113099981</v>
      </c>
      <c r="F22" s="69">
        <f>AVERAGE(E22,D22)</f>
        <v>0.21307380111895058</v>
      </c>
      <c r="I22" s="201" t="s">
        <v>318</v>
      </c>
      <c r="J22" s="201"/>
      <c r="K22" s="201"/>
      <c r="L22" s="4"/>
      <c r="M22" s="4"/>
      <c r="N22" s="201" t="s">
        <v>319</v>
      </c>
      <c r="O22" s="201"/>
      <c r="P22" s="201"/>
    </row>
    <row r="23" spans="1:45" ht="14.45" x14ac:dyDescent="0.3">
      <c r="A23" s="15" t="s">
        <v>37</v>
      </c>
      <c r="B23" s="15" t="s">
        <v>31</v>
      </c>
      <c r="C23" s="67">
        <v>158924.29999999999</v>
      </c>
      <c r="D23" s="68">
        <f>C23/C$26</f>
        <v>0.28940679949178538</v>
      </c>
      <c r="E23" s="68">
        <f>T_2!AO38</f>
        <v>0.27013220539855737</v>
      </c>
      <c r="F23" s="69">
        <f>AVERAGE(E23,D23)</f>
        <v>0.2797695024451714</v>
      </c>
      <c r="I23" s="15" t="s">
        <v>160</v>
      </c>
      <c r="J23" s="70">
        <f>T_2!H32</f>
        <v>0.13335131732757852</v>
      </c>
      <c r="K23" s="95" t="s">
        <v>180</v>
      </c>
      <c r="N23" s="15" t="s">
        <v>160</v>
      </c>
      <c r="O23" s="70">
        <f>T_2!H72</f>
        <v>0.1338565158438105</v>
      </c>
      <c r="P23" s="95" t="s">
        <v>180</v>
      </c>
      <c r="AA23" s="23"/>
      <c r="AI23" s="95"/>
    </row>
    <row r="24" spans="1:45" ht="14.45" x14ac:dyDescent="0.3">
      <c r="A24" s="15" t="s">
        <v>29</v>
      </c>
      <c r="B24" s="15" t="s">
        <v>31</v>
      </c>
      <c r="C24" s="67">
        <v>69742.166666666672</v>
      </c>
      <c r="D24" s="68">
        <f>C24/C$26</f>
        <v>0.12700296458516841</v>
      </c>
      <c r="E24" s="68">
        <f>T_2!AO39</f>
        <v>0.20756451909520016</v>
      </c>
      <c r="F24" s="69">
        <f>AVERAGE(E24,D24)</f>
        <v>0.1672837418401843</v>
      </c>
      <c r="I24" s="15" t="s">
        <v>161</v>
      </c>
      <c r="J24" s="70">
        <f>1-J23</f>
        <v>0.86664868267242146</v>
      </c>
      <c r="K24" s="96" t="s">
        <v>159</v>
      </c>
      <c r="N24" s="15" t="s">
        <v>161</v>
      </c>
      <c r="O24" s="70">
        <f>1-O23</f>
        <v>0.86614348415618947</v>
      </c>
      <c r="P24" s="96" t="s">
        <v>159</v>
      </c>
      <c r="AA24" s="23"/>
      <c r="AI24" s="95"/>
    </row>
    <row r="25" spans="1:45" ht="14.45" x14ac:dyDescent="0.3">
      <c r="A25" s="15" t="s">
        <v>38</v>
      </c>
      <c r="B25" s="15" t="s">
        <v>31</v>
      </c>
      <c r="C25" s="67">
        <v>218549.81666666665</v>
      </c>
      <c r="D25" s="68">
        <f>C25/C$26</f>
        <v>0.39798698481614492</v>
      </c>
      <c r="E25" s="68">
        <f>T_2!AO40</f>
        <v>0.28175892437524264</v>
      </c>
      <c r="F25" s="69">
        <f>AVERAGE(E25,D25)</f>
        <v>0.33987295459569378</v>
      </c>
      <c r="G25" s="47"/>
      <c r="I25" s="15" t="s">
        <v>32</v>
      </c>
      <c r="J25" s="115">
        <f>T_1!C6+T_1!D6+T_1!E6+T_1!F6</f>
        <v>2.6814800000000001</v>
      </c>
      <c r="K25" s="96" t="s">
        <v>320</v>
      </c>
      <c r="N25" s="15" t="s">
        <v>32</v>
      </c>
      <c r="O25" s="115">
        <f>T_1!H6+T_1!G6</f>
        <v>0.92710999999999988</v>
      </c>
      <c r="P25" s="96" t="s">
        <v>163</v>
      </c>
      <c r="AA25" s="23"/>
      <c r="AI25" s="95"/>
    </row>
    <row r="26" spans="1:45" ht="14.45" x14ac:dyDescent="0.3">
      <c r="A26" s="18" t="s">
        <v>30</v>
      </c>
      <c r="B26" s="18" t="s">
        <v>31</v>
      </c>
      <c r="C26" s="19">
        <f>SUM(C22,C23,C24,C25)</f>
        <v>549138.1</v>
      </c>
      <c r="D26" s="20">
        <f>SUM(D22,D23,D24,D25)</f>
        <v>1</v>
      </c>
      <c r="I26" s="15" t="s">
        <v>162</v>
      </c>
      <c r="J26" s="116">
        <f>J25/FF_Speed</f>
        <v>4.8754181818181822E-2</v>
      </c>
      <c r="K26" s="96" t="s">
        <v>321</v>
      </c>
      <c r="N26" s="15" t="s">
        <v>162</v>
      </c>
      <c r="O26" s="116">
        <f>O25/FF_Speed</f>
        <v>1.6856545454545454E-2</v>
      </c>
      <c r="P26" s="96" t="s">
        <v>164</v>
      </c>
      <c r="AA26" s="23"/>
      <c r="AI26" s="95"/>
    </row>
    <row r="27" spans="1:45" ht="14.45" x14ac:dyDescent="0.3">
      <c r="A27" s="21"/>
      <c r="B27" s="143"/>
    </row>
    <row r="28" spans="1:45" ht="23.45" x14ac:dyDescent="0.45">
      <c r="A28" s="215" t="s">
        <v>181</v>
      </c>
      <c r="B28" s="215"/>
      <c r="C28" s="215"/>
      <c r="D28" s="215"/>
      <c r="E28" s="215"/>
      <c r="F28" s="215"/>
      <c r="G28" s="215"/>
      <c r="H28" s="215"/>
      <c r="I28" s="215"/>
      <c r="J28" s="215"/>
      <c r="K28" s="215"/>
      <c r="L28" s="215"/>
      <c r="M28" s="215"/>
      <c r="N28" s="215"/>
      <c r="O28" s="215"/>
      <c r="P28" s="215"/>
      <c r="Q28" s="171"/>
      <c r="R28" s="171"/>
      <c r="S28" s="171"/>
      <c r="T28" s="171"/>
      <c r="U28" s="171"/>
      <c r="V28" s="171"/>
      <c r="X28" s="215" t="s">
        <v>182</v>
      </c>
      <c r="Y28" s="215"/>
      <c r="Z28" s="215"/>
      <c r="AA28" s="215"/>
      <c r="AB28" s="215"/>
      <c r="AC28" s="215"/>
      <c r="AD28" s="215"/>
      <c r="AE28" s="215"/>
      <c r="AF28" s="215"/>
      <c r="AG28" s="215"/>
      <c r="AH28" s="215"/>
      <c r="AI28" s="215"/>
      <c r="AJ28" s="215"/>
      <c r="AK28" s="215"/>
      <c r="AL28" s="215"/>
      <c r="AM28" s="215"/>
      <c r="AN28" s="215"/>
      <c r="AO28" s="215"/>
      <c r="AP28" s="215"/>
      <c r="AQ28" s="215"/>
      <c r="AR28" s="215"/>
      <c r="AS28" s="215"/>
    </row>
    <row r="29" spans="1:45" ht="23.45" x14ac:dyDescent="0.45">
      <c r="A29" s="171" t="s">
        <v>81</v>
      </c>
      <c r="B29" s="171"/>
      <c r="C29" s="171"/>
      <c r="D29" s="171"/>
      <c r="E29" s="171"/>
      <c r="F29" s="171"/>
      <c r="G29" s="171"/>
      <c r="H29" s="171"/>
      <c r="I29" s="171"/>
      <c r="J29" s="171"/>
      <c r="K29" s="171"/>
      <c r="L29" s="215" t="s">
        <v>47</v>
      </c>
      <c r="M29" s="215"/>
      <c r="N29" s="215"/>
      <c r="O29" s="215"/>
      <c r="P29" s="215"/>
      <c r="Q29" s="215"/>
      <c r="R29" s="215"/>
      <c r="S29" s="215"/>
      <c r="T29" s="215"/>
      <c r="U29" s="215"/>
      <c r="V29" s="215"/>
      <c r="X29" s="215" t="s">
        <v>81</v>
      </c>
      <c r="Y29" s="215"/>
      <c r="Z29" s="215"/>
      <c r="AA29" s="215"/>
      <c r="AB29" s="215"/>
      <c r="AC29" s="215"/>
      <c r="AD29" s="215"/>
      <c r="AE29" s="215"/>
      <c r="AF29" s="215"/>
      <c r="AG29" s="215"/>
      <c r="AH29" s="215"/>
      <c r="AI29" s="215" t="s">
        <v>47</v>
      </c>
      <c r="AJ29" s="215"/>
      <c r="AK29" s="215"/>
      <c r="AL29" s="215"/>
      <c r="AM29" s="215"/>
      <c r="AN29" s="215"/>
      <c r="AO29" s="215"/>
      <c r="AP29" s="215"/>
      <c r="AQ29" s="215"/>
      <c r="AR29" s="215"/>
      <c r="AS29" s="215"/>
    </row>
    <row r="30" spans="1:45" ht="14.45" x14ac:dyDescent="0.3">
      <c r="A30" s="109"/>
      <c r="B30" s="209" t="s">
        <v>177</v>
      </c>
      <c r="C30" s="209"/>
      <c r="D30" s="209"/>
      <c r="E30" s="209"/>
      <c r="F30" s="209"/>
      <c r="G30" s="209" t="s">
        <v>15</v>
      </c>
      <c r="H30" s="209"/>
      <c r="I30" s="209"/>
      <c r="J30" s="209"/>
      <c r="K30" s="209"/>
      <c r="L30" s="109"/>
      <c r="M30" s="209" t="s">
        <v>177</v>
      </c>
      <c r="N30" s="209"/>
      <c r="O30" s="209"/>
      <c r="P30" s="209"/>
      <c r="Q30" s="209"/>
      <c r="R30" s="209" t="s">
        <v>15</v>
      </c>
      <c r="S30" s="209"/>
      <c r="T30" s="209"/>
      <c r="U30" s="209"/>
      <c r="V30" s="209"/>
      <c r="X30" s="109"/>
      <c r="Y30" s="209" t="s">
        <v>177</v>
      </c>
      <c r="Z30" s="209"/>
      <c r="AA30" s="209"/>
      <c r="AB30" s="209"/>
      <c r="AC30" s="209"/>
      <c r="AD30" s="209" t="s">
        <v>15</v>
      </c>
      <c r="AE30" s="209"/>
      <c r="AF30" s="209"/>
      <c r="AG30" s="209"/>
      <c r="AH30" s="209"/>
      <c r="AI30" s="109"/>
      <c r="AJ30" s="209" t="s">
        <v>177</v>
      </c>
      <c r="AK30" s="209"/>
      <c r="AL30" s="209"/>
      <c r="AM30" s="209"/>
      <c r="AN30" s="209"/>
      <c r="AO30" s="209" t="s">
        <v>15</v>
      </c>
      <c r="AP30" s="209"/>
      <c r="AQ30" s="209"/>
      <c r="AR30" s="209"/>
      <c r="AS30" s="209"/>
    </row>
    <row r="31" spans="1:45" ht="14.45" x14ac:dyDescent="0.3">
      <c r="A31" s="109"/>
      <c r="B31" s="16" t="s">
        <v>23</v>
      </c>
      <c r="C31" s="16" t="s">
        <v>34</v>
      </c>
      <c r="D31" s="16" t="s">
        <v>35</v>
      </c>
      <c r="E31" s="16" t="s">
        <v>36</v>
      </c>
      <c r="F31" s="16" t="s">
        <v>33</v>
      </c>
      <c r="G31" s="16" t="s">
        <v>23</v>
      </c>
      <c r="H31" s="16" t="s">
        <v>34</v>
      </c>
      <c r="I31" s="16" t="s">
        <v>35</v>
      </c>
      <c r="J31" s="16" t="s">
        <v>36</v>
      </c>
      <c r="K31" s="16" t="s">
        <v>33</v>
      </c>
      <c r="L31" s="109"/>
      <c r="M31" s="16" t="s">
        <v>23</v>
      </c>
      <c r="N31" s="16" t="s">
        <v>34</v>
      </c>
      <c r="O31" s="16" t="s">
        <v>35</v>
      </c>
      <c r="P31" s="16" t="s">
        <v>36</v>
      </c>
      <c r="Q31" s="16" t="s">
        <v>33</v>
      </c>
      <c r="R31" s="16" t="s">
        <v>23</v>
      </c>
      <c r="S31" s="16" t="s">
        <v>34</v>
      </c>
      <c r="T31" s="16" t="s">
        <v>35</v>
      </c>
      <c r="U31" s="16" t="s">
        <v>36</v>
      </c>
      <c r="V31" s="16" t="s">
        <v>33</v>
      </c>
      <c r="X31" s="109"/>
      <c r="Y31" s="16" t="s">
        <v>23</v>
      </c>
      <c r="Z31" s="16" t="s">
        <v>34</v>
      </c>
      <c r="AA31" s="16" t="s">
        <v>35</v>
      </c>
      <c r="AB31" s="16" t="s">
        <v>36</v>
      </c>
      <c r="AC31" s="16" t="s">
        <v>33</v>
      </c>
      <c r="AD31" s="16" t="s">
        <v>23</v>
      </c>
      <c r="AE31" s="16" t="s">
        <v>34</v>
      </c>
      <c r="AF31" s="16" t="s">
        <v>35</v>
      </c>
      <c r="AG31" s="16" t="s">
        <v>36</v>
      </c>
      <c r="AH31" s="16" t="s">
        <v>33</v>
      </c>
      <c r="AI31" s="109"/>
      <c r="AJ31" s="16" t="s">
        <v>23</v>
      </c>
      <c r="AK31" s="16" t="s">
        <v>34</v>
      </c>
      <c r="AL31" s="16" t="s">
        <v>35</v>
      </c>
      <c r="AM31" s="16" t="s">
        <v>36</v>
      </c>
      <c r="AN31" s="16" t="s">
        <v>33</v>
      </c>
      <c r="AO31" s="16" t="s">
        <v>23</v>
      </c>
      <c r="AP31" s="16" t="s">
        <v>34</v>
      </c>
      <c r="AQ31" s="16" t="s">
        <v>35</v>
      </c>
      <c r="AR31" s="16" t="s">
        <v>36</v>
      </c>
      <c r="AS31" s="16" t="s">
        <v>33</v>
      </c>
    </row>
    <row r="32" spans="1:45" s="21" customFormat="1" ht="43.15" x14ac:dyDescent="0.3">
      <c r="A32" s="110" t="s">
        <v>179</v>
      </c>
      <c r="B32" s="178" t="s">
        <v>322</v>
      </c>
      <c r="C32" s="178" t="s">
        <v>68</v>
      </c>
      <c r="D32" s="178" t="s">
        <v>84</v>
      </c>
      <c r="E32" s="178" t="s">
        <v>67</v>
      </c>
      <c r="F32" s="178" t="s">
        <v>70</v>
      </c>
      <c r="G32" s="179" t="s">
        <v>323</v>
      </c>
      <c r="H32" s="180" t="s">
        <v>68</v>
      </c>
      <c r="I32" s="180" t="s">
        <v>84</v>
      </c>
      <c r="J32" s="181" t="s">
        <v>67</v>
      </c>
      <c r="K32" s="178" t="s">
        <v>70</v>
      </c>
      <c r="L32" s="110" t="s">
        <v>179</v>
      </c>
      <c r="M32" s="178" t="s">
        <v>322</v>
      </c>
      <c r="N32" s="178" t="s">
        <v>68</v>
      </c>
      <c r="O32" s="178" t="s">
        <v>69</v>
      </c>
      <c r="P32" s="178" t="s">
        <v>67</v>
      </c>
      <c r="Q32" s="178" t="s">
        <v>70</v>
      </c>
      <c r="R32" s="179" t="s">
        <v>323</v>
      </c>
      <c r="S32" s="180" t="s">
        <v>68</v>
      </c>
      <c r="T32" s="180" t="s">
        <v>69</v>
      </c>
      <c r="U32" s="181" t="s">
        <v>67</v>
      </c>
      <c r="V32" s="178" t="s">
        <v>70</v>
      </c>
      <c r="X32" s="110"/>
      <c r="Y32" s="178" t="s">
        <v>322</v>
      </c>
      <c r="Z32" s="178" t="s">
        <v>68</v>
      </c>
      <c r="AA32" s="178" t="s">
        <v>176</v>
      </c>
      <c r="AB32" s="178" t="s">
        <v>67</v>
      </c>
      <c r="AC32" s="178" t="s">
        <v>70</v>
      </c>
      <c r="AD32" s="179" t="s">
        <v>323</v>
      </c>
      <c r="AE32" s="180" t="s">
        <v>68</v>
      </c>
      <c r="AF32" s="180" t="s">
        <v>176</v>
      </c>
      <c r="AG32" s="181" t="s">
        <v>67</v>
      </c>
      <c r="AH32" s="178" t="s">
        <v>70</v>
      </c>
      <c r="AI32" s="110"/>
      <c r="AJ32" s="178" t="s">
        <v>322</v>
      </c>
      <c r="AK32" s="178" t="s">
        <v>68</v>
      </c>
      <c r="AL32" s="178" t="s">
        <v>69</v>
      </c>
      <c r="AM32" s="178" t="s">
        <v>67</v>
      </c>
      <c r="AN32" s="178" t="s">
        <v>70</v>
      </c>
      <c r="AO32" s="179" t="s">
        <v>323</v>
      </c>
      <c r="AP32" s="180" t="s">
        <v>68</v>
      </c>
      <c r="AQ32" s="180" t="s">
        <v>69</v>
      </c>
      <c r="AR32" s="181" t="s">
        <v>67</v>
      </c>
      <c r="AS32" s="178" t="s">
        <v>70</v>
      </c>
    </row>
    <row r="33" spans="1:45" s="97" customFormat="1" ht="14.45" x14ac:dyDescent="0.3">
      <c r="A33" s="111">
        <v>2014</v>
      </c>
      <c r="B33" s="101">
        <f>B9*$J$24*Annual_Days</f>
        <v>18196902.637216505</v>
      </c>
      <c r="C33" s="102">
        <f t="shared" ref="C33:C64" si="0">$J$25*B33</f>
        <v>48794630.483643316</v>
      </c>
      <c r="D33" s="103">
        <f>T_1!I43</f>
        <v>320156.44794203399</v>
      </c>
      <c r="E33" s="103">
        <f t="shared" ref="E33:E64" si="1">$J$26*B33</f>
        <v>887175.09970260574</v>
      </c>
      <c r="F33" s="103">
        <f>D33+E33</f>
        <v>1207331.5476446399</v>
      </c>
      <c r="G33" s="101">
        <f>B9*$J$23*Annual_Days</f>
        <v>2799959.1835434837</v>
      </c>
      <c r="H33" s="102">
        <f t="shared" ref="H33:H64" si="2">$J$25*G33</f>
        <v>7508034.5514881806</v>
      </c>
      <c r="I33" s="103">
        <f>T_1!S43</f>
        <v>38448.233996542738</v>
      </c>
      <c r="J33" s="103">
        <f t="shared" ref="J33:J64" si="3">$J$26*G33</f>
        <v>136509.71911796695</v>
      </c>
      <c r="K33" s="103">
        <f>I33+J33</f>
        <v>174957.9531145097</v>
      </c>
      <c r="L33" s="111">
        <v>2014</v>
      </c>
      <c r="M33" s="101">
        <f>B9*$J$24*Annual_Days</f>
        <v>18196902.637216505</v>
      </c>
      <c r="N33" s="102">
        <f t="shared" ref="N33:N64" si="4">$J$25*M33</f>
        <v>48794630.483643316</v>
      </c>
      <c r="O33" s="103">
        <f>D33</f>
        <v>320156.44794203399</v>
      </c>
      <c r="P33" s="103">
        <f t="shared" ref="P33:P44" si="5">$J$26*M33</f>
        <v>887175.09970260574</v>
      </c>
      <c r="Q33" s="103">
        <f>O33+P33</f>
        <v>1207331.5476446399</v>
      </c>
      <c r="R33" s="101">
        <f>B9*$J$23*Annual_Days</f>
        <v>2799959.1835434837</v>
      </c>
      <c r="S33" s="102">
        <f>$J$25*R33</f>
        <v>7508034.5514881806</v>
      </c>
      <c r="T33" s="103">
        <f t="shared" ref="T33:T40" si="6">I33</f>
        <v>38448.233996542738</v>
      </c>
      <c r="U33" s="103">
        <f>$J$26*R33</f>
        <v>136509.71911796695</v>
      </c>
      <c r="V33" s="103">
        <f>T33+U33</f>
        <v>174957.9531145097</v>
      </c>
      <c r="X33" s="111">
        <v>2014</v>
      </c>
      <c r="Y33" s="101">
        <f>B10*$O$24*Annual_Days</f>
        <v>12340700.215064408</v>
      </c>
      <c r="Z33" s="102">
        <f t="shared" ref="Z33:Z64" si="7">$O$25*Y33</f>
        <v>11441186.576388363</v>
      </c>
      <c r="AA33" s="103">
        <f>T_1!I196</f>
        <v>9744.9001814123694</v>
      </c>
      <c r="AB33" s="103">
        <f t="shared" ref="AB33:AB64" si="8">$O$26*Y33</f>
        <v>208021.57411615207</v>
      </c>
      <c r="AC33" s="103">
        <f t="shared" ref="AC33:AC64" si="9">AA33+AB33</f>
        <v>217766.47429756445</v>
      </c>
      <c r="AD33" s="101">
        <f>$B$10*$O$23*Annual_Days</f>
        <v>1907170.3061655832</v>
      </c>
      <c r="AE33" s="102">
        <f t="shared" ref="AE33:AE64" si="10">$O$25*AD33</f>
        <v>1768156.6625491737</v>
      </c>
      <c r="AF33" s="103">
        <f>T_1!S196</f>
        <v>1667.9996380022519</v>
      </c>
      <c r="AG33" s="103">
        <f t="shared" ref="AG33:AG64" si="11">$O$26*AD33</f>
        <v>32148.302955439522</v>
      </c>
      <c r="AH33" s="103">
        <f t="shared" ref="AH33:AH64" si="12">AF33+AG33</f>
        <v>33816.302593441775</v>
      </c>
      <c r="AI33" s="111">
        <v>2014</v>
      </c>
      <c r="AJ33" s="101">
        <f>B10*$O$24*Annual_Days</f>
        <v>12340700.215064408</v>
      </c>
      <c r="AK33" s="102">
        <f t="shared" ref="AK33:AK64" si="13">$O$25*AJ33</f>
        <v>11441186.576388363</v>
      </c>
      <c r="AL33" s="103">
        <f>AA33</f>
        <v>9744.9001814123694</v>
      </c>
      <c r="AM33" s="103">
        <f t="shared" ref="AM33:AM44" si="14">$O$26*AJ33</f>
        <v>208021.57411615207</v>
      </c>
      <c r="AN33" s="103">
        <f t="shared" ref="AN33:AN64" si="15">AL33+AM33</f>
        <v>217766.47429756445</v>
      </c>
      <c r="AO33" s="101">
        <f>$B$10*$O$23*Annual_Days</f>
        <v>1907170.3061655832</v>
      </c>
      <c r="AP33" s="102">
        <f>$O$25*AO33</f>
        <v>1768156.6625491737</v>
      </c>
      <c r="AQ33" s="103">
        <f t="shared" ref="AQ33:AQ40" si="16">AF33</f>
        <v>1667.9996380022519</v>
      </c>
      <c r="AR33" s="103">
        <f>$O$26*AO33</f>
        <v>32148.302955439522</v>
      </c>
      <c r="AS33" s="103">
        <f>AQ33+AR33</f>
        <v>33816.302593441775</v>
      </c>
    </row>
    <row r="34" spans="1:45" ht="14.45" x14ac:dyDescent="0.3">
      <c r="A34" s="111" t="s">
        <v>28</v>
      </c>
      <c r="B34" s="101">
        <f>$B$33*$E17</f>
        <v>4208275.1459178766</v>
      </c>
      <c r="C34" s="102">
        <f t="shared" si="0"/>
        <v>11284405.638275867</v>
      </c>
      <c r="D34" s="103">
        <f>T_1!J24</f>
        <v>27112.917765922452</v>
      </c>
      <c r="E34" s="103">
        <f t="shared" si="1"/>
        <v>205171.01160501578</v>
      </c>
      <c r="F34" s="103">
        <f t="shared" ref="F34:F37" si="17">D34+E34</f>
        <v>232283.92937093822</v>
      </c>
      <c r="G34" s="101">
        <f>$G$33*E22</f>
        <v>673514.36499875132</v>
      </c>
      <c r="H34" s="102">
        <f t="shared" si="2"/>
        <v>1806015.2994568518</v>
      </c>
      <c r="I34" s="103">
        <f>T_1!T24</f>
        <v>3840.4635505432507</v>
      </c>
      <c r="J34" s="103">
        <f t="shared" si="3"/>
        <v>32836.641808306398</v>
      </c>
      <c r="K34" s="103">
        <f t="shared" ref="K34:K37" si="18">I34+J34</f>
        <v>36677.105358849651</v>
      </c>
      <c r="L34" s="111" t="s">
        <v>28</v>
      </c>
      <c r="M34" s="101">
        <f>M$33*E17</f>
        <v>4208275.1459178766</v>
      </c>
      <c r="N34" s="102">
        <f t="shared" si="4"/>
        <v>11284405.638275867</v>
      </c>
      <c r="O34" s="103">
        <f>T_1!J24</f>
        <v>27112.917765922452</v>
      </c>
      <c r="P34" s="103">
        <f t="shared" si="5"/>
        <v>205171.01160501578</v>
      </c>
      <c r="Q34" s="103">
        <f t="shared" ref="Q34:Q37" si="19">O34+P34</f>
        <v>232283.92937093822</v>
      </c>
      <c r="R34" s="101">
        <f t="shared" ref="R34:S37" si="20">G34</f>
        <v>673514.36499875132</v>
      </c>
      <c r="S34" s="102">
        <f t="shared" si="20"/>
        <v>1806015.2994568518</v>
      </c>
      <c r="T34" s="103">
        <f t="shared" si="6"/>
        <v>3840.4635505432507</v>
      </c>
      <c r="U34" s="103">
        <f t="shared" ref="U34:V37" si="21">J34</f>
        <v>32836.641808306398</v>
      </c>
      <c r="V34" s="103">
        <f t="shared" si="21"/>
        <v>36677.105358849651</v>
      </c>
      <c r="X34" s="111" t="s">
        <v>28</v>
      </c>
      <c r="Y34" s="101">
        <f>$Y$33*$F17</f>
        <v>2615125.3191669127</v>
      </c>
      <c r="Z34" s="102">
        <f t="shared" si="7"/>
        <v>2424508.834652836</v>
      </c>
      <c r="AA34" s="103">
        <f>T_1!J177</f>
        <v>843.33432064302565</v>
      </c>
      <c r="AB34" s="103">
        <f t="shared" si="8"/>
        <v>44081.978811869754</v>
      </c>
      <c r="AC34" s="103">
        <f t="shared" si="9"/>
        <v>44925.313132512783</v>
      </c>
      <c r="AD34" s="101">
        <f>$AD$33*F22</f>
        <v>406368.02651589358</v>
      </c>
      <c r="AE34" s="102">
        <f t="shared" si="10"/>
        <v>376747.86106315005</v>
      </c>
      <c r="AF34" s="103">
        <f>T_1!T177</f>
        <v>323.19445985301957</v>
      </c>
      <c r="AG34" s="103">
        <f t="shared" si="11"/>
        <v>6849.9611102390927</v>
      </c>
      <c r="AH34" s="103">
        <f t="shared" si="12"/>
        <v>7173.1555700921126</v>
      </c>
      <c r="AI34" s="111" t="s">
        <v>28</v>
      </c>
      <c r="AJ34" s="101">
        <f>AJ$33*F17</f>
        <v>2615125.3191669127</v>
      </c>
      <c r="AK34" s="102">
        <f t="shared" si="13"/>
        <v>2424508.834652836</v>
      </c>
      <c r="AL34" s="103">
        <f>T_1!J177</f>
        <v>843.33432064302565</v>
      </c>
      <c r="AM34" s="103">
        <f t="shared" si="14"/>
        <v>44081.978811869754</v>
      </c>
      <c r="AN34" s="103">
        <f t="shared" si="15"/>
        <v>44925.313132512783</v>
      </c>
      <c r="AO34" s="101">
        <f t="shared" ref="AO34:AP37" si="22">AD34</f>
        <v>406368.02651589358</v>
      </c>
      <c r="AP34" s="102">
        <f t="shared" si="22"/>
        <v>376747.86106315005</v>
      </c>
      <c r="AQ34" s="103">
        <f t="shared" si="16"/>
        <v>323.19445985301957</v>
      </c>
      <c r="AR34" s="103">
        <f t="shared" ref="AR34:AS37" si="23">AG34</f>
        <v>6849.9611102390927</v>
      </c>
      <c r="AS34" s="103">
        <f t="shared" si="23"/>
        <v>7173.1555700921126</v>
      </c>
    </row>
    <row r="35" spans="1:45" ht="14.45" x14ac:dyDescent="0.3">
      <c r="A35" s="111" t="s">
        <v>37</v>
      </c>
      <c r="B35" s="101">
        <f>$B$33*$E18</f>
        <v>5163457.2131598638</v>
      </c>
      <c r="C35" s="102">
        <f t="shared" si="0"/>
        <v>13845707.247943912</v>
      </c>
      <c r="D35" s="103">
        <f>T_1!J28</f>
        <v>70999.406900319853</v>
      </c>
      <c r="E35" s="103">
        <f t="shared" si="1"/>
        <v>251740.1317807984</v>
      </c>
      <c r="F35" s="103">
        <f t="shared" si="17"/>
        <v>322739.53868111828</v>
      </c>
      <c r="G35" s="101">
        <f>$G$33*E23</f>
        <v>756359.14927654539</v>
      </c>
      <c r="H35" s="102">
        <f t="shared" si="2"/>
        <v>2028161.931602071</v>
      </c>
      <c r="I35" s="103">
        <f>T_1!T28</f>
        <v>8520.3375237320361</v>
      </c>
      <c r="J35" s="103">
        <f t="shared" si="3"/>
        <v>36875.671483674021</v>
      </c>
      <c r="K35" s="103">
        <f t="shared" si="18"/>
        <v>45396.009007406057</v>
      </c>
      <c r="L35" s="111" t="s">
        <v>37</v>
      </c>
      <c r="M35" s="101">
        <f>M$33*E18</f>
        <v>5163457.2131598638</v>
      </c>
      <c r="N35" s="102">
        <f t="shared" si="4"/>
        <v>13845707.247943912</v>
      </c>
      <c r="O35" s="103">
        <f>T_1!J28</f>
        <v>70999.406900319853</v>
      </c>
      <c r="P35" s="103">
        <f t="shared" si="5"/>
        <v>251740.1317807984</v>
      </c>
      <c r="Q35" s="103">
        <f t="shared" si="19"/>
        <v>322739.53868111828</v>
      </c>
      <c r="R35" s="101">
        <f t="shared" si="20"/>
        <v>756359.14927654539</v>
      </c>
      <c r="S35" s="102">
        <f t="shared" si="20"/>
        <v>2028161.931602071</v>
      </c>
      <c r="T35" s="103">
        <f t="shared" si="6"/>
        <v>8520.3375237320361</v>
      </c>
      <c r="U35" s="103">
        <f t="shared" si="21"/>
        <v>36875.671483674021</v>
      </c>
      <c r="V35" s="103">
        <f t="shared" si="21"/>
        <v>45396.009007406057</v>
      </c>
      <c r="X35" s="111" t="s">
        <v>37</v>
      </c>
      <c r="Y35" s="101">
        <f>$Y$33*$F18</f>
        <v>3770826.1369424523</v>
      </c>
      <c r="Z35" s="102">
        <f t="shared" si="7"/>
        <v>3495970.6198207163</v>
      </c>
      <c r="AA35" s="103">
        <f>T_1!J181</f>
        <v>1208.1664877889939</v>
      </c>
      <c r="AB35" s="103">
        <f t="shared" si="8"/>
        <v>63563.102178558489</v>
      </c>
      <c r="AC35" s="103">
        <f t="shared" si="9"/>
        <v>64771.268666347481</v>
      </c>
      <c r="AD35" s="101">
        <f>$AD$33*F23</f>
        <v>533568.0876341504</v>
      </c>
      <c r="AE35" s="102">
        <f t="shared" si="10"/>
        <v>494676.3097264971</v>
      </c>
      <c r="AF35" s="103">
        <f>T_1!T181</f>
        <v>190.65395448830787</v>
      </c>
      <c r="AG35" s="103">
        <f t="shared" si="11"/>
        <v>8994.114722299948</v>
      </c>
      <c r="AH35" s="103">
        <f t="shared" si="12"/>
        <v>9184.7686767882551</v>
      </c>
      <c r="AI35" s="111" t="s">
        <v>37</v>
      </c>
      <c r="AJ35" s="101">
        <f>AJ$33*F18</f>
        <v>3770826.1369424523</v>
      </c>
      <c r="AK35" s="102">
        <f t="shared" si="13"/>
        <v>3495970.6198207163</v>
      </c>
      <c r="AL35" s="103">
        <f>T_1!J181</f>
        <v>1208.1664877889939</v>
      </c>
      <c r="AM35" s="103">
        <f t="shared" si="14"/>
        <v>63563.102178558489</v>
      </c>
      <c r="AN35" s="103">
        <f t="shared" si="15"/>
        <v>64771.268666347481</v>
      </c>
      <c r="AO35" s="101">
        <f t="shared" si="22"/>
        <v>533568.0876341504</v>
      </c>
      <c r="AP35" s="102">
        <f t="shared" si="22"/>
        <v>494676.3097264971</v>
      </c>
      <c r="AQ35" s="103">
        <f t="shared" si="16"/>
        <v>190.65395448830787</v>
      </c>
      <c r="AR35" s="103">
        <f t="shared" si="23"/>
        <v>8994.114722299948</v>
      </c>
      <c r="AS35" s="103">
        <f t="shared" si="23"/>
        <v>9184.7686767882551</v>
      </c>
    </row>
    <row r="36" spans="1:45" ht="14.45" x14ac:dyDescent="0.3">
      <c r="A36" s="111" t="s">
        <v>29</v>
      </c>
      <c r="B36" s="101">
        <f>$B$33*$E19</f>
        <v>4611589.6670425823</v>
      </c>
      <c r="C36" s="102">
        <f t="shared" si="0"/>
        <v>12365885.460381344</v>
      </c>
      <c r="D36" s="103">
        <f>T_1!J33</f>
        <v>180125.54987273284</v>
      </c>
      <c r="E36" s="103">
        <f t="shared" si="1"/>
        <v>224834.28109784261</v>
      </c>
      <c r="F36" s="103">
        <f t="shared" si="17"/>
        <v>404959.83097057545</v>
      </c>
      <c r="G36" s="101">
        <f>$G$33*E24</f>
        <v>581172.18141839246</v>
      </c>
      <c r="H36" s="102">
        <f t="shared" si="2"/>
        <v>1558401.5810297912</v>
      </c>
      <c r="I36" s="103">
        <f>T_1!T33</f>
        <v>21914.240831748335</v>
      </c>
      <c r="J36" s="103">
        <f t="shared" si="3"/>
        <v>28334.574200541658</v>
      </c>
      <c r="K36" s="103">
        <f t="shared" si="18"/>
        <v>50248.815032289989</v>
      </c>
      <c r="L36" s="111" t="s">
        <v>29</v>
      </c>
      <c r="M36" s="101">
        <f>M$33*E19</f>
        <v>4611589.6670425823</v>
      </c>
      <c r="N36" s="102">
        <f t="shared" si="4"/>
        <v>12365885.460381344</v>
      </c>
      <c r="O36" s="103">
        <f>T_1!J33</f>
        <v>180125.54987273284</v>
      </c>
      <c r="P36" s="103">
        <f t="shared" si="5"/>
        <v>224834.28109784261</v>
      </c>
      <c r="Q36" s="103">
        <f t="shared" si="19"/>
        <v>404959.83097057545</v>
      </c>
      <c r="R36" s="101">
        <f t="shared" si="20"/>
        <v>581172.18141839246</v>
      </c>
      <c r="S36" s="102">
        <f t="shared" si="20"/>
        <v>1558401.5810297912</v>
      </c>
      <c r="T36" s="103">
        <f t="shared" si="6"/>
        <v>21914.240831748335</v>
      </c>
      <c r="U36" s="103">
        <f t="shared" si="21"/>
        <v>28334.574200541658</v>
      </c>
      <c r="V36" s="103">
        <f t="shared" si="21"/>
        <v>50248.815032289989</v>
      </c>
      <c r="X36" s="111" t="s">
        <v>29</v>
      </c>
      <c r="Y36" s="101">
        <f>$Y$33*$F19</f>
        <v>3502551.6960809808</v>
      </c>
      <c r="Z36" s="102">
        <f t="shared" si="7"/>
        <v>3247250.7029536376</v>
      </c>
      <c r="AA36" s="103">
        <f>T_1!J186</f>
        <v>5381.0459970163865</v>
      </c>
      <c r="AB36" s="103">
        <f t="shared" si="8"/>
        <v>59040.921871884326</v>
      </c>
      <c r="AC36" s="103">
        <f t="shared" si="9"/>
        <v>64421.967868900712</v>
      </c>
      <c r="AD36" s="101">
        <f>$AD$33*F24</f>
        <v>319038.58514186868</v>
      </c>
      <c r="AE36" s="102">
        <f t="shared" si="10"/>
        <v>295783.86267087783</v>
      </c>
      <c r="AF36" s="103">
        <f>T_1!T186</f>
        <v>703.1101222497125</v>
      </c>
      <c r="AG36" s="103">
        <f t="shared" si="11"/>
        <v>5377.888412197779</v>
      </c>
      <c r="AH36" s="103">
        <f t="shared" si="12"/>
        <v>6080.9985344474917</v>
      </c>
      <c r="AI36" s="111" t="s">
        <v>29</v>
      </c>
      <c r="AJ36" s="101">
        <f>AJ$33*F19</f>
        <v>3502551.6960809808</v>
      </c>
      <c r="AK36" s="102">
        <f t="shared" si="13"/>
        <v>3247250.7029536376</v>
      </c>
      <c r="AL36" s="103">
        <f>T_1!J186</f>
        <v>5381.0459970163865</v>
      </c>
      <c r="AM36" s="103">
        <f t="shared" si="14"/>
        <v>59040.921871884326</v>
      </c>
      <c r="AN36" s="103">
        <f t="shared" si="15"/>
        <v>64421.967868900712</v>
      </c>
      <c r="AO36" s="101">
        <f t="shared" si="22"/>
        <v>319038.58514186868</v>
      </c>
      <c r="AP36" s="102">
        <f t="shared" si="22"/>
        <v>295783.86267087783</v>
      </c>
      <c r="AQ36" s="103">
        <f t="shared" si="16"/>
        <v>703.1101222497125</v>
      </c>
      <c r="AR36" s="103">
        <f t="shared" si="23"/>
        <v>5377.888412197779</v>
      </c>
      <c r="AS36" s="103">
        <f t="shared" si="23"/>
        <v>6080.9985344474917</v>
      </c>
    </row>
    <row r="37" spans="1:45" ht="14.45" x14ac:dyDescent="0.3">
      <c r="A37" s="111" t="s">
        <v>38</v>
      </c>
      <c r="B37" s="101">
        <f>$B$33*$E20</f>
        <v>4213580.6110961828</v>
      </c>
      <c r="C37" s="102">
        <f t="shared" si="0"/>
        <v>11298632.137042193</v>
      </c>
      <c r="D37" s="103">
        <f>T_1!J37</f>
        <v>41918.573403058872</v>
      </c>
      <c r="E37" s="103">
        <f t="shared" si="1"/>
        <v>205429.67521894898</v>
      </c>
      <c r="F37" s="103">
        <f t="shared" si="17"/>
        <v>247348.24862200784</v>
      </c>
      <c r="G37" s="101">
        <f>$G$33*E25</f>
        <v>788913.48784979456</v>
      </c>
      <c r="H37" s="102">
        <f t="shared" si="2"/>
        <v>2115455.7393994671</v>
      </c>
      <c r="I37" s="103">
        <f>T_1!T37</f>
        <v>4173.1920905191164</v>
      </c>
      <c r="J37" s="103">
        <f t="shared" si="3"/>
        <v>38462.831625444858</v>
      </c>
      <c r="K37" s="103">
        <f t="shared" si="18"/>
        <v>42636.023715963973</v>
      </c>
      <c r="L37" s="111" t="s">
        <v>38</v>
      </c>
      <c r="M37" s="101">
        <f>M$33*E20</f>
        <v>4213580.6110961828</v>
      </c>
      <c r="N37" s="102">
        <f t="shared" si="4"/>
        <v>11298632.137042193</v>
      </c>
      <c r="O37" s="103">
        <f>T_1!J37</f>
        <v>41918.573403058872</v>
      </c>
      <c r="P37" s="103">
        <f t="shared" si="5"/>
        <v>205429.67521894898</v>
      </c>
      <c r="Q37" s="103">
        <f t="shared" si="19"/>
        <v>247348.24862200784</v>
      </c>
      <c r="R37" s="101">
        <f t="shared" si="20"/>
        <v>788913.48784979456</v>
      </c>
      <c r="S37" s="102">
        <f t="shared" si="20"/>
        <v>2115455.7393994671</v>
      </c>
      <c r="T37" s="103">
        <f t="shared" si="6"/>
        <v>4173.1920905191164</v>
      </c>
      <c r="U37" s="103">
        <f t="shared" si="21"/>
        <v>38462.831625444858</v>
      </c>
      <c r="V37" s="103">
        <f t="shared" si="21"/>
        <v>42636.023715963973</v>
      </c>
      <c r="X37" s="111" t="s">
        <v>38</v>
      </c>
      <c r="Y37" s="101">
        <f>$Y$33*$F20</f>
        <v>2452197.0628740634</v>
      </c>
      <c r="Z37" s="102">
        <f t="shared" si="7"/>
        <v>2273456.4189611725</v>
      </c>
      <c r="AA37" s="103">
        <f>T_1!J190</f>
        <v>2312.3533759639618</v>
      </c>
      <c r="AB37" s="103">
        <f t="shared" si="8"/>
        <v>41335.571253839509</v>
      </c>
      <c r="AC37" s="103">
        <f t="shared" si="9"/>
        <v>43647.92462980347</v>
      </c>
      <c r="AD37" s="101">
        <f>$AD$33*F25</f>
        <v>648195.60687367071</v>
      </c>
      <c r="AE37" s="102">
        <f t="shared" si="10"/>
        <v>600948.62908864883</v>
      </c>
      <c r="AF37" s="103">
        <f>T_1!T190</f>
        <v>451.04110141121191</v>
      </c>
      <c r="AG37" s="103">
        <f t="shared" si="11"/>
        <v>10926.338710702707</v>
      </c>
      <c r="AH37" s="103">
        <f t="shared" si="12"/>
        <v>11377.379812113919</v>
      </c>
      <c r="AI37" s="111" t="s">
        <v>38</v>
      </c>
      <c r="AJ37" s="101">
        <f>AJ$33*F20</f>
        <v>2452197.0628740634</v>
      </c>
      <c r="AK37" s="102">
        <f t="shared" si="13"/>
        <v>2273456.4189611725</v>
      </c>
      <c r="AL37" s="103">
        <f>T_1!J190</f>
        <v>2312.3533759639618</v>
      </c>
      <c r="AM37" s="103">
        <f t="shared" si="14"/>
        <v>41335.571253839509</v>
      </c>
      <c r="AN37" s="103">
        <f t="shared" si="15"/>
        <v>43647.92462980347</v>
      </c>
      <c r="AO37" s="101">
        <f t="shared" si="22"/>
        <v>648195.60687367071</v>
      </c>
      <c r="AP37" s="102">
        <f t="shared" si="22"/>
        <v>600948.62908864883</v>
      </c>
      <c r="AQ37" s="103">
        <f t="shared" si="16"/>
        <v>451.04110141121191</v>
      </c>
      <c r="AR37" s="103">
        <f t="shared" si="23"/>
        <v>10926.338710702707</v>
      </c>
      <c r="AS37" s="103">
        <f t="shared" si="23"/>
        <v>11377.379812113919</v>
      </c>
    </row>
    <row r="38" spans="1:45" ht="14.45" x14ac:dyDescent="0.3">
      <c r="A38" s="110">
        <f>A33+1</f>
        <v>2015</v>
      </c>
      <c r="B38" s="106">
        <f>B$33*(1+Trip_Growth)^(A38-A$33)</f>
        <v>18360674.760951452</v>
      </c>
      <c r="C38" s="102">
        <f t="shared" si="0"/>
        <v>49233782.157996103</v>
      </c>
      <c r="D38" s="107">
        <f>D$33*(1+T_1!$M$14)^(A38-A$33)</f>
        <v>330202.42054130387</v>
      </c>
      <c r="E38" s="107">
        <f t="shared" si="1"/>
        <v>895159.67559992918</v>
      </c>
      <c r="F38" s="107">
        <f t="shared" ref="F38:F83" si="24">D38+E38</f>
        <v>1225362.0961412331</v>
      </c>
      <c r="G38" s="106">
        <f>G$33*(1+Trip_Growth)^(A38-A$33)</f>
        <v>2825158.8161953748</v>
      </c>
      <c r="H38" s="102">
        <f t="shared" si="2"/>
        <v>7575606.8624515738</v>
      </c>
      <c r="I38" s="107">
        <f>I$33*(1+T_1!$N$14)^(A38-A$33)</f>
        <v>39664.720663063796</v>
      </c>
      <c r="J38" s="107">
        <f t="shared" si="3"/>
        <v>137738.30659002863</v>
      </c>
      <c r="K38" s="107">
        <f t="shared" ref="K38:K83" si="25">I38+J38</f>
        <v>177403.02725309244</v>
      </c>
      <c r="L38" s="110">
        <f>L33+1</f>
        <v>2015</v>
      </c>
      <c r="M38" s="106">
        <f>M$33*(1+Trip_Growth)^(L38-L$33)</f>
        <v>18360674.760951452</v>
      </c>
      <c r="N38" s="102">
        <f t="shared" si="4"/>
        <v>49233782.157996103</v>
      </c>
      <c r="O38" s="107">
        <f>D38</f>
        <v>330202.42054130387</v>
      </c>
      <c r="P38" s="107">
        <f t="shared" si="5"/>
        <v>895159.67559992918</v>
      </c>
      <c r="Q38" s="107">
        <f>O38+P38</f>
        <v>1225362.0961412331</v>
      </c>
      <c r="R38" s="106">
        <f>R$33*(1+Trip_Growth)^(L38-L$33)</f>
        <v>2825158.8161953748</v>
      </c>
      <c r="S38" s="102">
        <f t="shared" ref="S38:S83" si="26">$J$25*R38</f>
        <v>7575606.8624515738</v>
      </c>
      <c r="T38" s="107">
        <f t="shared" si="6"/>
        <v>39664.720663063796</v>
      </c>
      <c r="U38" s="107">
        <f t="shared" ref="U38:U44" si="27">$J$26*R38</f>
        <v>137738.30659002863</v>
      </c>
      <c r="V38" s="107">
        <f>T38+U38</f>
        <v>177403.02725309244</v>
      </c>
      <c r="X38" s="110">
        <f>X33+1</f>
        <v>2015</v>
      </c>
      <c r="Y38" s="106">
        <f>Y$33*(1+Trip_Growth)^(X38-X$33)</f>
        <v>12451766.516999986</v>
      </c>
      <c r="Z38" s="102">
        <f t="shared" si="7"/>
        <v>11544157.255575856</v>
      </c>
      <c r="AA38" s="107">
        <f>AA$33*(1+T_1!$O$14)^(X38-X$33)</f>
        <v>10057.528111977481</v>
      </c>
      <c r="AB38" s="107">
        <f t="shared" si="8"/>
        <v>209893.76828319739</v>
      </c>
      <c r="AC38" s="107">
        <f t="shared" si="9"/>
        <v>219951.29639517487</v>
      </c>
      <c r="AD38" s="106">
        <f>AD$33*(1+Trip_Growth)^(X38-X$33)</f>
        <v>1924334.8389210734</v>
      </c>
      <c r="AE38" s="102">
        <f t="shared" si="10"/>
        <v>1784070.0725121161</v>
      </c>
      <c r="AF38" s="107">
        <f>AF$33*(1+T_1!$P$14)^(X38-X$33)</f>
        <v>1726.5297771831697</v>
      </c>
      <c r="AG38" s="107">
        <f t="shared" si="11"/>
        <v>32437.637682038476</v>
      </c>
      <c r="AH38" s="107">
        <f t="shared" si="12"/>
        <v>34164.167459221644</v>
      </c>
      <c r="AI38" s="110">
        <f>AI33+1</f>
        <v>2015</v>
      </c>
      <c r="AJ38" s="106">
        <f>AJ33+((AJ$75-AJ$33)*1/26)</f>
        <v>12465209.572456796</v>
      </c>
      <c r="AK38" s="102">
        <f t="shared" si="13"/>
        <v>11556620.446720418</v>
      </c>
      <c r="AL38" s="107">
        <f>AA38</f>
        <v>10057.528111977481</v>
      </c>
      <c r="AM38" s="107">
        <f t="shared" si="14"/>
        <v>210120.37175855308</v>
      </c>
      <c r="AN38" s="107">
        <f t="shared" si="15"/>
        <v>220177.89987053056</v>
      </c>
      <c r="AO38" s="106">
        <f>AO33+((AO$75-AO$33)*1/26)</f>
        <v>1926412.3706449268</v>
      </c>
      <c r="AP38" s="102">
        <f t="shared" ref="AP38:AP83" si="28">$O$25*AO38</f>
        <v>1785996.172948618</v>
      </c>
      <c r="AQ38" s="107">
        <f t="shared" si="16"/>
        <v>1726.5297771831697</v>
      </c>
      <c r="AR38" s="107">
        <f t="shared" ref="AR38:AR44" si="29">$O$26*AO38</f>
        <v>32472.657689974872</v>
      </c>
      <c r="AS38" s="107">
        <f t="shared" ref="AS38:AS83" si="30">AQ38+AR38</f>
        <v>34199.187467158044</v>
      </c>
    </row>
    <row r="39" spans="1:45" ht="14.45" x14ac:dyDescent="0.3">
      <c r="A39" s="110">
        <f>A38+1</f>
        <v>2016</v>
      </c>
      <c r="B39" s="106">
        <f>B$33*(1+Trip_Growth)^(A39-A$33)</f>
        <v>18525920.833800014</v>
      </c>
      <c r="C39" s="102">
        <f t="shared" si="0"/>
        <v>49676886.197418064</v>
      </c>
      <c r="D39" s="107">
        <f>D$33*(1+T_1!$M$14)^(A39-A$33)</f>
        <v>340563.61891882692</v>
      </c>
      <c r="E39" s="107">
        <f t="shared" si="1"/>
        <v>903216.11268032843</v>
      </c>
      <c r="F39" s="107">
        <f>D39+E39</f>
        <v>1243779.7315991553</v>
      </c>
      <c r="G39" s="106">
        <f>G$33*(1+Trip_Growth)^(A39-A$33)</f>
        <v>2850585.245541133</v>
      </c>
      <c r="H39" s="102">
        <f t="shared" si="2"/>
        <v>7643787.324213638</v>
      </c>
      <c r="I39" s="107">
        <f>I$33*(1+T_1!$N$14)^(A39-A$33)</f>
        <v>40919.696478656209</v>
      </c>
      <c r="J39" s="107">
        <f t="shared" si="3"/>
        <v>138977.95134933887</v>
      </c>
      <c r="K39" s="107">
        <f>I39+J39</f>
        <v>179897.64782799507</v>
      </c>
      <c r="L39" s="110">
        <f>L38+1</f>
        <v>2016</v>
      </c>
      <c r="M39" s="106">
        <f>M$33*(1+Trip_Growth)^(L39-L$33)</f>
        <v>18525920.833800014</v>
      </c>
      <c r="N39" s="102">
        <f t="shared" si="4"/>
        <v>49676886.197418064</v>
      </c>
      <c r="O39" s="107">
        <f>D39</f>
        <v>340563.61891882692</v>
      </c>
      <c r="P39" s="107">
        <f t="shared" si="5"/>
        <v>903216.11268032843</v>
      </c>
      <c r="Q39" s="107">
        <f>O39+P39</f>
        <v>1243779.7315991553</v>
      </c>
      <c r="R39" s="106">
        <f>R$33*(1+Trip_Growth)^(L39-L$33)</f>
        <v>2850585.245541133</v>
      </c>
      <c r="S39" s="102">
        <f t="shared" si="26"/>
        <v>7643787.324213638</v>
      </c>
      <c r="T39" s="107">
        <f t="shared" si="6"/>
        <v>40919.696478656209</v>
      </c>
      <c r="U39" s="107">
        <f t="shared" si="27"/>
        <v>138977.95134933887</v>
      </c>
      <c r="V39" s="107">
        <f>T39+U39</f>
        <v>179897.64782799507</v>
      </c>
      <c r="X39" s="110">
        <f>X38+1</f>
        <v>2016</v>
      </c>
      <c r="Y39" s="106">
        <f>Y$33*(1+Trip_Growth)^(X39-X$33)</f>
        <v>12563832.415652985</v>
      </c>
      <c r="Z39" s="102">
        <f t="shared" si="7"/>
        <v>11648054.670876037</v>
      </c>
      <c r="AA39" s="107">
        <f>AA$33*(1+T_1!$O$14)^(X39-X$33)</f>
        <v>10380.185516539244</v>
      </c>
      <c r="AB39" s="107">
        <f t="shared" si="8"/>
        <v>211782.81219774616</v>
      </c>
      <c r="AC39" s="107">
        <f t="shared" si="9"/>
        <v>222162.99771428539</v>
      </c>
      <c r="AD39" s="106">
        <f>AD$33*(1+Trip_Growth)^(X39-X$33)</f>
        <v>1941653.8524713628</v>
      </c>
      <c r="AE39" s="102">
        <f t="shared" si="10"/>
        <v>1800126.7031647249</v>
      </c>
      <c r="AF39" s="107">
        <f>AF$33*(1+T_1!$P$14)^(X39-X$33)</f>
        <v>1787.1137400667355</v>
      </c>
      <c r="AG39" s="107">
        <f t="shared" si="11"/>
        <v>32729.576421176818</v>
      </c>
      <c r="AH39" s="107">
        <f t="shared" si="12"/>
        <v>34516.690161243554</v>
      </c>
      <c r="AI39" s="110">
        <f>AI38+1</f>
        <v>2016</v>
      </c>
      <c r="AJ39" s="106">
        <f>AJ38+((AJ$75-AJ$33)*1/26)</f>
        <v>12589718.929849183</v>
      </c>
      <c r="AK39" s="102">
        <f t="shared" si="13"/>
        <v>11672054.317052474</v>
      </c>
      <c r="AL39" s="107">
        <f>AA39</f>
        <v>10380.185516539244</v>
      </c>
      <c r="AM39" s="107">
        <f t="shared" si="14"/>
        <v>212219.1694009541</v>
      </c>
      <c r="AN39" s="107">
        <f t="shared" si="15"/>
        <v>222599.35491749333</v>
      </c>
      <c r="AO39" s="106">
        <f>AO38+((AO$75-AO$33)*1/26)</f>
        <v>1945654.4351242704</v>
      </c>
      <c r="AP39" s="102">
        <f t="shared" si="28"/>
        <v>1803835.683348062</v>
      </c>
      <c r="AQ39" s="107">
        <f t="shared" si="16"/>
        <v>1787.1137400667355</v>
      </c>
      <c r="AR39" s="107">
        <f t="shared" si="29"/>
        <v>32797.01242451022</v>
      </c>
      <c r="AS39" s="107">
        <f t="shared" si="30"/>
        <v>34584.126164576955</v>
      </c>
    </row>
    <row r="40" spans="1:45" ht="14.45" x14ac:dyDescent="0.3">
      <c r="A40" s="110">
        <f>A39+1</f>
        <v>2017</v>
      </c>
      <c r="B40" s="106">
        <f>B$33*(1+Trip_Growth)^(A40-A$33)</f>
        <v>18692654.12130421</v>
      </c>
      <c r="C40" s="102">
        <f t="shared" si="0"/>
        <v>50123978.173194818</v>
      </c>
      <c r="D40" s="107">
        <f>D$33*(1+T_1!$M$14)^(A40-A$33)</f>
        <v>351249.93433105369</v>
      </c>
      <c r="E40" s="107">
        <f t="shared" si="1"/>
        <v>911345.05769445118</v>
      </c>
      <c r="F40" s="107">
        <f>D40+E40</f>
        <v>1262594.9920255048</v>
      </c>
      <c r="G40" s="106">
        <f>G$33*(1+Trip_Growth)^(A40-A$33)</f>
        <v>2876240.5127510023</v>
      </c>
      <c r="H40" s="102">
        <f t="shared" si="2"/>
        <v>7712581.4101315578</v>
      </c>
      <c r="I40" s="107">
        <f>I$33*(1+T_1!$N$14)^(A40-A$33)</f>
        <v>42214.379224523029</v>
      </c>
      <c r="J40" s="107">
        <f t="shared" si="3"/>
        <v>140228.75291148288</v>
      </c>
      <c r="K40" s="107">
        <f>I40+J40</f>
        <v>182443.13213600591</v>
      </c>
      <c r="L40" s="110">
        <f>L39+1</f>
        <v>2017</v>
      </c>
      <c r="M40" s="106">
        <f>M$33*(1+Trip_Growth)^(L40-L$33)</f>
        <v>18692654.12130421</v>
      </c>
      <c r="N40" s="102">
        <f t="shared" si="4"/>
        <v>50123978.173194818</v>
      </c>
      <c r="O40" s="107">
        <f>D40</f>
        <v>351249.93433105369</v>
      </c>
      <c r="P40" s="107">
        <f t="shared" si="5"/>
        <v>911345.05769445118</v>
      </c>
      <c r="Q40" s="107">
        <f>O40+P40</f>
        <v>1262594.9920255048</v>
      </c>
      <c r="R40" s="106">
        <f>R$33*(1+Trip_Growth)^(L40-L$33)</f>
        <v>2876240.5127510023</v>
      </c>
      <c r="S40" s="102">
        <f t="shared" si="26"/>
        <v>7712581.4101315578</v>
      </c>
      <c r="T40" s="107">
        <f t="shared" si="6"/>
        <v>42214.379224523029</v>
      </c>
      <c r="U40" s="107">
        <f t="shared" si="27"/>
        <v>140228.75291148288</v>
      </c>
      <c r="V40" s="107">
        <f>T40+U40</f>
        <v>182443.13213600591</v>
      </c>
      <c r="X40" s="110">
        <f>X39+1</f>
        <v>2017</v>
      </c>
      <c r="Y40" s="106">
        <f>Y$33*(1+Trip_Growth)^(X40-X$33)</f>
        <v>12676906.90739386</v>
      </c>
      <c r="Z40" s="102">
        <f t="shared" si="7"/>
        <v>11752887.16291392</v>
      </c>
      <c r="AA40" s="107">
        <f>AA$33*(1+T_1!$O$14)^(X40-X$33)</f>
        <v>10713.194152492999</v>
      </c>
      <c r="AB40" s="107">
        <f t="shared" si="8"/>
        <v>213688.85750752583</v>
      </c>
      <c r="AC40" s="107">
        <f t="shared" si="9"/>
        <v>224402.05166001883</v>
      </c>
      <c r="AD40" s="106">
        <f>AD$33*(1+Trip_Growth)^(X40-X$33)</f>
        <v>1959128.7371436046</v>
      </c>
      <c r="AE40" s="102">
        <f t="shared" si="10"/>
        <v>1816327.8434932069</v>
      </c>
      <c r="AF40" s="107">
        <f>AF$33*(1+T_1!$P$14)^(X40-X$33)</f>
        <v>1849.8235953659341</v>
      </c>
      <c r="AG40" s="107">
        <f t="shared" si="11"/>
        <v>33024.142608967406</v>
      </c>
      <c r="AH40" s="107">
        <f t="shared" si="12"/>
        <v>34873.966204333337</v>
      </c>
      <c r="AI40" s="110">
        <f>AI39+1</f>
        <v>2017</v>
      </c>
      <c r="AJ40" s="106">
        <f>AJ39+((AJ$75-AJ$33)*1/26)</f>
        <v>12714228.287241571</v>
      </c>
      <c r="AK40" s="102">
        <f t="shared" si="13"/>
        <v>11787488.187384531</v>
      </c>
      <c r="AL40" s="107">
        <f>AA40</f>
        <v>10713.194152492999</v>
      </c>
      <c r="AM40" s="107">
        <f t="shared" si="14"/>
        <v>214317.96704335514</v>
      </c>
      <c r="AN40" s="107">
        <f t="shared" si="15"/>
        <v>225031.16119584814</v>
      </c>
      <c r="AO40" s="106">
        <f>AO39+((AO$75-AO$33)*1/26)</f>
        <v>1964896.499603614</v>
      </c>
      <c r="AP40" s="102">
        <f t="shared" si="28"/>
        <v>1821675.1937475062</v>
      </c>
      <c r="AQ40" s="107">
        <f t="shared" si="16"/>
        <v>1849.8235953659341</v>
      </c>
      <c r="AR40" s="107">
        <f t="shared" si="29"/>
        <v>33121.367159045571</v>
      </c>
      <c r="AS40" s="107">
        <f t="shared" si="30"/>
        <v>34971.190754411502</v>
      </c>
    </row>
    <row r="41" spans="1:45" ht="14.45" x14ac:dyDescent="0.3">
      <c r="A41" s="110">
        <f>A40+1</f>
        <v>2018</v>
      </c>
      <c r="B41" s="106">
        <f>B$33*(1+Trip_Growth)^(A41-A$33)</f>
        <v>18860888.008395948</v>
      </c>
      <c r="C41" s="102">
        <f t="shared" si="0"/>
        <v>50575093.97675357</v>
      </c>
      <c r="D41" s="107">
        <f>D$33*(1+T_1!$M$14)^(A41-A$33)</f>
        <v>362271.56840547966</v>
      </c>
      <c r="E41" s="107">
        <f t="shared" si="1"/>
        <v>919547.16321370122</v>
      </c>
      <c r="F41" s="107">
        <f>D41+E41</f>
        <v>1281818.7316191809</v>
      </c>
      <c r="G41" s="106">
        <f>G$33*(1+Trip_Growth)^(A41-A$33)</f>
        <v>2902126.6773657617</v>
      </c>
      <c r="H41" s="102">
        <f t="shared" si="2"/>
        <v>7781994.6428227434</v>
      </c>
      <c r="I41" s="107">
        <f>I$33*(1+T_1!$N$14)^(A41-A$33)</f>
        <v>43550.025211974971</v>
      </c>
      <c r="J41" s="107">
        <f t="shared" si="3"/>
        <v>141490.81168768625</v>
      </c>
      <c r="K41" s="107">
        <f>I41+J41</f>
        <v>185040.83689966123</v>
      </c>
      <c r="L41" s="110">
        <f>L40+1</f>
        <v>2018</v>
      </c>
      <c r="M41" s="106">
        <f>M$33*(1+Trip_Growth)^(L41-L$33)</f>
        <v>18860888.008395948</v>
      </c>
      <c r="N41" s="102">
        <f t="shared" si="4"/>
        <v>50575093.97675357</v>
      </c>
      <c r="O41" s="107">
        <f>SUM(O42:O45)</f>
        <v>373808.9805704013</v>
      </c>
      <c r="P41" s="107">
        <f t="shared" si="5"/>
        <v>919547.16321370122</v>
      </c>
      <c r="Q41" s="107">
        <f>O41+P41</f>
        <v>1293356.1437841025</v>
      </c>
      <c r="R41" s="106">
        <f>R$33*(1+Trip_Growth)^(L41-L$33)</f>
        <v>2902126.6773657617</v>
      </c>
      <c r="S41" s="102">
        <f t="shared" si="26"/>
        <v>7781994.6428227434</v>
      </c>
      <c r="T41" s="107">
        <f>SUM(T42:T45)</f>
        <v>44690.883772401423</v>
      </c>
      <c r="U41" s="107">
        <f t="shared" si="27"/>
        <v>141490.81168768625</v>
      </c>
      <c r="V41" s="107">
        <f>T41+U41</f>
        <v>186181.69546008768</v>
      </c>
      <c r="X41" s="110">
        <f>X40+1</f>
        <v>2018</v>
      </c>
      <c r="Y41" s="106">
        <f>Y$33*(1+Trip_Growth)^(X41-X$33)</f>
        <v>12790999.069560405</v>
      </c>
      <c r="Z41" s="102">
        <f t="shared" si="7"/>
        <v>11858663.147380145</v>
      </c>
      <c r="AA41" s="107">
        <f>AA$33*(1+T_1!$O$14)^(X41-X$33)</f>
        <v>11056.886099592115</v>
      </c>
      <c r="AB41" s="107">
        <f t="shared" si="8"/>
        <v>215612.05722509357</v>
      </c>
      <c r="AC41" s="107">
        <f t="shared" si="9"/>
        <v>226668.94332468568</v>
      </c>
      <c r="AD41" s="106">
        <f>AD$33*(1+Trip_Growth)^(X41-X$33)</f>
        <v>1976760.8957778972</v>
      </c>
      <c r="AE41" s="102">
        <f t="shared" si="10"/>
        <v>1832674.794084646</v>
      </c>
      <c r="AF41" s="107">
        <f>AF$33*(1+T_1!$P$14)^(X41-X$33)</f>
        <v>1914.7339406862652</v>
      </c>
      <c r="AG41" s="107">
        <f t="shared" si="11"/>
        <v>33321.359892448112</v>
      </c>
      <c r="AH41" s="107">
        <f t="shared" si="12"/>
        <v>35236.093833134379</v>
      </c>
      <c r="AI41" s="110">
        <f>AI40+1</f>
        <v>2018</v>
      </c>
      <c r="AJ41" s="106">
        <f>AJ40+((AJ$75-AJ$33)*1/26)</f>
        <v>12838737.644633958</v>
      </c>
      <c r="AK41" s="102">
        <f t="shared" si="13"/>
        <v>11902922.057716588</v>
      </c>
      <c r="AL41" s="107">
        <f>SUM(AL42:AL45)</f>
        <v>11708.653124319684</v>
      </c>
      <c r="AM41" s="107">
        <f t="shared" si="14"/>
        <v>216416.76468575615</v>
      </c>
      <c r="AN41" s="107">
        <f t="shared" si="15"/>
        <v>228125.41781007583</v>
      </c>
      <c r="AO41" s="106">
        <f>AO40+((AO$75-AO$33)*1/26)</f>
        <v>1984138.5640829576</v>
      </c>
      <c r="AP41" s="102">
        <f t="shared" si="28"/>
        <v>1839514.7041469505</v>
      </c>
      <c r="AQ41" s="107">
        <f>SUM(AQ42:AQ45)</f>
        <v>2043.1608280058933</v>
      </c>
      <c r="AR41" s="107">
        <f t="shared" si="29"/>
        <v>33445.721893580921</v>
      </c>
      <c r="AS41" s="107">
        <f t="shared" si="30"/>
        <v>35488.882721586815</v>
      </c>
    </row>
    <row r="42" spans="1:45" ht="14.45" x14ac:dyDescent="0.3">
      <c r="A42" s="112" t="s">
        <v>28</v>
      </c>
      <c r="B42" s="104">
        <f>B34*(1+Trip_Growth)^($A$41-$A$33)</f>
        <v>4361830.5718326541</v>
      </c>
      <c r="C42" s="104">
        <f t="shared" si="0"/>
        <v>11696161.441757826</v>
      </c>
      <c r="D42" s="105">
        <f>D34*(1+T_1!M10)^($A$41-$A$33)</f>
        <v>32153.968096488989</v>
      </c>
      <c r="E42" s="105">
        <f t="shared" si="1"/>
        <v>212657.48075923321</v>
      </c>
      <c r="F42" s="105">
        <f t="shared" ref="F42:F45" si="31">D42+E42</f>
        <v>244811.44885572221</v>
      </c>
      <c r="G42" s="104">
        <f>G34*(1+Trip_Growth)^($A$41-$A$33)</f>
        <v>698090.17850691162</v>
      </c>
      <c r="H42" s="104">
        <f t="shared" si="2"/>
        <v>1871914.8518627135</v>
      </c>
      <c r="I42" s="105">
        <f>I34*(1+T_1!N10)^($A$41-$A$33)</f>
        <v>4554.5132230328654</v>
      </c>
      <c r="J42" s="105">
        <f t="shared" si="3"/>
        <v>34034.815488412969</v>
      </c>
      <c r="K42" s="105">
        <f t="shared" ref="K42:K45" si="32">I42+J42</f>
        <v>38589.328711445836</v>
      </c>
      <c r="L42" s="112" t="s">
        <v>28</v>
      </c>
      <c r="M42" s="104">
        <f>M34*(1+Trip_Growth)^($L$41-$L$33)</f>
        <v>4361830.5718326541</v>
      </c>
      <c r="N42" s="104">
        <f t="shared" si="4"/>
        <v>11696161.441757826</v>
      </c>
      <c r="O42" s="105">
        <f>O34*(1+T_1!M10)^($L$41-$L$33)</f>
        <v>32153.968096488989</v>
      </c>
      <c r="P42" s="105">
        <f t="shared" si="5"/>
        <v>212657.48075923321</v>
      </c>
      <c r="Q42" s="105">
        <f t="shared" ref="Q42:Q45" si="33">O42+P42</f>
        <v>244811.44885572221</v>
      </c>
      <c r="R42" s="104">
        <f>R34*(1+Trip_Growth)^($L$41-$L$33)</f>
        <v>698090.17850691162</v>
      </c>
      <c r="S42" s="104">
        <f t="shared" si="26"/>
        <v>1871914.8518627135</v>
      </c>
      <c r="T42" s="105">
        <f>T34*(1+T_1!N10)^($L$41-$L$33)</f>
        <v>4554.5132230328654</v>
      </c>
      <c r="U42" s="105">
        <f t="shared" si="27"/>
        <v>34034.815488412969</v>
      </c>
      <c r="V42" s="105">
        <f t="shared" ref="V42:V45" si="34">T42+U42</f>
        <v>38589.328711445836</v>
      </c>
      <c r="X42" s="112" t="s">
        <v>28</v>
      </c>
      <c r="Y42" s="104">
        <f>Y34*(1+Trip_Growth)^($X$41-$X$33)</f>
        <v>2710548.4244253039</v>
      </c>
      <c r="Z42" s="104">
        <f t="shared" si="7"/>
        <v>2512976.5497689433</v>
      </c>
      <c r="AA42" s="105">
        <f>AA34*(1+T_1!O10)^($X$41-$X$33)</f>
        <v>1000.1337766277655</v>
      </c>
      <c r="AB42" s="105">
        <f t="shared" si="8"/>
        <v>45690.482723071698</v>
      </c>
      <c r="AC42" s="105">
        <f t="shared" si="9"/>
        <v>46690.616499699463</v>
      </c>
      <c r="AD42" s="104">
        <f>AD34*(1+Trip_Growth)^($X$41-$X$33)</f>
        <v>421195.95796669828</v>
      </c>
      <c r="AE42" s="104">
        <f t="shared" si="10"/>
        <v>390494.9845905056</v>
      </c>
      <c r="AF42" s="105">
        <f>AF34*(1+T_1!P10)^($X$41-$X$33)</f>
        <v>383.28535647821008</v>
      </c>
      <c r="AG42" s="105">
        <f t="shared" si="11"/>
        <v>7099.908810736466</v>
      </c>
      <c r="AH42" s="105">
        <f t="shared" si="12"/>
        <v>7483.1941672146759</v>
      </c>
      <c r="AI42" s="112" t="s">
        <v>28</v>
      </c>
      <c r="AJ42" s="104">
        <f>AJ34*(1+Trip_Growth)^($AI$41-$AI$33)</f>
        <v>2710548.4244253039</v>
      </c>
      <c r="AK42" s="104">
        <f t="shared" si="13"/>
        <v>2512976.5497689433</v>
      </c>
      <c r="AL42" s="105">
        <f>AL34*(1+T_1!O10)^($AI$41-$AI$33)</f>
        <v>1000.1337766277655</v>
      </c>
      <c r="AM42" s="105">
        <f t="shared" si="14"/>
        <v>45690.482723071698</v>
      </c>
      <c r="AN42" s="105">
        <f t="shared" si="15"/>
        <v>46690.616499699463</v>
      </c>
      <c r="AO42" s="104">
        <f>AO34*(1+Trip_Growth)^($AI$41-$AI$33)</f>
        <v>421195.95796669828</v>
      </c>
      <c r="AP42" s="104">
        <f t="shared" si="28"/>
        <v>390494.9845905056</v>
      </c>
      <c r="AQ42" s="105">
        <f>AQ34*(1+T_1!P10)^($AI$41-$AI$33)</f>
        <v>383.28535647821008</v>
      </c>
      <c r="AR42" s="105">
        <f t="shared" si="29"/>
        <v>7099.908810736466</v>
      </c>
      <c r="AS42" s="105">
        <f t="shared" si="30"/>
        <v>7483.1941672146759</v>
      </c>
    </row>
    <row r="43" spans="1:45" ht="14.45" x14ac:dyDescent="0.3">
      <c r="A43" s="112" t="s">
        <v>37</v>
      </c>
      <c r="B43" s="104">
        <f>B35*(1+Trip_Growth)^($A$41-$A$33)</f>
        <v>5351866.203557889</v>
      </c>
      <c r="C43" s="104">
        <f t="shared" si="0"/>
        <v>14350922.187516408</v>
      </c>
      <c r="D43" s="105">
        <f>D35*(1+T_1!M11)^($A$41-$A$33)</f>
        <v>80376.864787683196</v>
      </c>
      <c r="E43" s="105">
        <f t="shared" si="1"/>
        <v>260925.85795484381</v>
      </c>
      <c r="F43" s="105">
        <f t="shared" si="31"/>
        <v>341302.72274252702</v>
      </c>
      <c r="G43" s="104">
        <f>G35*(1+Trip_Growth)^($A$41-$A$33)</f>
        <v>783957.87970280088</v>
      </c>
      <c r="H43" s="104">
        <f t="shared" si="2"/>
        <v>2102167.3752654665</v>
      </c>
      <c r="I43" s="105">
        <f>I35*(1+T_1!N11)^($A$41-$A$33)</f>
        <v>9644.204270967155</v>
      </c>
      <c r="J43" s="105">
        <f t="shared" si="3"/>
        <v>38221.225004826665</v>
      </c>
      <c r="K43" s="105">
        <f t="shared" si="32"/>
        <v>47865.429275793824</v>
      </c>
      <c r="L43" s="112" t="s">
        <v>37</v>
      </c>
      <c r="M43" s="104">
        <f>M35*(1+Trip_Growth)^($L$41-$L$33)</f>
        <v>5351866.203557889</v>
      </c>
      <c r="N43" s="104">
        <f t="shared" si="4"/>
        <v>14350922.187516408</v>
      </c>
      <c r="O43" s="105">
        <f>O35*(1+T_1!M11)^($L$41-$L$33)</f>
        <v>80376.864787683196</v>
      </c>
      <c r="P43" s="105">
        <f t="shared" si="5"/>
        <v>260925.85795484381</v>
      </c>
      <c r="Q43" s="105">
        <f t="shared" si="33"/>
        <v>341302.72274252702</v>
      </c>
      <c r="R43" s="104">
        <f>R35*(1+Trip_Growth)^($L$41-$L$33)</f>
        <v>783957.87970280088</v>
      </c>
      <c r="S43" s="104">
        <f t="shared" si="26"/>
        <v>2102167.3752654665</v>
      </c>
      <c r="T43" s="105">
        <f>T35*(1+T_1!N11)^($L$41-$L$33)</f>
        <v>9644.204270967155</v>
      </c>
      <c r="U43" s="105">
        <f t="shared" si="27"/>
        <v>38221.225004826665</v>
      </c>
      <c r="V43" s="105">
        <f t="shared" si="34"/>
        <v>47865.429275793824</v>
      </c>
      <c r="X43" s="112" t="s">
        <v>37</v>
      </c>
      <c r="Y43" s="104">
        <f>Y35*(1+Trip_Growth)^($X$41-$X$33)</f>
        <v>3908419.5198443388</v>
      </c>
      <c r="Z43" s="104">
        <f t="shared" si="7"/>
        <v>3623534.8210428846</v>
      </c>
      <c r="AA43" s="105">
        <f>AA35*(1+T_1!O11)^($X$41-$X$33)</f>
        <v>1365.9805411812533</v>
      </c>
      <c r="AB43" s="105">
        <f t="shared" si="8"/>
        <v>65882.45129168882</v>
      </c>
      <c r="AC43" s="105">
        <f t="shared" si="9"/>
        <v>67248.431832870076</v>
      </c>
      <c r="AD43" s="104">
        <f>AD35*(1+Trip_Growth)^($X$41-$X$33)</f>
        <v>553037.4122648536</v>
      </c>
      <c r="AE43" s="104">
        <f t="shared" si="10"/>
        <v>512726.51528486836</v>
      </c>
      <c r="AF43" s="105">
        <f>AF35*(1+T_1!P11)^($X$41-$X$33)</f>
        <v>215.36123639157361</v>
      </c>
      <c r="AG43" s="105">
        <f t="shared" si="11"/>
        <v>9322.3002779066974</v>
      </c>
      <c r="AH43" s="105">
        <f t="shared" si="12"/>
        <v>9537.6615142982719</v>
      </c>
      <c r="AI43" s="112" t="s">
        <v>37</v>
      </c>
      <c r="AJ43" s="104">
        <f>AJ35*(1+Trip_Growth)^($AI$41-$AI$33)</f>
        <v>3908419.5198443388</v>
      </c>
      <c r="AK43" s="104">
        <f t="shared" si="13"/>
        <v>3623534.8210428846</v>
      </c>
      <c r="AL43" s="105">
        <f>AL35*(1+T_1!O11)^($AI$41-$AI$33)</f>
        <v>1365.9805411812533</v>
      </c>
      <c r="AM43" s="105">
        <f t="shared" si="14"/>
        <v>65882.45129168882</v>
      </c>
      <c r="AN43" s="105">
        <f t="shared" si="15"/>
        <v>67248.431832870076</v>
      </c>
      <c r="AO43" s="104">
        <f>AO35*(1+Trip_Growth)^($AI$41-$AI$33)</f>
        <v>553037.4122648536</v>
      </c>
      <c r="AP43" s="104">
        <f t="shared" si="28"/>
        <v>512726.51528486836</v>
      </c>
      <c r="AQ43" s="105">
        <f>AQ35*(1+T_1!P11)^($AI$41-$AI$33)</f>
        <v>215.36123639157361</v>
      </c>
      <c r="AR43" s="105">
        <f t="shared" si="29"/>
        <v>9322.3002779066974</v>
      </c>
      <c r="AS43" s="105">
        <f t="shared" si="30"/>
        <v>9537.6615142982719</v>
      </c>
    </row>
    <row r="44" spans="1:45" ht="14.45" x14ac:dyDescent="0.3">
      <c r="A44" s="112" t="s">
        <v>29</v>
      </c>
      <c r="B44" s="104">
        <f>B36*(1+Trip_Growth)^($A$41-$A$33)</f>
        <v>4779861.6052864054</v>
      </c>
      <c r="C44" s="104">
        <f t="shared" si="0"/>
        <v>12817103.29734339</v>
      </c>
      <c r="D44" s="105">
        <f>D36*(1+T_1!M12)^($A$41-$A$33)</f>
        <v>202376.20780762957</v>
      </c>
      <c r="E44" s="105">
        <f t="shared" si="1"/>
        <v>233038.24176987985</v>
      </c>
      <c r="F44" s="105">
        <f t="shared" si="31"/>
        <v>435414.44957750943</v>
      </c>
      <c r="G44" s="104">
        <f>G36*(1+Trip_Growth)^($A$41-$A$33)</f>
        <v>602378.52814077539</v>
      </c>
      <c r="H44" s="104">
        <f t="shared" si="2"/>
        <v>1615265.9756389265</v>
      </c>
      <c r="I44" s="105">
        <f>I36*(1+T_1!N12)^($A$41-$A$33)</f>
        <v>24621.276435496366</v>
      </c>
      <c r="J44" s="105">
        <f t="shared" si="3"/>
        <v>29368.47228434412</v>
      </c>
      <c r="K44" s="105">
        <f t="shared" si="32"/>
        <v>53989.748719840485</v>
      </c>
      <c r="L44" s="112" t="s">
        <v>29</v>
      </c>
      <c r="M44" s="104">
        <f>M36*(1+Trip_Growth)^($L$41-$L$33)</f>
        <v>4779861.6052864054</v>
      </c>
      <c r="N44" s="104">
        <f t="shared" si="4"/>
        <v>12817103.29734339</v>
      </c>
      <c r="O44" s="105">
        <f>O36*(1+T_1!M12)^($L$41-$L$33)</f>
        <v>202376.20780762957</v>
      </c>
      <c r="P44" s="105">
        <f t="shared" si="5"/>
        <v>233038.24176987985</v>
      </c>
      <c r="Q44" s="105">
        <f t="shared" si="33"/>
        <v>435414.44957750943</v>
      </c>
      <c r="R44" s="104">
        <f>R36*(1+Trip_Growth)^($L$41-$L$33)</f>
        <v>602378.52814077539</v>
      </c>
      <c r="S44" s="104">
        <f t="shared" si="26"/>
        <v>1615265.9756389265</v>
      </c>
      <c r="T44" s="105">
        <f>T36*(1+T_1!N12)^($L$41-$L$33)</f>
        <v>24621.276435496366</v>
      </c>
      <c r="U44" s="105">
        <f t="shared" si="27"/>
        <v>29368.47228434412</v>
      </c>
      <c r="V44" s="105">
        <f t="shared" si="34"/>
        <v>53989.748719840485</v>
      </c>
      <c r="X44" s="112" t="s">
        <v>29</v>
      </c>
      <c r="Y44" s="104">
        <f>Y36*(1+Trip_Growth)^($X$41-$X$33)</f>
        <v>3630356.0336851776</v>
      </c>
      <c r="Z44" s="104">
        <f t="shared" si="7"/>
        <v>3365739.3823898644</v>
      </c>
      <c r="AA44" s="105">
        <f>AA36*(1+T_1!O12)^($X$41-$X$33)</f>
        <v>6045.759103492137</v>
      </c>
      <c r="AB44" s="105">
        <f t="shared" si="8"/>
        <v>61195.261497997541</v>
      </c>
      <c r="AC44" s="105">
        <f t="shared" si="9"/>
        <v>67241.020601489683</v>
      </c>
      <c r="AD44" s="104">
        <f>AD36*(1+Trip_Growth)^($X$41-$X$33)</f>
        <v>330679.95936908125</v>
      </c>
      <c r="AE44" s="104">
        <f t="shared" si="10"/>
        <v>306576.69713066885</v>
      </c>
      <c r="AF44" s="105">
        <f>AF36*(1+T_1!P12)^($X$41-$X$33)</f>
        <v>789.96433494633141</v>
      </c>
      <c r="AG44" s="105">
        <f t="shared" si="11"/>
        <v>5574.121766012162</v>
      </c>
      <c r="AH44" s="105">
        <f t="shared" si="12"/>
        <v>6364.0861009584933</v>
      </c>
      <c r="AI44" s="112" t="s">
        <v>29</v>
      </c>
      <c r="AJ44" s="104">
        <f>AJ36*(1+Trip_Growth)^($AI$41-$AI$33)</f>
        <v>3630356.0336851776</v>
      </c>
      <c r="AK44" s="104">
        <f t="shared" si="13"/>
        <v>3365739.3823898644</v>
      </c>
      <c r="AL44" s="105">
        <f>AL36*(1+T_1!O12)^($AI$41-$AI$33)</f>
        <v>6045.759103492137</v>
      </c>
      <c r="AM44" s="105">
        <f t="shared" si="14"/>
        <v>61195.261497997541</v>
      </c>
      <c r="AN44" s="105">
        <f t="shared" si="15"/>
        <v>67241.020601489683</v>
      </c>
      <c r="AO44" s="104">
        <f>AO36*(1+Trip_Growth)^($AI$41-$AI$33)</f>
        <v>330679.95936908125</v>
      </c>
      <c r="AP44" s="104">
        <f t="shared" si="28"/>
        <v>306576.69713066885</v>
      </c>
      <c r="AQ44" s="105">
        <f>AQ36*(1+T_1!P12)^($AI$41-$AI$33)</f>
        <v>789.96433494633141</v>
      </c>
      <c r="AR44" s="105">
        <f t="shared" si="29"/>
        <v>5574.121766012162</v>
      </c>
      <c r="AS44" s="105">
        <f t="shared" si="30"/>
        <v>6364.0861009584933</v>
      </c>
    </row>
    <row r="45" spans="1:45" ht="14.45" x14ac:dyDescent="0.3">
      <c r="A45" s="112" t="s">
        <v>38</v>
      </c>
      <c r="B45" s="104">
        <f>B37*(1+Trip_Growth)^($A$41-$A$33)</f>
        <v>4367329.6277190009</v>
      </c>
      <c r="C45" s="104">
        <f t="shared" si="0"/>
        <v>11710907.050135948</v>
      </c>
      <c r="D45" s="105">
        <f>D37*(1+T_1!M13)^($A$41-$A$33)</f>
        <v>47121.551902879633</v>
      </c>
      <c r="E45" s="105">
        <f t="shared" si="1"/>
        <v>212925.58272974449</v>
      </c>
      <c r="F45" s="105">
        <f t="shared" si="31"/>
        <v>260047.13463262413</v>
      </c>
      <c r="G45" s="104">
        <f>G37*(1+Trip_Growth)^($A$41-$A$33)</f>
        <v>817700.09101527382</v>
      </c>
      <c r="H45" s="104">
        <f t="shared" si="2"/>
        <v>2192646.4400556367</v>
      </c>
      <c r="I45" s="105">
        <f>I37*(1+T_1!N13)^($A$41-$A$33)</f>
        <v>4696.7118743240317</v>
      </c>
      <c r="J45" s="105">
        <f t="shared" si="3"/>
        <v>39866.298910102487</v>
      </c>
      <c r="K45" s="105">
        <f t="shared" si="32"/>
        <v>44563.010784426515</v>
      </c>
      <c r="L45" s="112" t="s">
        <v>38</v>
      </c>
      <c r="M45" s="104">
        <f>M37*(1+Trip_Growth)^($L$41-$L$33)</f>
        <v>4367329.6277190009</v>
      </c>
      <c r="N45" s="104">
        <f t="shared" si="4"/>
        <v>11710907.050135948</v>
      </c>
      <c r="O45" s="105">
        <f>O37*(1+T_1!M13)^($L$41-$L$33)*(1+Construction_delay)</f>
        <v>58901.939878599544</v>
      </c>
      <c r="P45" s="105">
        <f>$J$26*M45*FF_Speed/Const_Speed</f>
        <v>260242.37889190996</v>
      </c>
      <c r="Q45" s="105">
        <f t="shared" si="33"/>
        <v>319144.3187705095</v>
      </c>
      <c r="R45" s="104">
        <f>R37*(1+Trip_Growth)^($L$41-$L$33)</f>
        <v>817700.09101527382</v>
      </c>
      <c r="S45" s="104">
        <f t="shared" si="26"/>
        <v>2192646.4400556367</v>
      </c>
      <c r="T45" s="105">
        <f>T37*(1+T_1!N13)^($L$41-$L$33)*(1+Construction_delay)</f>
        <v>5870.8898429050396</v>
      </c>
      <c r="U45" s="105">
        <f>$J$26*R45*FF_Speed/Const_Speed</f>
        <v>48725.476445680819</v>
      </c>
      <c r="V45" s="105">
        <f t="shared" si="34"/>
        <v>54596.366288585858</v>
      </c>
      <c r="X45" s="112" t="s">
        <v>38</v>
      </c>
      <c r="Y45" s="104">
        <f>Y37*(1+Trip_Growth)^($X$41-$X$33)</f>
        <v>2541675.091605586</v>
      </c>
      <c r="Z45" s="104">
        <f t="shared" si="7"/>
        <v>2356412.3941784543</v>
      </c>
      <c r="AA45" s="105">
        <f>AA37*(1+T_1!O13)^($X$41-$X$33)</f>
        <v>2637.4237624148227</v>
      </c>
      <c r="AB45" s="105">
        <f t="shared" si="8"/>
        <v>42843.861712335543</v>
      </c>
      <c r="AC45" s="105">
        <f t="shared" si="9"/>
        <v>45481.285474750366</v>
      </c>
      <c r="AD45" s="104">
        <f>AD37*(1+Trip_Growth)^($X$41-$X$33)</f>
        <v>671847.56617726432</v>
      </c>
      <c r="AE45" s="104">
        <f t="shared" si="10"/>
        <v>622876.59707860346</v>
      </c>
      <c r="AF45" s="105">
        <f>AF37*(1+T_1!P13)^($X$41-$X$33)</f>
        <v>523.63992015182248</v>
      </c>
      <c r="AG45" s="105">
        <f t="shared" si="11"/>
        <v>11325.02903779279</v>
      </c>
      <c r="AH45" s="105">
        <f t="shared" si="12"/>
        <v>11848.668957944614</v>
      </c>
      <c r="AI45" s="112" t="s">
        <v>38</v>
      </c>
      <c r="AJ45" s="104">
        <f>AJ37*(1+Trip_Growth)^($AI$41-$AI$33)</f>
        <v>2541675.091605586</v>
      </c>
      <c r="AK45" s="104">
        <f t="shared" si="13"/>
        <v>2356412.3941784543</v>
      </c>
      <c r="AL45" s="105">
        <f>AL37*(1+T_1!O13)^($AI$41-$AI$33)*(1+Construction_delay)</f>
        <v>3296.7797030185284</v>
      </c>
      <c r="AM45" s="105">
        <f>$O$26*AJ45*FF_Speed/Const_Speed</f>
        <v>52364.719870632325</v>
      </c>
      <c r="AN45" s="105">
        <f t="shared" si="15"/>
        <v>55661.499573650857</v>
      </c>
      <c r="AO45" s="104">
        <f>AO37*(1+Trip_Growth)^($AI$41-$AI$33)</f>
        <v>671847.56617726432</v>
      </c>
      <c r="AP45" s="104">
        <f t="shared" si="28"/>
        <v>622876.59707860346</v>
      </c>
      <c r="AQ45" s="105">
        <f>AQ37*(1+T_1!P13)^($AI$41-$AI$33)*(1+Construction_delay)</f>
        <v>654.5499001897781</v>
      </c>
      <c r="AR45" s="105">
        <f>$O$26*AO45*FF_Speed/Const_Speed</f>
        <v>13841.702157302299</v>
      </c>
      <c r="AS45" s="105">
        <f t="shared" si="30"/>
        <v>14496.252057492078</v>
      </c>
    </row>
    <row r="46" spans="1:45" ht="14.45" x14ac:dyDescent="0.3">
      <c r="A46" s="110">
        <f>A41+1</f>
        <v>2019</v>
      </c>
      <c r="B46" s="106">
        <f>B$33*(1+Trip_Growth)^(A46-A$33)</f>
        <v>19030636.00047151</v>
      </c>
      <c r="C46" s="102">
        <f t="shared" si="0"/>
        <v>51030269.822544344</v>
      </c>
      <c r="D46" s="107">
        <f>D$33*(1+T_1!$M$14)^(A46-A$33)</f>
        <v>373639.04287956835</v>
      </c>
      <c r="E46" s="107">
        <f t="shared" si="1"/>
        <v>927823.08768262446</v>
      </c>
      <c r="F46" s="107">
        <f t="shared" si="24"/>
        <v>1301462.1305621928</v>
      </c>
      <c r="G46" s="106">
        <f>G$33*(1+Trip_Growth)^(A46-A$33)</f>
        <v>2928245.8174620536</v>
      </c>
      <c r="H46" s="102">
        <f t="shared" si="2"/>
        <v>7852032.5946081476</v>
      </c>
      <c r="I46" s="107">
        <f>I$33*(1+T_1!$N$14)^(A46-A$33)</f>
        <v>44927.930501507573</v>
      </c>
      <c r="J46" s="107">
        <f t="shared" si="3"/>
        <v>142764.22899287543</v>
      </c>
      <c r="K46" s="107">
        <f t="shared" si="25"/>
        <v>187692.159494383</v>
      </c>
      <c r="L46" s="110">
        <f>L41+1</f>
        <v>2019</v>
      </c>
      <c r="M46" s="106">
        <f>M$33*(1+Trip_Growth)^(L46-L$33)</f>
        <v>19030636.00047151</v>
      </c>
      <c r="N46" s="102">
        <f t="shared" si="4"/>
        <v>51030269.822544344</v>
      </c>
      <c r="O46" s="107">
        <f>$O$41*(($O$50/$O$41)^(1/($L$50-$L$41)))^(L46-$L$41)</f>
        <v>385480.09899989143</v>
      </c>
      <c r="P46" s="107">
        <f t="shared" ref="P46:P53" si="35">$J$26*M46</f>
        <v>927823.08768262446</v>
      </c>
      <c r="Q46" s="107">
        <f t="shared" ref="Q46:Q75" si="36">O46+P46</f>
        <v>1313303.1866825158</v>
      </c>
      <c r="R46" s="106">
        <f>R$33*(1+Trip_Growth)^(L46-L$33)</f>
        <v>2928245.8174620536</v>
      </c>
      <c r="S46" s="102">
        <f t="shared" si="26"/>
        <v>7852032.5946081476</v>
      </c>
      <c r="T46" s="107">
        <f>$T$41*(($T$50/$T$41)^(1/($L$50-$L$41)))^(L46-$L$41)</f>
        <v>46097.681836794225</v>
      </c>
      <c r="U46" s="107">
        <f t="shared" ref="U46:U53" si="37">$J$26*R46</f>
        <v>142764.22899287543</v>
      </c>
      <c r="V46" s="107">
        <f t="shared" ref="V46:V79" si="38">T46+U46</f>
        <v>188861.91082966965</v>
      </c>
      <c r="X46" s="110">
        <f>X41+1</f>
        <v>2019</v>
      </c>
      <c r="Y46" s="106">
        <f>Y$33*(1+Trip_Growth)^(X46-X$33)</f>
        <v>12906118.061186448</v>
      </c>
      <c r="Z46" s="102">
        <f t="shared" si="7"/>
        <v>11965391.115706567</v>
      </c>
      <c r="AA46" s="107">
        <f>AA$33*(1+T_1!$O$14)^(X46-X$33)</f>
        <v>11411.604091101461</v>
      </c>
      <c r="AB46" s="107">
        <f t="shared" si="8"/>
        <v>217552.5657401194</v>
      </c>
      <c r="AC46" s="107">
        <f t="shared" si="9"/>
        <v>228964.16983122088</v>
      </c>
      <c r="AD46" s="106">
        <f>AD$33*(1+Trip_Growth)^(X46-X$33)</f>
        <v>1994551.7438398981</v>
      </c>
      <c r="AE46" s="102">
        <f t="shared" si="10"/>
        <v>1849168.8672314077</v>
      </c>
      <c r="AF46" s="107">
        <f>AF$33*(1+T_1!$P$14)^(X46-X$33)</f>
        <v>1981.9219912646329</v>
      </c>
      <c r="AG46" s="107">
        <f t="shared" si="11"/>
        <v>33621.252131480142</v>
      </c>
      <c r="AH46" s="107">
        <f t="shared" si="12"/>
        <v>35603.174122744771</v>
      </c>
      <c r="AI46" s="110">
        <f>AI41+1</f>
        <v>2019</v>
      </c>
      <c r="AJ46" s="106">
        <f>AJ41+((AJ$75-AJ$33)*1/26)</f>
        <v>12963247.002026346</v>
      </c>
      <c r="AK46" s="102">
        <f t="shared" si="13"/>
        <v>12018355.928048644</v>
      </c>
      <c r="AL46" s="107">
        <f>$AL$41*(($AL$50/$AL$41)^(1/($AI$50-$AI$41)))^(AI46-$AI$41)</f>
        <v>12083.980021319772</v>
      </c>
      <c r="AM46" s="107">
        <f t="shared" ref="AM46:AM53" si="39">$O$26*AJ46</f>
        <v>218515.56232815719</v>
      </c>
      <c r="AN46" s="107">
        <f t="shared" si="15"/>
        <v>230599.54234947695</v>
      </c>
      <c r="AO46" s="106">
        <f>AO41+((AO$75-AO$33)*1/26)</f>
        <v>2003380.6285623012</v>
      </c>
      <c r="AP46" s="102">
        <f t="shared" si="28"/>
        <v>1857354.2145463948</v>
      </c>
      <c r="AQ46" s="107">
        <f>$AQ$41*(($AQ$50/$AQ$41)^(1/($AI$50-$AI$41)))^(AI46-$AI$41)</f>
        <v>2114.8583837530991</v>
      </c>
      <c r="AR46" s="107">
        <f t="shared" ref="AR46:AR53" si="40">$O$26*AO46</f>
        <v>33770.076628116272</v>
      </c>
      <c r="AS46" s="107">
        <f t="shared" si="30"/>
        <v>35884.935011869369</v>
      </c>
    </row>
    <row r="47" spans="1:45" ht="14.45" x14ac:dyDescent="0.3">
      <c r="A47" s="110">
        <f t="shared" ref="A47:A83" si="41">A46+1</f>
        <v>2020</v>
      </c>
      <c r="B47" s="106">
        <f>B$33*(1+Trip_Growth)^(A47-A$33)</f>
        <v>19201911.724475753</v>
      </c>
      <c r="C47" s="102">
        <f t="shared" si="0"/>
        <v>51489542.250947244</v>
      </c>
      <c r="D47" s="107">
        <f>D$33*(1+T_1!$M$14)^(A47-A$33)</f>
        <v>385363.20964526531</v>
      </c>
      <c r="E47" s="107">
        <f t="shared" si="1"/>
        <v>936173.49547176808</v>
      </c>
      <c r="F47" s="107">
        <f t="shared" si="24"/>
        <v>1321536.7051170333</v>
      </c>
      <c r="G47" s="106">
        <f>G$33*(1+Trip_Growth)^(A47-A$33)</f>
        <v>2954600.0298192119</v>
      </c>
      <c r="H47" s="102">
        <f t="shared" si="2"/>
        <v>7922700.8879596209</v>
      </c>
      <c r="I47" s="107">
        <f>I$33*(1+T_1!$N$14)^(A47-A$33)</f>
        <v>46349.432160449382</v>
      </c>
      <c r="J47" s="107">
        <f t="shared" si="3"/>
        <v>144049.10705381128</v>
      </c>
      <c r="K47" s="107">
        <f t="shared" si="25"/>
        <v>190398.53921426067</v>
      </c>
      <c r="L47" s="110">
        <f t="shared" ref="L47:L75" si="42">L46+1</f>
        <v>2020</v>
      </c>
      <c r="M47" s="106">
        <f>M$33*(1+Trip_Growth)^(L47-L$33)</f>
        <v>19201911.724475753</v>
      </c>
      <c r="N47" s="102">
        <f t="shared" si="4"/>
        <v>51489542.250947244</v>
      </c>
      <c r="O47" s="107">
        <f t="shared" ref="O47:O49" si="43">$O$41*(($O$50/$O$41)^(1/($L$50-$L$41)))^(L47-$L$41)</f>
        <v>397515.614788662</v>
      </c>
      <c r="P47" s="107">
        <f t="shared" si="35"/>
        <v>936173.49547176808</v>
      </c>
      <c r="Q47" s="107">
        <f t="shared" si="36"/>
        <v>1333689.11026043</v>
      </c>
      <c r="R47" s="106">
        <f>R$33*(1+Trip_Growth)^(L47-L$33)</f>
        <v>2954600.0298192119</v>
      </c>
      <c r="S47" s="102">
        <f t="shared" si="26"/>
        <v>7922700.8879596209</v>
      </c>
      <c r="T47" s="107">
        <f>$T$41*(($T$50/$T$41)^(1/($L$50-$L$41)))^(L47-$L$41)</f>
        <v>47548.763670647888</v>
      </c>
      <c r="U47" s="107">
        <f t="shared" si="37"/>
        <v>144049.10705381128</v>
      </c>
      <c r="V47" s="107">
        <f t="shared" si="38"/>
        <v>191597.87072445918</v>
      </c>
      <c r="X47" s="110">
        <f>X46+1</f>
        <v>2020</v>
      </c>
      <c r="Y47" s="106">
        <f>Y$33*(1+Trip_Growth)^(X47-X$33)</f>
        <v>13022273.123737125</v>
      </c>
      <c r="Z47" s="102">
        <f t="shared" si="7"/>
        <v>12073079.635747924</v>
      </c>
      <c r="AA47" s="107">
        <f>AA$33*(1+T_1!$O$14)^(X47-X$33)</f>
        <v>11777.701855574645</v>
      </c>
      <c r="AB47" s="107">
        <f t="shared" si="8"/>
        <v>219510.53883178046</v>
      </c>
      <c r="AC47" s="107">
        <f t="shared" si="9"/>
        <v>231288.24068735511</v>
      </c>
      <c r="AD47" s="106">
        <f>AD$33*(1+Trip_Growth)^(X47-X$33)</f>
        <v>2012502.7095344572</v>
      </c>
      <c r="AE47" s="102">
        <f t="shared" si="10"/>
        <v>1865811.3870364903</v>
      </c>
      <c r="AF47" s="107">
        <f>AF$33*(1+T_1!$P$14)^(X47-X$33)</f>
        <v>2051.4676718220794</v>
      </c>
      <c r="AG47" s="107">
        <f t="shared" si="11"/>
        <v>33923.843400663463</v>
      </c>
      <c r="AH47" s="107">
        <f t="shared" si="12"/>
        <v>35975.311072485543</v>
      </c>
      <c r="AI47" s="110">
        <f>AI46+1</f>
        <v>2020</v>
      </c>
      <c r="AJ47" s="106">
        <f>AJ46+((AJ$75-AJ$33)*1/26)</f>
        <v>13087756.359418733</v>
      </c>
      <c r="AK47" s="102">
        <f t="shared" si="13"/>
        <v>12133789.798380701</v>
      </c>
      <c r="AL47" s="107">
        <f>$AL$41*(($AL$50/$AL$41)^(1/($AI$50-$AI$41)))^(AI47-$AI$41)</f>
        <v>12471.338215012654</v>
      </c>
      <c r="AM47" s="107">
        <f t="shared" si="39"/>
        <v>220614.3599705582</v>
      </c>
      <c r="AN47" s="107">
        <f t="shared" si="15"/>
        <v>233085.69818557086</v>
      </c>
      <c r="AO47" s="106">
        <f>AO46+((AO$75-AO$33)*1/26)</f>
        <v>2022622.6930416448</v>
      </c>
      <c r="AP47" s="102">
        <f t="shared" si="28"/>
        <v>1875193.724945839</v>
      </c>
      <c r="AQ47" s="107">
        <f>$AQ$41*(($AQ$50/$AQ$41)^(1/($AI$50-$AI$41)))^(AI47-$AI$41)</f>
        <v>2189.0719134900469</v>
      </c>
      <c r="AR47" s="107">
        <f t="shared" si="40"/>
        <v>34094.431362651623</v>
      </c>
      <c r="AS47" s="107">
        <f t="shared" si="30"/>
        <v>36283.503276141673</v>
      </c>
    </row>
    <row r="48" spans="1:45" ht="14.45" x14ac:dyDescent="0.3">
      <c r="A48" s="110">
        <f t="shared" si="41"/>
        <v>2021</v>
      </c>
      <c r="B48" s="106">
        <f>B$33*(1+Trip_Growth)^(A48-A$33)</f>
        <v>19374728.929996029</v>
      </c>
      <c r="C48" s="102">
        <f t="shared" si="0"/>
        <v>51952948.131205752</v>
      </c>
      <c r="D48" s="107">
        <f>D$33*(1+T_1!$M$14)^(A48-A$33)</f>
        <v>397455.26110869227</v>
      </c>
      <c r="E48" s="107">
        <f t="shared" si="1"/>
        <v>944599.05693101371</v>
      </c>
      <c r="F48" s="107">
        <f t="shared" si="24"/>
        <v>1342054.318039706</v>
      </c>
      <c r="G48" s="106">
        <f>G$33*(1+Trip_Growth)^(A48-A$33)</f>
        <v>2981191.4300875836</v>
      </c>
      <c r="H48" s="102">
        <f t="shared" si="2"/>
        <v>7994005.1959512541</v>
      </c>
      <c r="I48" s="107">
        <f>I$33*(1+T_1!$N$14)^(A48-A$33)</f>
        <v>47815.909560401713</v>
      </c>
      <c r="J48" s="107">
        <f t="shared" si="3"/>
        <v>145345.54901729553</v>
      </c>
      <c r="K48" s="107">
        <f t="shared" si="25"/>
        <v>193161.45857769725</v>
      </c>
      <c r="L48" s="110">
        <f t="shared" si="42"/>
        <v>2021</v>
      </c>
      <c r="M48" s="106">
        <f>M$33*(1+Trip_Growth)^(L48-L$33)</f>
        <v>19374728.929996029</v>
      </c>
      <c r="N48" s="102">
        <f t="shared" si="4"/>
        <v>51952948.131205752</v>
      </c>
      <c r="O48" s="107">
        <f t="shared" si="43"/>
        <v>409926.90520413208</v>
      </c>
      <c r="P48" s="107">
        <f t="shared" si="35"/>
        <v>944599.05693101371</v>
      </c>
      <c r="Q48" s="107">
        <f t="shared" si="36"/>
        <v>1354525.9621351459</v>
      </c>
      <c r="R48" s="106">
        <f>R$33*(1+Trip_Growth)^(L48-L$33)</f>
        <v>2981191.4300875836</v>
      </c>
      <c r="S48" s="102">
        <f t="shared" si="26"/>
        <v>7994005.1959512541</v>
      </c>
      <c r="T48" s="107">
        <f>$T$41*(($T$50/$T$41)^(1/($L$50-$L$41)))^(L48-$L$41)</f>
        <v>49045.523256714674</v>
      </c>
      <c r="U48" s="107">
        <f t="shared" si="37"/>
        <v>145345.54901729553</v>
      </c>
      <c r="V48" s="107">
        <f t="shared" si="38"/>
        <v>194391.07227401022</v>
      </c>
      <c r="X48" s="110">
        <f>X47+1</f>
        <v>2021</v>
      </c>
      <c r="Y48" s="106">
        <f>Y$33*(1+Trip_Growth)^(X48-X$33)</f>
        <v>13139473.581850756</v>
      </c>
      <c r="Z48" s="102">
        <f t="shared" si="7"/>
        <v>12181737.352469653</v>
      </c>
      <c r="AA48" s="107">
        <f>AA$33*(1+T_1!$O$14)^(X48-X$33)</f>
        <v>12155.544469595918</v>
      </c>
      <c r="AB48" s="107">
        <f t="shared" si="8"/>
        <v>221486.13368126642</v>
      </c>
      <c r="AC48" s="107">
        <f t="shared" si="9"/>
        <v>233641.67815086234</v>
      </c>
      <c r="AD48" s="106">
        <f>AD$33*(1+Trip_Growth)^(X48-X$33)</f>
        <v>2030615.2339202666</v>
      </c>
      <c r="AE48" s="102">
        <f t="shared" si="10"/>
        <v>1882603.6895198182</v>
      </c>
      <c r="AF48" s="107">
        <f>AF$33*(1+T_1!$P$14)^(X48-X$33)</f>
        <v>2123.4537116396359</v>
      </c>
      <c r="AG48" s="107">
        <f t="shared" si="11"/>
        <v>34229.157991269421</v>
      </c>
      <c r="AH48" s="107">
        <f t="shared" si="12"/>
        <v>36352.61170290906</v>
      </c>
      <c r="AI48" s="110">
        <f>AI47+1</f>
        <v>2021</v>
      </c>
      <c r="AJ48" s="106">
        <f>AJ47+((AJ$75-AJ$33)*1/26)</f>
        <v>13212265.716811121</v>
      </c>
      <c r="AK48" s="102">
        <f t="shared" si="13"/>
        <v>12249223.668712756</v>
      </c>
      <c r="AL48" s="107">
        <f>$AL$41*(($AL$50/$AL$41)^(1/($AI$50-$AI$41)))^(AI48-$AI$41)</f>
        <v>12871.11337480084</v>
      </c>
      <c r="AM48" s="107">
        <f t="shared" si="39"/>
        <v>222713.15761295921</v>
      </c>
      <c r="AN48" s="107">
        <f t="shared" si="15"/>
        <v>235584.27098776004</v>
      </c>
      <c r="AO48" s="106">
        <f>AO47+((AO$75-AO$33)*1/26)</f>
        <v>2041864.7575209884</v>
      </c>
      <c r="AP48" s="102">
        <f t="shared" si="28"/>
        <v>1893033.2353452833</v>
      </c>
      <c r="AQ48" s="107">
        <f>$AQ$41*(($AQ$50/$AQ$41)^(1/($AI$50-$AI$41)))^(AI48-$AI$41)</f>
        <v>2265.8897064903549</v>
      </c>
      <c r="AR48" s="107">
        <f t="shared" si="40"/>
        <v>34418.786097186974</v>
      </c>
      <c r="AS48" s="107">
        <f t="shared" si="30"/>
        <v>36684.675803677332</v>
      </c>
    </row>
    <row r="49" spans="1:45" ht="14.45" x14ac:dyDescent="0.3">
      <c r="A49" s="110">
        <f t="shared" si="41"/>
        <v>2022</v>
      </c>
      <c r="B49" s="106">
        <f>B$33*(1+Trip_Growth)^(A49-A$33)</f>
        <v>19549101.490365993</v>
      </c>
      <c r="C49" s="102">
        <f t="shared" si="0"/>
        <v>52420524.664386608</v>
      </c>
      <c r="D49" s="107">
        <f>D$33*(1+T_1!$M$14)^(A49-A$33)</f>
        <v>409926.74087491113</v>
      </c>
      <c r="E49" s="107">
        <f t="shared" si="1"/>
        <v>953100.44844339287</v>
      </c>
      <c r="F49" s="107">
        <f t="shared" si="24"/>
        <v>1363027.189318304</v>
      </c>
      <c r="G49" s="106">
        <f>G$33*(1+Trip_Growth)^(A49-A$33)</f>
        <v>3008022.1529583721</v>
      </c>
      <c r="H49" s="102">
        <f t="shared" si="2"/>
        <v>8065951.2427148158</v>
      </c>
      <c r="I49" s="107">
        <f>I$33*(1+T_1!$N$14)^(A49-A$33)</f>
        <v>49328.785715728787</v>
      </c>
      <c r="J49" s="107">
        <f t="shared" si="3"/>
        <v>146653.65895845121</v>
      </c>
      <c r="K49" s="107">
        <f t="shared" si="25"/>
        <v>195982.44467418001</v>
      </c>
      <c r="L49" s="110">
        <f t="shared" si="42"/>
        <v>2022</v>
      </c>
      <c r="M49" s="106">
        <f>M$33*(1+Trip_Growth)^(L49-L$33)</f>
        <v>19549101.490365993</v>
      </c>
      <c r="N49" s="102">
        <f t="shared" si="4"/>
        <v>52420524.664386608</v>
      </c>
      <c r="O49" s="107">
        <f t="shared" si="43"/>
        <v>422725.70273642073</v>
      </c>
      <c r="P49" s="107">
        <f t="shared" si="35"/>
        <v>953100.44844339287</v>
      </c>
      <c r="Q49" s="107">
        <f t="shared" si="36"/>
        <v>1375826.1511798135</v>
      </c>
      <c r="R49" s="106">
        <f>R$33*(1+Trip_Growth)^(L49-L$33)</f>
        <v>3008022.1529583721</v>
      </c>
      <c r="S49" s="102">
        <f t="shared" si="26"/>
        <v>8065951.2427148158</v>
      </c>
      <c r="T49" s="107">
        <f>$T$41*(($T$50/$T$41)^(1/($L$50-$L$41)))^(L49-$L$41)</f>
        <v>50589.398458110605</v>
      </c>
      <c r="U49" s="107">
        <f t="shared" si="37"/>
        <v>146653.65895845121</v>
      </c>
      <c r="V49" s="107">
        <f t="shared" si="38"/>
        <v>197243.05741656182</v>
      </c>
      <c r="X49" s="110">
        <f>X48+1</f>
        <v>2022</v>
      </c>
      <c r="Y49" s="106">
        <f>Y$33*(1+Trip_Growth)^(X49-X$33)</f>
        <v>13257728.844087413</v>
      </c>
      <c r="Z49" s="102">
        <f t="shared" si="7"/>
        <v>12291372.988641879</v>
      </c>
      <c r="AA49" s="107">
        <f>AA$33*(1+T_1!$O$14)^(X49-X$33)</f>
        <v>12545.508721838385</v>
      </c>
      <c r="AB49" s="107">
        <f t="shared" si="8"/>
        <v>223479.50888439783</v>
      </c>
      <c r="AC49" s="107">
        <f t="shared" si="9"/>
        <v>236025.01760623622</v>
      </c>
      <c r="AD49" s="106">
        <f>AD$33*(1+Trip_Growth)^(X49-X$33)</f>
        <v>2048890.7710255492</v>
      </c>
      <c r="AE49" s="102">
        <f t="shared" si="10"/>
        <v>1899547.1227254965</v>
      </c>
      <c r="AF49" s="107">
        <f>AF$33*(1+T_1!$P$14)^(X49-X$33)</f>
        <v>2197.9657429703861</v>
      </c>
      <c r="AG49" s="107">
        <f t="shared" si="11"/>
        <v>34537.220413190851</v>
      </c>
      <c r="AH49" s="107">
        <f t="shared" si="12"/>
        <v>36735.186156161239</v>
      </c>
      <c r="AI49" s="110">
        <f>AI48+1</f>
        <v>2022</v>
      </c>
      <c r="AJ49" s="106">
        <f>AJ48+((AJ$75-AJ$33)*1/26)</f>
        <v>13336775.074203508</v>
      </c>
      <c r="AK49" s="102">
        <f t="shared" si="13"/>
        <v>12364657.539044812</v>
      </c>
      <c r="AL49" s="107">
        <f>$AL$41*(($AL$50/$AL$41)^(1/($AI$50-$AI$41)))^(AI49-$AI$41)</f>
        <v>13283.703532917852</v>
      </c>
      <c r="AM49" s="107">
        <f t="shared" si="39"/>
        <v>224811.95525536026</v>
      </c>
      <c r="AN49" s="107">
        <f t="shared" si="15"/>
        <v>238095.65878827812</v>
      </c>
      <c r="AO49" s="106">
        <f>AO48+((AO$75-AO$33)*1/26)</f>
        <v>2061106.8220003319</v>
      </c>
      <c r="AP49" s="102">
        <f t="shared" si="28"/>
        <v>1910872.7457447276</v>
      </c>
      <c r="AQ49" s="107">
        <f>$AQ$41*(($AQ$50/$AQ$41)^(1/($AI$50-$AI$41)))^(AI49-$AI$41)</f>
        <v>2345.4031502297153</v>
      </c>
      <c r="AR49" s="107">
        <f t="shared" si="40"/>
        <v>34743.140831722325</v>
      </c>
      <c r="AS49" s="107">
        <f t="shared" si="30"/>
        <v>37088.54398195204</v>
      </c>
    </row>
    <row r="50" spans="1:45" ht="14.45" x14ac:dyDescent="0.3">
      <c r="A50" s="110">
        <f t="shared" si="41"/>
        <v>2023</v>
      </c>
      <c r="B50" s="106">
        <f>B$33*(1+Trip_Growth)^(A50-A$33)</f>
        <v>19725043.403779283</v>
      </c>
      <c r="C50" s="102">
        <f t="shared" si="0"/>
        <v>52892309.386366077</v>
      </c>
      <c r="D50" s="107">
        <f>D$33*(1+T_1!$M$14)^(A50-A$33)</f>
        <v>422789.55476795812</v>
      </c>
      <c r="E50" s="107">
        <f t="shared" si="1"/>
        <v>961678.35247938323</v>
      </c>
      <c r="F50" s="107">
        <f t="shared" si="24"/>
        <v>1384467.9072473412</v>
      </c>
      <c r="G50" s="106">
        <f>G$33*(1+Trip_Growth)^(A50-A$33)</f>
        <v>3035094.3523349972</v>
      </c>
      <c r="H50" s="102">
        <f t="shared" si="2"/>
        <v>8138544.8038992481</v>
      </c>
      <c r="I50" s="107">
        <f>I$33*(1+T_1!$N$14)^(A50-A$33)</f>
        <v>50889.528664397229</v>
      </c>
      <c r="J50" s="107">
        <f t="shared" si="3"/>
        <v>147973.54188907726</v>
      </c>
      <c r="K50" s="107">
        <f t="shared" si="25"/>
        <v>198863.07055347448</v>
      </c>
      <c r="L50" s="110">
        <f t="shared" si="42"/>
        <v>2023</v>
      </c>
      <c r="M50" s="106">
        <f>M$33*(1+Trip_Growth)^(L50-L$33)</f>
        <v>19725043.403779283</v>
      </c>
      <c r="N50" s="102">
        <f t="shared" si="4"/>
        <v>52892309.386366077</v>
      </c>
      <c r="O50" s="107">
        <f>SUM(O51:O54)</f>
        <v>435924.10618916218</v>
      </c>
      <c r="P50" s="107">
        <f t="shared" si="35"/>
        <v>961678.35247938323</v>
      </c>
      <c r="Q50" s="107">
        <f t="shared" si="36"/>
        <v>1397602.4586685454</v>
      </c>
      <c r="R50" s="106">
        <f>R$33*(1+Trip_Growth)^(L50-L$33)</f>
        <v>3035094.3523349972</v>
      </c>
      <c r="S50" s="102">
        <f t="shared" si="26"/>
        <v>8138544.8038992481</v>
      </c>
      <c r="T50" s="107">
        <f>SUM(T51:T54)</f>
        <v>52181.872399599655</v>
      </c>
      <c r="U50" s="107">
        <f t="shared" si="37"/>
        <v>147973.54188907726</v>
      </c>
      <c r="V50" s="107">
        <f t="shared" si="38"/>
        <v>200155.41428867693</v>
      </c>
      <c r="X50" s="110">
        <f>X49+1</f>
        <v>2023</v>
      </c>
      <c r="Y50" s="106">
        <f>Y$33*(1+Trip_Growth)^(X50-X$33)</f>
        <v>13377048.403684197</v>
      </c>
      <c r="Z50" s="102">
        <f t="shared" si="7"/>
        <v>12401995.345539654</v>
      </c>
      <c r="AA50" s="107">
        <f>AA$33*(1+T_1!$O$14)^(X50-X$33)</f>
        <v>12947.983488801719</v>
      </c>
      <c r="AB50" s="107">
        <f t="shared" si="8"/>
        <v>225490.82446435737</v>
      </c>
      <c r="AC50" s="107">
        <f t="shared" si="9"/>
        <v>238438.80795315909</v>
      </c>
      <c r="AD50" s="106">
        <f>AD$33*(1+Trip_Growth)^(X50-X$33)</f>
        <v>2067330.7879647787</v>
      </c>
      <c r="AE50" s="102">
        <f t="shared" si="10"/>
        <v>1916643.0468300257</v>
      </c>
      <c r="AF50" s="107">
        <f>AF$33*(1+T_1!$P$14)^(X50-X$33)</f>
        <v>2275.0924029048124</v>
      </c>
      <c r="AG50" s="107">
        <f t="shared" si="11"/>
        <v>34848.055396909564</v>
      </c>
      <c r="AH50" s="107">
        <f t="shared" si="12"/>
        <v>37123.147799814375</v>
      </c>
      <c r="AI50" s="110">
        <f>AI49+1</f>
        <v>2023</v>
      </c>
      <c r="AJ50" s="106">
        <f>AJ49+((AJ$75-AJ$33)*1/26)</f>
        <v>13461284.431595895</v>
      </c>
      <c r="AK50" s="102">
        <f t="shared" si="13"/>
        <v>12480091.409376869</v>
      </c>
      <c r="AL50" s="107">
        <f>SUM(AL51:AL54)</f>
        <v>13709.519480725163</v>
      </c>
      <c r="AM50" s="107">
        <f t="shared" si="39"/>
        <v>226910.75289776127</v>
      </c>
      <c r="AN50" s="107">
        <f t="shared" si="15"/>
        <v>240620.27237848644</v>
      </c>
      <c r="AO50" s="106">
        <f>AO49+((AO$75-AO$33)*1/26)</f>
        <v>2080348.8864796755</v>
      </c>
      <c r="AP50" s="102">
        <f t="shared" si="28"/>
        <v>1928712.2561441718</v>
      </c>
      <c r="AQ50" s="107">
        <f>SUM(AQ51:AQ54)</f>
        <v>2427.7068391064204</v>
      </c>
      <c r="AR50" s="107">
        <f t="shared" si="40"/>
        <v>35067.495566257669</v>
      </c>
      <c r="AS50" s="107">
        <f t="shared" si="30"/>
        <v>37495.202405364093</v>
      </c>
    </row>
    <row r="51" spans="1:45" ht="14.45" x14ac:dyDescent="0.3">
      <c r="A51" s="112" t="s">
        <v>28</v>
      </c>
      <c r="B51" s="104">
        <f>B34*(1+Trip_Growth)^($A$50-$A$33)</f>
        <v>4561677.971420587</v>
      </c>
      <c r="C51" s="104">
        <f t="shared" si="0"/>
        <v>12232048.246804876</v>
      </c>
      <c r="D51" s="105">
        <f>D34*(1+T_1!M10)^($A$50-$A$33)</f>
        <v>39793.072770096886</v>
      </c>
      <c r="E51" s="105">
        <f t="shared" si="1"/>
        <v>222400.87721463412</v>
      </c>
      <c r="F51" s="105">
        <f t="shared" si="24"/>
        <v>262193.94998473104</v>
      </c>
      <c r="G51" s="104">
        <f>G34*(1+Trip_Growth)^($A$50-$A$33)</f>
        <v>730074.80160378397</v>
      </c>
      <c r="H51" s="104">
        <f t="shared" si="2"/>
        <v>1957680.9790045146</v>
      </c>
      <c r="I51" s="105">
        <f>I34*(1+T_1!N10)^($A$50-$A$33)</f>
        <v>5636.569507460119</v>
      </c>
      <c r="J51" s="105">
        <f t="shared" si="3"/>
        <v>35594.199618263905</v>
      </c>
      <c r="K51" s="105">
        <f t="shared" si="25"/>
        <v>41230.769125724022</v>
      </c>
      <c r="L51" s="112" t="s">
        <v>28</v>
      </c>
      <c r="M51" s="104">
        <f>M34*(1+Trip_Growth)^($L$50-$L$33)</f>
        <v>4561677.971420587</v>
      </c>
      <c r="N51" s="104">
        <f t="shared" si="4"/>
        <v>12232048.246804876</v>
      </c>
      <c r="O51" s="105">
        <f>O34*(1+T_1!M10)^($L$50-$L$33)</f>
        <v>39793.072770096886</v>
      </c>
      <c r="P51" s="105">
        <f t="shared" si="35"/>
        <v>222400.87721463412</v>
      </c>
      <c r="Q51" s="105">
        <f t="shared" ref="Q51:Q54" si="44">O51+P51</f>
        <v>262193.94998473104</v>
      </c>
      <c r="R51" s="104">
        <f>R34*(1+Trip_Growth)^($L$50-$L$33)</f>
        <v>730074.80160378397</v>
      </c>
      <c r="S51" s="104">
        <f t="shared" si="26"/>
        <v>1957680.9790045146</v>
      </c>
      <c r="T51" s="105">
        <f>T34*(1+T_1!N10)^($L$50-$L$33)</f>
        <v>5636.569507460119</v>
      </c>
      <c r="U51" s="105">
        <f t="shared" si="37"/>
        <v>35594.199618263905</v>
      </c>
      <c r="V51" s="105">
        <f t="shared" si="38"/>
        <v>41230.769125724022</v>
      </c>
      <c r="X51" s="112" t="s">
        <v>28</v>
      </c>
      <c r="Y51" s="104">
        <f>Y34*(1+Trip_Growth)^($X$50-$X$33)</f>
        <v>2834738.4967258358</v>
      </c>
      <c r="Z51" s="104">
        <f t="shared" si="7"/>
        <v>2628114.4076994895</v>
      </c>
      <c r="AA51" s="105">
        <f>AA34*(1+T_1!O10)^($X$50-$X$33)</f>
        <v>1237.7444685443422</v>
      </c>
      <c r="AB51" s="105">
        <f t="shared" si="8"/>
        <v>47783.898321808898</v>
      </c>
      <c r="AC51" s="105">
        <f t="shared" si="9"/>
        <v>49021.642790353239</v>
      </c>
      <c r="AD51" s="104">
        <f>AD34*(1+Trip_Growth)^($X$50-$X$33)</f>
        <v>440494.02916189068</v>
      </c>
      <c r="AE51" s="104">
        <f t="shared" si="10"/>
        <v>408386.41937628039</v>
      </c>
      <c r="AF51" s="105">
        <f>AF34*(1+T_1!P10)^($X$50-$X$33)</f>
        <v>474.34587346360445</v>
      </c>
      <c r="AG51" s="105">
        <f t="shared" si="11"/>
        <v>7425.2076250232813</v>
      </c>
      <c r="AH51" s="105">
        <f t="shared" si="12"/>
        <v>7899.5534984868855</v>
      </c>
      <c r="AI51" s="112" t="s">
        <v>28</v>
      </c>
      <c r="AJ51" s="104">
        <f>AJ34*(1+Trip_Growth)^($AI$50-$AI$33)</f>
        <v>2834738.4967258358</v>
      </c>
      <c r="AK51" s="104">
        <f t="shared" si="13"/>
        <v>2628114.4076994895</v>
      </c>
      <c r="AL51" s="105">
        <f>AL34*(1+T_1!O10)^($AI$50-$AI$33)</f>
        <v>1237.7444685443422</v>
      </c>
      <c r="AM51" s="105">
        <f t="shared" si="39"/>
        <v>47783.898321808898</v>
      </c>
      <c r="AN51" s="105">
        <f t="shared" si="15"/>
        <v>49021.642790353239</v>
      </c>
      <c r="AO51" s="104">
        <f>AO34*(1+Trip_Growth)^($AI$50-$AI$33)</f>
        <v>440494.02916189068</v>
      </c>
      <c r="AP51" s="104">
        <f t="shared" si="28"/>
        <v>408386.41937628039</v>
      </c>
      <c r="AQ51" s="105">
        <f>AQ34*(1+T_1!P10)^($AI$50-$AI$33)</f>
        <v>474.34587346360445</v>
      </c>
      <c r="AR51" s="105">
        <f t="shared" si="40"/>
        <v>7425.2076250232813</v>
      </c>
      <c r="AS51" s="105">
        <f t="shared" si="30"/>
        <v>7899.5534984868855</v>
      </c>
    </row>
    <row r="52" spans="1:45" ht="14.45" x14ac:dyDescent="0.3">
      <c r="A52" s="112" t="s">
        <v>37</v>
      </c>
      <c r="B52" s="104">
        <f>B35*(1+Trip_Growth)^($A$50-$A$33)</f>
        <v>5597074.3853314901</v>
      </c>
      <c r="C52" s="104">
        <f t="shared" si="0"/>
        <v>15008443.022778684</v>
      </c>
      <c r="D52" s="105">
        <f>D35*(1+T_1!M11)^($A$50-$A$33)</f>
        <v>93859.122213699404</v>
      </c>
      <c r="E52" s="105">
        <f t="shared" si="1"/>
        <v>272880.78223233973</v>
      </c>
      <c r="F52" s="105">
        <f t="shared" si="24"/>
        <v>366739.90444603912</v>
      </c>
      <c r="G52" s="104">
        <f>G35*(1+Trip_Growth)^($A$50-$A$33)</f>
        <v>819876.73098895897</v>
      </c>
      <c r="H52" s="104">
        <f t="shared" si="2"/>
        <v>2198483.0566122737</v>
      </c>
      <c r="I52" s="105">
        <f>I35*(1+T_1!N11)^($A$50-$A$33)</f>
        <v>11259.741030647392</v>
      </c>
      <c r="J52" s="105">
        <f t="shared" si="3"/>
        <v>39972.419211132248</v>
      </c>
      <c r="K52" s="105">
        <f t="shared" si="25"/>
        <v>51232.160241779638</v>
      </c>
      <c r="L52" s="112" t="s">
        <v>37</v>
      </c>
      <c r="M52" s="104">
        <f>M35*(1+Trip_Growth)^($L$50-$L$33)</f>
        <v>5597074.3853314901</v>
      </c>
      <c r="N52" s="104">
        <f t="shared" si="4"/>
        <v>15008443.022778684</v>
      </c>
      <c r="O52" s="105">
        <f>O35*(1+T_1!M11)^($L$50-$L$33)</f>
        <v>93859.122213699404</v>
      </c>
      <c r="P52" s="105">
        <f t="shared" si="35"/>
        <v>272880.78223233973</v>
      </c>
      <c r="Q52" s="105">
        <f t="shared" si="44"/>
        <v>366739.90444603912</v>
      </c>
      <c r="R52" s="104">
        <f>R35*(1+Trip_Growth)^($L$50-$L$33)</f>
        <v>819876.73098895897</v>
      </c>
      <c r="S52" s="104">
        <f t="shared" si="26"/>
        <v>2198483.0566122737</v>
      </c>
      <c r="T52" s="105">
        <f>T35*(1+T_1!N11)^($L$50-$L$33)</f>
        <v>11259.741030647392</v>
      </c>
      <c r="U52" s="105">
        <f t="shared" si="37"/>
        <v>39972.419211132248</v>
      </c>
      <c r="V52" s="105">
        <f t="shared" si="38"/>
        <v>51232.160241779638</v>
      </c>
      <c r="X52" s="112" t="s">
        <v>37</v>
      </c>
      <c r="Y52" s="104">
        <f>Y35*(1+Trip_Growth)^($X$50-$X$33)</f>
        <v>4087492.8388731964</v>
      </c>
      <c r="Z52" s="104">
        <f t="shared" si="7"/>
        <v>3789555.4858477288</v>
      </c>
      <c r="AA52" s="105">
        <f>AA35*(1+T_1!O11)^($X$50-$X$33)</f>
        <v>1592.5448511724157</v>
      </c>
      <c r="AB52" s="105">
        <f t="shared" si="8"/>
        <v>68901.008833595071</v>
      </c>
      <c r="AC52" s="105">
        <f t="shared" si="9"/>
        <v>70493.553684767481</v>
      </c>
      <c r="AD52" s="104">
        <f>AD35*(1+Trip_Growth)^($X$50-$X$33)</f>
        <v>578376.10593849025</v>
      </c>
      <c r="AE52" s="104">
        <f t="shared" si="10"/>
        <v>536218.27157663368</v>
      </c>
      <c r="AF52" s="105">
        <f>AF35*(1+T_1!P11)^($X$50-$X$33)</f>
        <v>250.79546753379978</v>
      </c>
      <c r="AG52" s="105">
        <f t="shared" si="11"/>
        <v>9749.4231195751581</v>
      </c>
      <c r="AH52" s="105">
        <f t="shared" si="12"/>
        <v>10000.218587108959</v>
      </c>
      <c r="AI52" s="112" t="s">
        <v>37</v>
      </c>
      <c r="AJ52" s="104">
        <f>AJ35*(1+Trip_Growth)^($AI$50-$AI$33)</f>
        <v>4087492.8388731964</v>
      </c>
      <c r="AK52" s="104">
        <f t="shared" si="13"/>
        <v>3789555.4858477288</v>
      </c>
      <c r="AL52" s="105">
        <f>AL35*(1+T_1!O11)^($AI$50-$AI$33)</f>
        <v>1592.5448511724157</v>
      </c>
      <c r="AM52" s="105">
        <f t="shared" si="39"/>
        <v>68901.008833595071</v>
      </c>
      <c r="AN52" s="105">
        <f t="shared" si="15"/>
        <v>70493.553684767481</v>
      </c>
      <c r="AO52" s="104">
        <f>AO35*(1+Trip_Growth)^($AI$50-$AI$33)</f>
        <v>578376.10593849025</v>
      </c>
      <c r="AP52" s="104">
        <f t="shared" si="28"/>
        <v>536218.27157663368</v>
      </c>
      <c r="AQ52" s="105">
        <f>AQ35*(1+T_1!P11)^($AI$50-$AI$33)</f>
        <v>250.79546753379978</v>
      </c>
      <c r="AR52" s="105">
        <f t="shared" si="40"/>
        <v>9749.4231195751581</v>
      </c>
      <c r="AS52" s="105">
        <f t="shared" si="30"/>
        <v>10000.218587108959</v>
      </c>
    </row>
    <row r="53" spans="1:45" ht="14.45" x14ac:dyDescent="0.3">
      <c r="A53" s="112" t="s">
        <v>29</v>
      </c>
      <c r="B53" s="104">
        <f>B36*(1+Trip_Growth)^($A$50-$A$33)</f>
        <v>4998862.067701281</v>
      </c>
      <c r="C53" s="104">
        <f t="shared" si="0"/>
        <v>13404348.657299632</v>
      </c>
      <c r="D53" s="105">
        <f>D36*(1+T_1!M12)^($A$50-$A$33)</f>
        <v>234093.64357543949</v>
      </c>
      <c r="E53" s="105">
        <f t="shared" si="1"/>
        <v>243715.43013272059</v>
      </c>
      <c r="F53" s="105">
        <f t="shared" si="24"/>
        <v>477809.07370816008</v>
      </c>
      <c r="G53" s="104">
        <f>G36*(1+Trip_Growth)^($A$50-$A$33)</f>
        <v>629977.89965097164</v>
      </c>
      <c r="H53" s="104">
        <f t="shared" si="2"/>
        <v>1689273.1383560875</v>
      </c>
      <c r="I53" s="105">
        <f>I36*(1+T_1!N12)^($A$50-$A$33)</f>
        <v>28480.048977605966</v>
      </c>
      <c r="J53" s="105">
        <f t="shared" si="3"/>
        <v>30714.057061019772</v>
      </c>
      <c r="K53" s="105">
        <f t="shared" si="25"/>
        <v>59194.106038625738</v>
      </c>
      <c r="L53" s="112" t="s">
        <v>29</v>
      </c>
      <c r="M53" s="104">
        <f>M36*(1+Trip_Growth)^($L$50-$L$33)</f>
        <v>4998862.067701281</v>
      </c>
      <c r="N53" s="104">
        <f t="shared" si="4"/>
        <v>13404348.657299632</v>
      </c>
      <c r="O53" s="105">
        <f>O36*(1+T_1!M12)^($L$50-$L$33)</f>
        <v>234093.64357543949</v>
      </c>
      <c r="P53" s="105">
        <f t="shared" si="35"/>
        <v>243715.43013272059</v>
      </c>
      <c r="Q53" s="105">
        <f t="shared" si="44"/>
        <v>477809.07370816008</v>
      </c>
      <c r="R53" s="104">
        <f>R36*(1+Trip_Growth)^($L$50-$L$33)</f>
        <v>629977.89965097164</v>
      </c>
      <c r="S53" s="104">
        <f t="shared" si="26"/>
        <v>1689273.1383560875</v>
      </c>
      <c r="T53" s="105">
        <f>T36*(1+T_1!N12)^($L$50-$L$33)</f>
        <v>28480.048977605966</v>
      </c>
      <c r="U53" s="105">
        <f t="shared" si="37"/>
        <v>30714.057061019772</v>
      </c>
      <c r="V53" s="105">
        <f t="shared" si="38"/>
        <v>59194.106038625738</v>
      </c>
      <c r="X53" s="112" t="s">
        <v>29</v>
      </c>
      <c r="Y53" s="104">
        <f>Y36*(1+Trip_Growth)^($X$50-$X$33)</f>
        <v>3796689.2281919778</v>
      </c>
      <c r="Z53" s="104">
        <f t="shared" si="7"/>
        <v>3519948.5503490642</v>
      </c>
      <c r="AA53" s="105">
        <f>AA36*(1+T_1!O12)^($X$50-$X$33)</f>
        <v>6993.2814338588532</v>
      </c>
      <c r="AB53" s="105">
        <f t="shared" si="8"/>
        <v>63999.064551801173</v>
      </c>
      <c r="AC53" s="105">
        <f t="shared" si="9"/>
        <v>70992.345985660024</v>
      </c>
      <c r="AD53" s="104">
        <f>AD36*(1+Trip_Growth)^($X$50-$X$33)</f>
        <v>345830.82983216486</v>
      </c>
      <c r="AE53" s="104">
        <f t="shared" si="10"/>
        <v>320623.22064569831</v>
      </c>
      <c r="AF53" s="105">
        <f>AF36*(1+T_1!P12)^($X$50-$X$33)</f>
        <v>913.77159136225259</v>
      </c>
      <c r="AG53" s="105">
        <f t="shared" si="11"/>
        <v>5829.5131026490608</v>
      </c>
      <c r="AH53" s="105">
        <f t="shared" si="12"/>
        <v>6743.2846940113131</v>
      </c>
      <c r="AI53" s="112" t="s">
        <v>29</v>
      </c>
      <c r="AJ53" s="104">
        <f>AJ36*(1+Trip_Growth)^($AI$50-$AI$33)</f>
        <v>3796689.2281919778</v>
      </c>
      <c r="AK53" s="104">
        <f t="shared" si="13"/>
        <v>3519948.5503490642</v>
      </c>
      <c r="AL53" s="105">
        <f>AL36*(1+T_1!O12)^($AI$50-$AI$33)</f>
        <v>6993.2814338588532</v>
      </c>
      <c r="AM53" s="105">
        <f t="shared" si="39"/>
        <v>63999.064551801173</v>
      </c>
      <c r="AN53" s="105">
        <f t="shared" si="15"/>
        <v>70992.345985660024</v>
      </c>
      <c r="AO53" s="104">
        <f>AO36*(1+Trip_Growth)^($AI$50-$AI$33)</f>
        <v>345830.82983216486</v>
      </c>
      <c r="AP53" s="104">
        <f t="shared" si="28"/>
        <v>320623.22064569831</v>
      </c>
      <c r="AQ53" s="105">
        <f>AQ36*(1+T_1!P12)^($AI$50-$AI$33)</f>
        <v>913.77159136225259</v>
      </c>
      <c r="AR53" s="105">
        <f t="shared" si="40"/>
        <v>5829.5131026490608</v>
      </c>
      <c r="AS53" s="105">
        <f t="shared" si="30"/>
        <v>6743.2846940113131</v>
      </c>
    </row>
    <row r="54" spans="1:45" ht="14.45" x14ac:dyDescent="0.3">
      <c r="A54" s="112" t="s">
        <v>38</v>
      </c>
      <c r="B54" s="104">
        <f>B37*(1+Trip_Growth)^($A$50-$A$33)</f>
        <v>4567428.9793259269</v>
      </c>
      <c r="C54" s="104">
        <f t="shared" si="0"/>
        <v>12247469.459482886</v>
      </c>
      <c r="D54" s="105">
        <f>D37*(1+T_1!M13)^($A$50-$A$33)</f>
        <v>54542.614103941123</v>
      </c>
      <c r="E54" s="105">
        <f t="shared" si="1"/>
        <v>222681.26289968885</v>
      </c>
      <c r="F54" s="105">
        <f t="shared" si="24"/>
        <v>277223.87700362998</v>
      </c>
      <c r="G54" s="104">
        <f>G37*(1+Trip_Growth)^($A$50-$A$33)</f>
        <v>855164.92009128246</v>
      </c>
      <c r="H54" s="104">
        <f t="shared" si="2"/>
        <v>2293107.6299263723</v>
      </c>
      <c r="I54" s="105">
        <f>I37*(1+T_1!N13)^($A$50-$A$33)</f>
        <v>5444.4103071089421</v>
      </c>
      <c r="J54" s="105">
        <f t="shared" si="3"/>
        <v>41692.865998661313</v>
      </c>
      <c r="K54" s="105">
        <f t="shared" si="25"/>
        <v>47137.276305770254</v>
      </c>
      <c r="L54" s="112" t="s">
        <v>38</v>
      </c>
      <c r="M54" s="104">
        <f>M37*(1+Trip_Growth)^($L$50-$L$33)</f>
        <v>4567428.9793259269</v>
      </c>
      <c r="N54" s="104">
        <f t="shared" si="4"/>
        <v>12247469.459482886</v>
      </c>
      <c r="O54" s="105">
        <f>O37*(1+T_1!M13)^($L$50-$L$33)*(1+Construction_delay)</f>
        <v>68178.267629926399</v>
      </c>
      <c r="P54" s="105">
        <f>$J$26*M54*FF_Speed/Const_Speed</f>
        <v>272165.9879885086</v>
      </c>
      <c r="Q54" s="105">
        <f t="shared" si="44"/>
        <v>340344.25561843498</v>
      </c>
      <c r="R54" s="104">
        <f>R37*(1+Trip_Growth)^($L$50-$L$33)</f>
        <v>855164.92009128246</v>
      </c>
      <c r="S54" s="104">
        <f t="shared" si="26"/>
        <v>2293107.6299263723</v>
      </c>
      <c r="T54" s="105">
        <f>T37*(1+T_1!N13)^($L$50-$L$33)*(1+Construction_delay)</f>
        <v>6805.5128838861774</v>
      </c>
      <c r="U54" s="105">
        <f>$J$26*R54*FF_Speed/Const_Speed</f>
        <v>50957.947331697163</v>
      </c>
      <c r="V54" s="105">
        <f t="shared" si="38"/>
        <v>57763.460215583342</v>
      </c>
      <c r="X54" s="112" t="s">
        <v>38</v>
      </c>
      <c r="Y54" s="104">
        <f>Y37*(1+Trip_Growth)^($X$50-$X$33)</f>
        <v>2658127.8398931888</v>
      </c>
      <c r="Z54" s="104">
        <f t="shared" si="7"/>
        <v>2464376.901643374</v>
      </c>
      <c r="AA54" s="105">
        <f>AA37*(1+T_1!O13)^($X$50-$X$33)</f>
        <v>3108.7589817196404</v>
      </c>
      <c r="AB54" s="105">
        <f t="shared" si="8"/>
        <v>44806.852757152257</v>
      </c>
      <c r="AC54" s="105">
        <f t="shared" si="9"/>
        <v>47915.611738871899</v>
      </c>
      <c r="AD54" s="104">
        <f>AD37*(1+Trip_Growth)^($X$50-$X$33)</f>
        <v>702629.82303223317</v>
      </c>
      <c r="AE54" s="104">
        <f t="shared" si="10"/>
        <v>651415.13523141365</v>
      </c>
      <c r="AF54" s="105">
        <f>AF37*(1+T_1!P13)^($X$50-$X$33)</f>
        <v>631.03512539741075</v>
      </c>
      <c r="AG54" s="105">
        <f t="shared" si="11"/>
        <v>11843.911549662067</v>
      </c>
      <c r="AH54" s="105">
        <f t="shared" si="12"/>
        <v>12474.946675059478</v>
      </c>
      <c r="AI54" s="112" t="s">
        <v>38</v>
      </c>
      <c r="AJ54" s="104">
        <f>AJ37*(1+Trip_Growth)^($AI$50-$AI$33)</f>
        <v>2658127.8398931888</v>
      </c>
      <c r="AK54" s="104">
        <f t="shared" si="13"/>
        <v>2464376.901643374</v>
      </c>
      <c r="AL54" s="105">
        <f>AL37*(1+T_1!O13)^($AI$50-$AI$33)*(1+Construction_delay)</f>
        <v>3885.9487271495505</v>
      </c>
      <c r="AM54" s="105">
        <f>$O$26*AJ54*FF_Speed/Const_Speed</f>
        <v>54763.93114763053</v>
      </c>
      <c r="AN54" s="105">
        <f t="shared" si="15"/>
        <v>58649.879874780083</v>
      </c>
      <c r="AO54" s="104">
        <f>AO37*(1+Trip_Growth)^($AI$50-$AI$33)</f>
        <v>702629.82303223317</v>
      </c>
      <c r="AP54" s="104">
        <f t="shared" si="28"/>
        <v>651415.13523141365</v>
      </c>
      <c r="AQ54" s="105">
        <f>AQ37*(1+T_1!P13)^($AI$50-$AI$33)*(1+Construction_delay)</f>
        <v>788.79390674676347</v>
      </c>
      <c r="AR54" s="105">
        <f>$O$26*AO54*FF_Speed/Const_Speed</f>
        <v>14475.891894031414</v>
      </c>
      <c r="AS54" s="105">
        <f t="shared" si="30"/>
        <v>15264.685800778178</v>
      </c>
    </row>
    <row r="55" spans="1:45" ht="14.45" x14ac:dyDescent="0.3">
      <c r="A55" s="110">
        <f>A50+1</f>
        <v>2024</v>
      </c>
      <c r="B55" s="106">
        <f>B$33*(1+Trip_Growth)^(A55-A$33)</f>
        <v>19902568.794413295</v>
      </c>
      <c r="C55" s="102">
        <f t="shared" si="0"/>
        <v>53368340.170843363</v>
      </c>
      <c r="D55" s="107">
        <f>D$33*(1+T_1!$M$14)^(A55-A$33)</f>
        <v>436055.9821966677</v>
      </c>
      <c r="E55" s="107">
        <f t="shared" si="1"/>
        <v>970333.45765169756</v>
      </c>
      <c r="F55" s="107">
        <f t="shared" si="24"/>
        <v>1406389.4398483653</v>
      </c>
      <c r="G55" s="106">
        <f>G$33*(1+Trip_Growth)^(A55-A$33)</f>
        <v>3062410.2015060117</v>
      </c>
      <c r="H55" s="102">
        <f t="shared" si="2"/>
        <v>8211791.70713434</v>
      </c>
      <c r="I55" s="107">
        <f>I$33*(1+T_1!$N$14)^(A55-A$33)</f>
        <v>52499.652892504739</v>
      </c>
      <c r="J55" s="107">
        <f t="shared" si="3"/>
        <v>149305.30376607893</v>
      </c>
      <c r="K55" s="107">
        <f t="shared" si="25"/>
        <v>201804.95665858366</v>
      </c>
      <c r="L55" s="110">
        <f>L50+1</f>
        <v>2024</v>
      </c>
      <c r="M55" s="106">
        <f>M$33*(1+Trip_Growth)^(L55-L$33)</f>
        <v>19902568.794413295</v>
      </c>
      <c r="N55" s="102">
        <f t="shared" si="4"/>
        <v>53368340.170843363</v>
      </c>
      <c r="O55" s="107">
        <f>D55*(1-Percent_Reduction)</f>
        <v>16854.832869462327</v>
      </c>
      <c r="P55" s="107">
        <f t="shared" ref="P55:P83" si="45">$J$26*M55</f>
        <v>970333.45765169756</v>
      </c>
      <c r="Q55" s="107">
        <f t="shared" si="36"/>
        <v>987188.29052115988</v>
      </c>
      <c r="R55" s="106">
        <f>R$33*(1+Trip_Growth)^(L55-L$33)</f>
        <v>3062410.2015060117</v>
      </c>
      <c r="S55" s="102">
        <f t="shared" si="26"/>
        <v>8211791.70713434</v>
      </c>
      <c r="T55" s="107">
        <f>I55*(1-Percent_Reduction)</f>
        <v>2029.2643865366376</v>
      </c>
      <c r="U55" s="107">
        <f t="shared" ref="U55:U83" si="46">$J$26*R55</f>
        <v>149305.30376607893</v>
      </c>
      <c r="V55" s="107">
        <f t="shared" si="38"/>
        <v>151334.56815261557</v>
      </c>
      <c r="X55" s="110">
        <f>X50+1</f>
        <v>2024</v>
      </c>
      <c r="Y55" s="106">
        <f>Y$33*(1+Trip_Growth)^(X55-X$33)</f>
        <v>13497441.839317353</v>
      </c>
      <c r="Z55" s="102">
        <f t="shared" si="7"/>
        <v>12513613.303649509</v>
      </c>
      <c r="AA55" s="107">
        <f>AA$33*(1+T_1!$O$14)^(X55-X$33)</f>
        <v>13363.370122603921</v>
      </c>
      <c r="AB55" s="107">
        <f t="shared" si="8"/>
        <v>227520.24188453658</v>
      </c>
      <c r="AC55" s="107">
        <f t="shared" si="9"/>
        <v>240883.6120071405</v>
      </c>
      <c r="AD55" s="106">
        <f>AD$33*(1+Trip_Growth)^(X55-X$33)</f>
        <v>2085936.7650564616</v>
      </c>
      <c r="AE55" s="102">
        <f t="shared" si="10"/>
        <v>1933892.8342514958</v>
      </c>
      <c r="AF55" s="107">
        <f>AF$33*(1+T_1!$P$14)^(X55-X$33)</f>
        <v>2354.925438810596</v>
      </c>
      <c r="AG55" s="107">
        <f t="shared" si="11"/>
        <v>35161.687895481744</v>
      </c>
      <c r="AH55" s="107">
        <f t="shared" si="12"/>
        <v>37516.613334292342</v>
      </c>
      <c r="AI55" s="110">
        <f>AI50+1</f>
        <v>2024</v>
      </c>
      <c r="AJ55" s="106">
        <f>AJ50+((AJ$75-AJ$33)*1/26)</f>
        <v>13585793.788988283</v>
      </c>
      <c r="AK55" s="102">
        <f t="shared" si="13"/>
        <v>12595525.279708926</v>
      </c>
      <c r="AL55" s="107">
        <f>AA55*(1-Percent_Reduction)</f>
        <v>516.53314983687119</v>
      </c>
      <c r="AM55" s="107">
        <f t="shared" ref="AM55:AM83" si="47">$O$26*AJ55</f>
        <v>229009.55054016231</v>
      </c>
      <c r="AN55" s="107">
        <f t="shared" si="15"/>
        <v>229526.08368999918</v>
      </c>
      <c r="AO55" s="106">
        <f>AO50+((AO$75-AO$33)*1/26)</f>
        <v>2099590.9509590189</v>
      </c>
      <c r="AP55" s="102">
        <f t="shared" si="28"/>
        <v>1946551.7665436158</v>
      </c>
      <c r="AQ55" s="107">
        <f>AF55*(1-Percent_Reduction)</f>
        <v>91.024722310302366</v>
      </c>
      <c r="AR55" s="107">
        <f t="shared" ref="AR55:AR83" si="48">$O$26*AO55</f>
        <v>35391.850300793019</v>
      </c>
      <c r="AS55" s="107">
        <f t="shared" si="30"/>
        <v>35482.875023103319</v>
      </c>
    </row>
    <row r="56" spans="1:45" ht="14.45" x14ac:dyDescent="0.3">
      <c r="A56" s="112" t="s">
        <v>28</v>
      </c>
      <c r="B56" s="104">
        <f>B34*(1+Trip_Growth)^($A$55-$A$33)</f>
        <v>4602733.0731633725</v>
      </c>
      <c r="C56" s="104">
        <f t="shared" si="0"/>
        <v>12342136.68102612</v>
      </c>
      <c r="D56" s="105">
        <f>D34*(1+T_1!M10)^($A$55-$A$33)</f>
        <v>41526.187065629369</v>
      </c>
      <c r="E56" s="105">
        <f t="shared" si="1"/>
        <v>224402.48510956584</v>
      </c>
      <c r="F56" s="105">
        <f t="shared" si="24"/>
        <v>265928.67217519518</v>
      </c>
      <c r="G56" s="104">
        <f>G34*(1+Trip_Growth)^($A$55-$A$33)</f>
        <v>736645.47481821792</v>
      </c>
      <c r="H56" s="104">
        <f t="shared" si="2"/>
        <v>1975300.1078155551</v>
      </c>
      <c r="I56" s="105">
        <f>I34*(1+T_1!N10)^($A$55-$A$33)</f>
        <v>5882.0599536888049</v>
      </c>
      <c r="J56" s="105">
        <f t="shared" si="3"/>
        <v>35914.547414828274</v>
      </c>
      <c r="K56" s="105">
        <f t="shared" si="25"/>
        <v>41796.607368517078</v>
      </c>
      <c r="L56" s="112" t="s">
        <v>28</v>
      </c>
      <c r="M56" s="104">
        <f>M34*(1+Trip_Growth)^($L$55-$L$33)</f>
        <v>4602733.0731633725</v>
      </c>
      <c r="N56" s="104">
        <f t="shared" si="4"/>
        <v>12342136.68102612</v>
      </c>
      <c r="O56" s="105">
        <f>O34*(1+T_1!M10)^($L$55-$L$33)*(1-Percent_Reduction)</f>
        <v>1605.1079936372444</v>
      </c>
      <c r="P56" s="105">
        <f t="shared" si="45"/>
        <v>224402.48510956584</v>
      </c>
      <c r="Q56" s="105">
        <f t="shared" si="36"/>
        <v>226007.59310320308</v>
      </c>
      <c r="R56" s="104">
        <f>R34*(1+Trip_Growth)^($L$55-$L$33)</f>
        <v>736645.47481821792</v>
      </c>
      <c r="S56" s="104">
        <f t="shared" si="26"/>
        <v>1975300.1078155551</v>
      </c>
      <c r="T56" s="105">
        <f>T34*(1+T_1!N10)^($L$55-$L$33)*(1-Percent_Reduction)</f>
        <v>227.35873716982513</v>
      </c>
      <c r="U56" s="105">
        <f t="shared" si="46"/>
        <v>35914.547414828274</v>
      </c>
      <c r="V56" s="105">
        <f t="shared" si="38"/>
        <v>36141.906151998097</v>
      </c>
      <c r="X56" s="112" t="s">
        <v>28</v>
      </c>
      <c r="Y56" s="104">
        <f>Y34*(1+Trip_Growth)^($X$55-$X$33)</f>
        <v>2860251.1431963677</v>
      </c>
      <c r="Z56" s="104">
        <f t="shared" si="7"/>
        <v>2651767.4373687841</v>
      </c>
      <c r="AA56" s="105">
        <f>AA34*(1+T_1!O10)^($X$55-$X$33)</f>
        <v>1291.6521585848677</v>
      </c>
      <c r="AB56" s="105">
        <f t="shared" si="8"/>
        <v>48213.953406705172</v>
      </c>
      <c r="AC56" s="105">
        <f t="shared" si="9"/>
        <v>49505.60556529004</v>
      </c>
      <c r="AD56" s="104">
        <f>AD34*(1+Trip_Growth)^($X$55-$X$33)</f>
        <v>444458.47542434762</v>
      </c>
      <c r="AE56" s="104">
        <f t="shared" si="10"/>
        <v>412061.89715066686</v>
      </c>
      <c r="AF56" s="105">
        <f>AF34*(1+T_1!P10)^($X$55-$X$33)</f>
        <v>495.00513793097156</v>
      </c>
      <c r="AG56" s="105">
        <f t="shared" si="11"/>
        <v>7492.0344936484889</v>
      </c>
      <c r="AH56" s="105">
        <f t="shared" si="12"/>
        <v>7987.0396315794605</v>
      </c>
      <c r="AI56" s="112" t="s">
        <v>28</v>
      </c>
      <c r="AJ56" s="104">
        <f>AJ34*(1+Trip_Growth)^($AI$55-$AI$33)</f>
        <v>2860251.1431963677</v>
      </c>
      <c r="AK56" s="104">
        <f t="shared" si="13"/>
        <v>2651767.4373687841</v>
      </c>
      <c r="AL56" s="105">
        <f>AL34*(1+T_1!O10)^($AI$55-$AI$33)*(1-Percent_Reduction)</f>
        <v>49.926115332157835</v>
      </c>
      <c r="AM56" s="105">
        <f t="shared" si="47"/>
        <v>48213.953406705172</v>
      </c>
      <c r="AN56" s="105">
        <f t="shared" si="15"/>
        <v>48263.879522037329</v>
      </c>
      <c r="AO56" s="104">
        <f>AO34*(1+Trip_Growth)^($AI$55-$AI$33)</f>
        <v>444458.47542434762</v>
      </c>
      <c r="AP56" s="104">
        <f t="shared" si="28"/>
        <v>412061.89715066686</v>
      </c>
      <c r="AQ56" s="105">
        <f>AQ34*(1+T_1!P10)^($AI$55-$AI$33)*(1-Percent_Reduction)</f>
        <v>19.133389312358414</v>
      </c>
      <c r="AR56" s="105">
        <f t="shared" si="48"/>
        <v>7492.0344936484889</v>
      </c>
      <c r="AS56" s="105">
        <f t="shared" si="30"/>
        <v>7511.1678829608472</v>
      </c>
    </row>
    <row r="57" spans="1:45" ht="14.45" x14ac:dyDescent="0.3">
      <c r="A57" s="112" t="s">
        <v>37</v>
      </c>
      <c r="B57" s="104">
        <f>B35*(1+Trip_Growth)^($A$55-$A$33)</f>
        <v>5647448.0547994729</v>
      </c>
      <c r="C57" s="104">
        <f t="shared" si="0"/>
        <v>15143519.00998369</v>
      </c>
      <c r="D57" s="105">
        <f>D35*(1+T_1!M11)^($A$55-$A$33)</f>
        <v>96815.6517858351</v>
      </c>
      <c r="E57" s="105">
        <f t="shared" si="1"/>
        <v>275336.70927243074</v>
      </c>
      <c r="F57" s="105">
        <f t="shared" si="24"/>
        <v>372152.36105826584</v>
      </c>
      <c r="G57" s="104">
        <f>G35*(1+Trip_Growth)^($A$55-$A$33)</f>
        <v>827255.62156785943</v>
      </c>
      <c r="H57" s="104">
        <f t="shared" si="2"/>
        <v>2218269.4041217836</v>
      </c>
      <c r="I57" s="105">
        <f>I35*(1+T_1!N11)^($A$55-$A$33)</f>
        <v>11613.972740502601</v>
      </c>
      <c r="J57" s="105">
        <f t="shared" si="3"/>
        <v>40332.170984032433</v>
      </c>
      <c r="K57" s="105">
        <f t="shared" si="25"/>
        <v>51946.143724535032</v>
      </c>
      <c r="L57" s="112" t="s">
        <v>37</v>
      </c>
      <c r="M57" s="104">
        <f>M35*(1+Trip_Growth)^($L$55-$L$33)</f>
        <v>5647448.0547994729</v>
      </c>
      <c r="N57" s="104">
        <f t="shared" si="4"/>
        <v>15143519.00998369</v>
      </c>
      <c r="O57" s="105">
        <f>O35*(1+T_1!M11)^($L$55-$L$33)*(1-Percent_Reduction)</f>
        <v>3742.2067271682135</v>
      </c>
      <c r="P57" s="105">
        <f t="shared" si="45"/>
        <v>275336.70927243074</v>
      </c>
      <c r="Q57" s="105">
        <f t="shared" si="36"/>
        <v>279078.91599959898</v>
      </c>
      <c r="R57" s="104">
        <f>R35*(1+Trip_Growth)^($L$55-$L$33)</f>
        <v>827255.62156785943</v>
      </c>
      <c r="S57" s="104">
        <f t="shared" si="26"/>
        <v>2218269.4041217836</v>
      </c>
      <c r="T57" s="105">
        <f>T35*(1+T_1!N11)^($L$55-$L$33)*(1-Percent_Reduction)</f>
        <v>448.91384933087755</v>
      </c>
      <c r="U57" s="105">
        <f t="shared" si="46"/>
        <v>40332.170984032433</v>
      </c>
      <c r="V57" s="105">
        <f t="shared" si="38"/>
        <v>40781.084833363311</v>
      </c>
      <c r="X57" s="112" t="s">
        <v>37</v>
      </c>
      <c r="Y57" s="104">
        <f>Y35*(1+Trip_Growth)^($X$55-$X$33)</f>
        <v>4124280.2744230544</v>
      </c>
      <c r="Z57" s="104">
        <f t="shared" si="7"/>
        <v>3823661.4852203573</v>
      </c>
      <c r="AA57" s="105">
        <f>AA35*(1+T_1!O11)^($X$55-$X$33)</f>
        <v>1642.1813069482591</v>
      </c>
      <c r="AB57" s="105">
        <f t="shared" si="8"/>
        <v>69521.11791309742</v>
      </c>
      <c r="AC57" s="105">
        <f t="shared" si="9"/>
        <v>71163.299220045679</v>
      </c>
      <c r="AD57" s="104">
        <f>AD35*(1+Trip_Growth)^($X$55-$X$33)</f>
        <v>583581.49089193658</v>
      </c>
      <c r="AE57" s="104">
        <f t="shared" si="10"/>
        <v>541044.23602082324</v>
      </c>
      <c r="AF57" s="105">
        <f>AF35*(1+T_1!P11)^($X$55-$X$33)</f>
        <v>258.55331658020992</v>
      </c>
      <c r="AG57" s="105">
        <f t="shared" si="11"/>
        <v>9837.1679276513332</v>
      </c>
      <c r="AH57" s="105">
        <f t="shared" si="12"/>
        <v>10095.721244231543</v>
      </c>
      <c r="AI57" s="112" t="s">
        <v>37</v>
      </c>
      <c r="AJ57" s="104">
        <f>AJ35*(1+Trip_Growth)^($AI$55-$AI$33)</f>
        <v>4124280.2744230544</v>
      </c>
      <c r="AK57" s="104">
        <f t="shared" si="13"/>
        <v>3823661.4852203573</v>
      </c>
      <c r="AL57" s="105">
        <f>AL35*(1+T_1!O11)^($AI$55-$AI$33)*(1-Percent_Reduction)</f>
        <v>63.47508714485339</v>
      </c>
      <c r="AM57" s="105">
        <f t="shared" si="47"/>
        <v>69521.11791309742</v>
      </c>
      <c r="AN57" s="105">
        <f t="shared" si="15"/>
        <v>69584.593000242268</v>
      </c>
      <c r="AO57" s="104">
        <f>AO35*(1+Trip_Growth)^($AI$55-$AI$33)</f>
        <v>583581.49089193658</v>
      </c>
      <c r="AP57" s="104">
        <f t="shared" si="28"/>
        <v>541044.23602082324</v>
      </c>
      <c r="AQ57" s="105">
        <f>AQ35*(1+T_1!P11)^($AI$55-$AI$33)*(1-Percent_Reduction)</f>
        <v>9.9938382151105447</v>
      </c>
      <c r="AR57" s="105">
        <f t="shared" si="48"/>
        <v>9837.1679276513332</v>
      </c>
      <c r="AS57" s="105">
        <f t="shared" si="30"/>
        <v>9847.1617658664436</v>
      </c>
    </row>
    <row r="58" spans="1:45" ht="14.45" x14ac:dyDescent="0.3">
      <c r="A58" s="112" t="s">
        <v>29</v>
      </c>
      <c r="B58" s="104">
        <f>B36*(1+Trip_Growth)^($A$55-$A$33)</f>
        <v>5043851.8263105927</v>
      </c>
      <c r="C58" s="104">
        <f t="shared" si="0"/>
        <v>13524987.795215329</v>
      </c>
      <c r="D58" s="105">
        <f>D36*(1+T_1!M12)^($A$55-$A$33)</f>
        <v>241010.32859187873</v>
      </c>
      <c r="E58" s="105">
        <f t="shared" si="1"/>
        <v>245908.86900391508</v>
      </c>
      <c r="F58" s="105">
        <f t="shared" si="24"/>
        <v>486919.19759579381</v>
      </c>
      <c r="G58" s="104">
        <f>G36*(1+Trip_Growth)^($A$55-$A$33)</f>
        <v>635647.70074783033</v>
      </c>
      <c r="H58" s="104">
        <f t="shared" si="2"/>
        <v>1704476.596601292</v>
      </c>
      <c r="I58" s="105">
        <f>I36*(1+T_1!N12)^($A$55-$A$33)</f>
        <v>29321.539267654705</v>
      </c>
      <c r="J58" s="105">
        <f t="shared" si="3"/>
        <v>30990.483574568949</v>
      </c>
      <c r="K58" s="105">
        <f t="shared" si="25"/>
        <v>60312.022842223654</v>
      </c>
      <c r="L58" s="112" t="s">
        <v>29</v>
      </c>
      <c r="M58" s="104">
        <f>M36*(1+Trip_Growth)^($L$55-$L$33)</f>
        <v>5043851.8263105927</v>
      </c>
      <c r="N58" s="104">
        <f t="shared" si="4"/>
        <v>13524987.795215329</v>
      </c>
      <c r="O58" s="105">
        <f>O36*(1+T_1!M12)^($L$55-$L$33)*(1-Percent_Reduction)</f>
        <v>9315.7506698261659</v>
      </c>
      <c r="P58" s="105">
        <f t="shared" si="45"/>
        <v>245908.86900391508</v>
      </c>
      <c r="Q58" s="105">
        <f t="shared" si="36"/>
        <v>255224.61967374125</v>
      </c>
      <c r="R58" s="104">
        <f>R36*(1+Trip_Growth)^($L$55-$L$33)</f>
        <v>635647.70074783033</v>
      </c>
      <c r="S58" s="104">
        <f t="shared" si="26"/>
        <v>1704476.596601292</v>
      </c>
      <c r="T58" s="105">
        <f>T36*(1+T_1!N12)^($L$55-$L$33)*(1-Percent_Reduction)</f>
        <v>1133.3628341527969</v>
      </c>
      <c r="U58" s="105">
        <f t="shared" si="46"/>
        <v>30990.483574568949</v>
      </c>
      <c r="V58" s="105">
        <f t="shared" si="38"/>
        <v>32123.846408721747</v>
      </c>
      <c r="X58" s="112" t="s">
        <v>29</v>
      </c>
      <c r="Y58" s="104">
        <f>Y36*(1+Trip_Growth)^($X$55-$X$33)</f>
        <v>3830859.4312457051</v>
      </c>
      <c r="Z58" s="104">
        <f t="shared" si="7"/>
        <v>3551628.0873022052</v>
      </c>
      <c r="AA58" s="105">
        <f>AA36*(1+T_1!O12)^($X$55-$X$33)</f>
        <v>7199.9095343511517</v>
      </c>
      <c r="AB58" s="105">
        <f t="shared" si="8"/>
        <v>64575.056132767371</v>
      </c>
      <c r="AC58" s="105">
        <f t="shared" si="9"/>
        <v>71774.965667118522</v>
      </c>
      <c r="AD58" s="104">
        <f>AD36*(1+Trip_Growth)^($X$55-$X$33)</f>
        <v>348943.3073006543</v>
      </c>
      <c r="AE58" s="104">
        <f t="shared" si="10"/>
        <v>323508.82963150955</v>
      </c>
      <c r="AF58" s="105">
        <f>AF36*(1+T_1!P12)^($X$55-$X$33)</f>
        <v>940.7704888029956</v>
      </c>
      <c r="AG58" s="105">
        <f t="shared" si="11"/>
        <v>5881.9787205729017</v>
      </c>
      <c r="AH58" s="105">
        <f t="shared" si="12"/>
        <v>6822.7492093758974</v>
      </c>
      <c r="AI58" s="112" t="s">
        <v>29</v>
      </c>
      <c r="AJ58" s="104">
        <f>AJ36*(1+Trip_Growth)^($AI$55-$AI$33)</f>
        <v>3830859.4312457051</v>
      </c>
      <c r="AK58" s="104">
        <f t="shared" si="13"/>
        <v>3551628.0873022052</v>
      </c>
      <c r="AL58" s="105">
        <f>AL36*(1+T_1!O12)^($AI$55-$AI$33)*(1-Percent_Reduction)</f>
        <v>278.29745911387329</v>
      </c>
      <c r="AM58" s="105">
        <f t="shared" si="47"/>
        <v>64575.056132767371</v>
      </c>
      <c r="AN58" s="105">
        <f t="shared" si="15"/>
        <v>64853.353591881241</v>
      </c>
      <c r="AO58" s="104">
        <f>AO36*(1+Trip_Growth)^($AI$55-$AI$33)</f>
        <v>348943.3073006543</v>
      </c>
      <c r="AP58" s="104">
        <f t="shared" si="28"/>
        <v>323508.82963150955</v>
      </c>
      <c r="AQ58" s="105">
        <f>AQ36*(1+T_1!P12)^($AI$55-$AI$33)*(1-Percent_Reduction)</f>
        <v>36.363517540610971</v>
      </c>
      <c r="AR58" s="105">
        <f t="shared" si="48"/>
        <v>5881.9787205729017</v>
      </c>
      <c r="AS58" s="105">
        <f t="shared" si="30"/>
        <v>5918.3422381135124</v>
      </c>
    </row>
    <row r="59" spans="1:45" ht="14.45" x14ac:dyDescent="0.3">
      <c r="A59" s="112" t="s">
        <v>38</v>
      </c>
      <c r="B59" s="104">
        <f>B37*(1+Trip_Growth)^($A$55-$A$33)</f>
        <v>4608535.8401398594</v>
      </c>
      <c r="C59" s="104">
        <f t="shared" si="0"/>
        <v>12357696.684618231</v>
      </c>
      <c r="D59" s="105">
        <f>D37*(1+T_1!M13)^($A$55-$A$33)</f>
        <v>56161.567619274756</v>
      </c>
      <c r="E59" s="105">
        <f t="shared" si="1"/>
        <v>224685.39426578602</v>
      </c>
      <c r="F59" s="105">
        <f t="shared" si="24"/>
        <v>280846.96188506077</v>
      </c>
      <c r="G59" s="104">
        <f>G37*(1+Trip_Growth)^($A$55-$A$33)</f>
        <v>862861.40437210386</v>
      </c>
      <c r="H59" s="104">
        <f t="shared" si="2"/>
        <v>2313745.5985957091</v>
      </c>
      <c r="I59" s="105">
        <f>I37*(1+T_1!N13)^($A$55-$A$33)</f>
        <v>5607.6672226933224</v>
      </c>
      <c r="J59" s="105">
        <f t="shared" si="3"/>
        <v>42068.101792649257</v>
      </c>
      <c r="K59" s="105">
        <f t="shared" si="25"/>
        <v>47675.769015342579</v>
      </c>
      <c r="L59" s="112" t="s">
        <v>38</v>
      </c>
      <c r="M59" s="104">
        <f>M37*(1+Trip_Growth)^($L$55-$L$33)</f>
        <v>4608535.8401398594</v>
      </c>
      <c r="N59" s="104">
        <f t="shared" si="4"/>
        <v>12357696.684618231</v>
      </c>
      <c r="O59" s="105">
        <f>O37*(1+T_1!M13)^($L$55-$L$33)*(1-Percent_Reduction)</f>
        <v>2170.8080488687242</v>
      </c>
      <c r="P59" s="105">
        <f t="shared" si="45"/>
        <v>224685.39426578602</v>
      </c>
      <c r="Q59" s="105">
        <f t="shared" si="36"/>
        <v>226856.20231465474</v>
      </c>
      <c r="R59" s="104">
        <f>R37*(1+Trip_Growth)^($L$55-$L$33)</f>
        <v>862861.40437210386</v>
      </c>
      <c r="S59" s="104">
        <f t="shared" si="26"/>
        <v>2313745.5985957091</v>
      </c>
      <c r="T59" s="105">
        <f>T37*(1+T_1!N13)^($L$55-$L$33)*(1-Percent_Reduction)</f>
        <v>216.75265948634478</v>
      </c>
      <c r="U59" s="105">
        <f t="shared" si="46"/>
        <v>42068.101792649257</v>
      </c>
      <c r="V59" s="105">
        <f t="shared" si="38"/>
        <v>42284.854452135602</v>
      </c>
      <c r="X59" s="112" t="s">
        <v>38</v>
      </c>
      <c r="Y59" s="104">
        <f>Y37*(1+Trip_Growth)^($X$55-$X$33)</f>
        <v>2682050.9904522272</v>
      </c>
      <c r="Z59" s="104">
        <f t="shared" si="7"/>
        <v>2486556.2937581642</v>
      </c>
      <c r="AA59" s="105">
        <f>AA37*(1+T_1!O13)^($X$55-$X$33)</f>
        <v>3212.6874789944936</v>
      </c>
      <c r="AB59" s="105">
        <f t="shared" si="8"/>
        <v>45210.11443196662</v>
      </c>
      <c r="AC59" s="105">
        <f t="shared" si="9"/>
        <v>48422.801910961112</v>
      </c>
      <c r="AD59" s="104">
        <f>AD37*(1+Trip_Growth)^($X$55-$X$33)</f>
        <v>708953.49143952318</v>
      </c>
      <c r="AE59" s="104">
        <f t="shared" si="10"/>
        <v>657277.87144849624</v>
      </c>
      <c r="AF59" s="105">
        <f>AF37*(1+T_1!P13)^($X$55-$X$33)</f>
        <v>655.02472178959033</v>
      </c>
      <c r="AG59" s="105">
        <f t="shared" si="11"/>
        <v>11950.506753609025</v>
      </c>
      <c r="AH59" s="105">
        <f t="shared" si="12"/>
        <v>12605.531475398615</v>
      </c>
      <c r="AI59" s="112" t="s">
        <v>38</v>
      </c>
      <c r="AJ59" s="104">
        <f>AJ37*(1+Trip_Growth)^($AI$55-$AI$33)</f>
        <v>2682050.9904522272</v>
      </c>
      <c r="AK59" s="104">
        <f t="shared" si="13"/>
        <v>2486556.2937581642</v>
      </c>
      <c r="AL59" s="105">
        <f>AL37*(1+T_1!O13)^($AI$55-$AI$33)*(1-Percent_Reduction)</f>
        <v>124.17972171253074</v>
      </c>
      <c r="AM59" s="105">
        <f t="shared" si="47"/>
        <v>45210.11443196662</v>
      </c>
      <c r="AN59" s="105">
        <f t="shared" si="15"/>
        <v>45334.294153679148</v>
      </c>
      <c r="AO59" s="104">
        <f>AO37*(1+Trip_Growth)^($AI$55-$AI$33)</f>
        <v>708953.49143952318</v>
      </c>
      <c r="AP59" s="104">
        <f t="shared" si="28"/>
        <v>657277.87144849624</v>
      </c>
      <c r="AQ59" s="105">
        <f>AQ37*(1+T_1!P13)^($AI$55-$AI$33)*(1-Percent_Reduction)</f>
        <v>25.318611971593707</v>
      </c>
      <c r="AR59" s="105">
        <f t="shared" si="48"/>
        <v>11950.506753609025</v>
      </c>
      <c r="AS59" s="105">
        <f t="shared" si="30"/>
        <v>11975.825365580618</v>
      </c>
    </row>
    <row r="60" spans="1:45" x14ac:dyDescent="0.25">
      <c r="A60" s="110">
        <f>A55+1</f>
        <v>2025</v>
      </c>
      <c r="B60" s="106">
        <f t="shared" ref="B60:B75" si="49">B$33*(1+Trip_Growth)^(A60-A$33)</f>
        <v>20081691.913563013</v>
      </c>
      <c r="C60" s="102">
        <f t="shared" si="0"/>
        <v>53848655.232380949</v>
      </c>
      <c r="D60" s="107">
        <f>D$33*(1+T_1!$M$14)^(A60-A$33)</f>
        <v>449738.68787713727</v>
      </c>
      <c r="E60" s="107">
        <f t="shared" si="1"/>
        <v>979066.45877056278</v>
      </c>
      <c r="F60" s="107">
        <f t="shared" si="24"/>
        <v>1428805.1466477001</v>
      </c>
      <c r="G60" s="106">
        <f t="shared" ref="G60:G75" si="50">G$33*(1+Trip_Growth)^(A60-A$33)</f>
        <v>3089971.8933195653</v>
      </c>
      <c r="H60" s="102">
        <f t="shared" si="2"/>
        <v>8285697.8324985486</v>
      </c>
      <c r="I60" s="107">
        <f>I$33*(1+T_1!$N$14)^(A60-A$33)</f>
        <v>54160.720803880286</v>
      </c>
      <c r="J60" s="107">
        <f t="shared" si="3"/>
        <v>150649.0514999736</v>
      </c>
      <c r="K60" s="107">
        <f t="shared" si="25"/>
        <v>204809.77230385388</v>
      </c>
      <c r="L60" s="110">
        <f>L55+1</f>
        <v>2025</v>
      </c>
      <c r="M60" s="106">
        <f t="shared" ref="M60:M75" si="51">M$33*(1+Trip_Growth)^(L60-L$33)</f>
        <v>20081691.913563013</v>
      </c>
      <c r="N60" s="102">
        <f t="shared" si="4"/>
        <v>53848655.232380949</v>
      </c>
      <c r="O60" s="107">
        <f t="shared" ref="O60:O75" si="52">D60*(1-Percent_Reduction)</f>
        <v>17383.70926804902</v>
      </c>
      <c r="P60" s="107">
        <f t="shared" si="45"/>
        <v>979066.45877056278</v>
      </c>
      <c r="Q60" s="107">
        <f t="shared" si="36"/>
        <v>996450.16803861177</v>
      </c>
      <c r="R60" s="106">
        <f t="shared" ref="R60:R75" si="53">R$33*(1+Trip_Growth)^(L60-L$33)</f>
        <v>3089971.8933195653</v>
      </c>
      <c r="S60" s="102">
        <f t="shared" si="26"/>
        <v>8285697.8324985486</v>
      </c>
      <c r="T60" s="107">
        <f t="shared" ref="T60:T75" si="54">I60*(1-Percent_Reduction)</f>
        <v>2093.4694959127878</v>
      </c>
      <c r="U60" s="107">
        <f t="shared" si="46"/>
        <v>150649.0514999736</v>
      </c>
      <c r="V60" s="107">
        <f t="shared" si="38"/>
        <v>152742.52099588639</v>
      </c>
      <c r="X60" s="110">
        <f>X55+1</f>
        <v>2025</v>
      </c>
      <c r="Y60" s="106">
        <f t="shared" ref="Y60:Y74" si="55">Y$33*(1+Trip_Growth)^(X60-X$33)</f>
        <v>13618918.815871209</v>
      </c>
      <c r="Z60" s="102">
        <f t="shared" si="7"/>
        <v>12626235.823382355</v>
      </c>
      <c r="AA60" s="107">
        <f>AA$33*(1+T_1!$O$14)^(X60-X$33)</f>
        <v>13792.082851213912</v>
      </c>
      <c r="AB60" s="107">
        <f t="shared" si="8"/>
        <v>229567.92406149738</v>
      </c>
      <c r="AC60" s="107">
        <f t="shared" si="9"/>
        <v>243360.00691271131</v>
      </c>
      <c r="AD60" s="106">
        <f t="shared" ref="AD60:AD75" si="56">AD$33*(1+Trip_Growth)^(X60-X$33)</f>
        <v>2104710.1959419693</v>
      </c>
      <c r="AE60" s="102">
        <f t="shared" si="10"/>
        <v>1951297.8697597589</v>
      </c>
      <c r="AF60" s="107">
        <f>AF$33*(1+T_1!$P$14)^(X60-X$33)</f>
        <v>2437.5598174723027</v>
      </c>
      <c r="AG60" s="107">
        <f t="shared" si="11"/>
        <v>35478.143086541073</v>
      </c>
      <c r="AH60" s="107">
        <f t="shared" si="12"/>
        <v>37915.702904013378</v>
      </c>
      <c r="AI60" s="110">
        <f>AI55+1</f>
        <v>2025</v>
      </c>
      <c r="AJ60" s="106">
        <f>AJ55+((AJ$75-AJ$33)*1/26)</f>
        <v>13710303.14638067</v>
      </c>
      <c r="AK60" s="102">
        <f t="shared" si="13"/>
        <v>12710959.150040982</v>
      </c>
      <c r="AL60" s="107">
        <f t="shared" ref="AL60:AL75" si="57">AA60*(1-Percent_Reduction)</f>
        <v>533.10414458238893</v>
      </c>
      <c r="AM60" s="107">
        <f t="shared" si="47"/>
        <v>231108.34818256332</v>
      </c>
      <c r="AN60" s="107">
        <f t="shared" si="15"/>
        <v>231641.4523271457</v>
      </c>
      <c r="AO60" s="106">
        <f>AO55+((AO$75-AO$33)*1/26)</f>
        <v>2118833.0154383625</v>
      </c>
      <c r="AP60" s="102">
        <f t="shared" si="28"/>
        <v>1964391.2769430601</v>
      </c>
      <c r="AQ60" s="107">
        <f t="shared" ref="AQ60:AQ75" si="58">AF60*(1-Percent_Reduction)</f>
        <v>94.21878155608691</v>
      </c>
      <c r="AR60" s="107">
        <f t="shared" si="48"/>
        <v>35716.20503532837</v>
      </c>
      <c r="AS60" s="107">
        <f t="shared" si="30"/>
        <v>35810.42381688446</v>
      </c>
    </row>
    <row r="61" spans="1:45" x14ac:dyDescent="0.25">
      <c r="A61" s="110">
        <f t="shared" si="41"/>
        <v>2026</v>
      </c>
      <c r="B61" s="106">
        <f t="shared" si="49"/>
        <v>20262427.140785083</v>
      </c>
      <c r="C61" s="102">
        <f t="shared" si="0"/>
        <v>54333293.12947239</v>
      </c>
      <c r="D61" s="107">
        <f>D$33*(1+T_1!$M$14)^(A61-A$33)</f>
        <v>463850.73392302339</v>
      </c>
      <c r="E61" s="107">
        <f t="shared" si="1"/>
        <v>987878.05689949798</v>
      </c>
      <c r="F61" s="107">
        <f t="shared" si="24"/>
        <v>1451728.7908225213</v>
      </c>
      <c r="G61" s="106">
        <f t="shared" si="50"/>
        <v>3117781.6403594422</v>
      </c>
      <c r="H61" s="102">
        <f t="shared" si="2"/>
        <v>8360269.1129910378</v>
      </c>
      <c r="I61" s="107">
        <f>I$33*(1+T_1!$N$14)^(A61-A$33)</f>
        <v>55874.34423618186</v>
      </c>
      <c r="J61" s="107">
        <f t="shared" si="3"/>
        <v>152004.89296347342</v>
      </c>
      <c r="K61" s="107">
        <f t="shared" si="25"/>
        <v>207879.23719965527</v>
      </c>
      <c r="L61" s="110">
        <f t="shared" si="42"/>
        <v>2026</v>
      </c>
      <c r="M61" s="106">
        <f t="shared" si="51"/>
        <v>20262427.140785083</v>
      </c>
      <c r="N61" s="102">
        <f t="shared" si="4"/>
        <v>54333293.12947239</v>
      </c>
      <c r="O61" s="107">
        <f t="shared" si="52"/>
        <v>17929.180921370567</v>
      </c>
      <c r="P61" s="107">
        <f t="shared" si="45"/>
        <v>987878.05689949798</v>
      </c>
      <c r="Q61" s="107">
        <f t="shared" si="36"/>
        <v>1005807.2378208685</v>
      </c>
      <c r="R61" s="106">
        <f t="shared" si="53"/>
        <v>3117781.6403594422</v>
      </c>
      <c r="S61" s="102">
        <f t="shared" si="26"/>
        <v>8360269.1129910378</v>
      </c>
      <c r="T61" s="107">
        <f t="shared" si="54"/>
        <v>2159.7060291375765</v>
      </c>
      <c r="U61" s="107">
        <f t="shared" si="46"/>
        <v>152004.89296347342</v>
      </c>
      <c r="V61" s="107">
        <f t="shared" si="38"/>
        <v>154164.59899261099</v>
      </c>
      <c r="X61" s="110">
        <f t="shared" ref="X61:X75" si="59">X60+1</f>
        <v>2026</v>
      </c>
      <c r="Y61" s="106">
        <f t="shared" si="55"/>
        <v>13741489.085214052</v>
      </c>
      <c r="Z61" s="102">
        <f t="shared" si="7"/>
        <v>12739871.945792798</v>
      </c>
      <c r="AA61" s="107">
        <f>AA$33*(1+T_1!$O$14)^(X61-X$33)</f>
        <v>14234.549191524098</v>
      </c>
      <c r="AB61" s="107">
        <f t="shared" si="8"/>
        <v>231634.0353780509</v>
      </c>
      <c r="AC61" s="107">
        <f t="shared" si="9"/>
        <v>245868.584569575</v>
      </c>
      <c r="AD61" s="106">
        <f t="shared" si="56"/>
        <v>2123652.5877054473</v>
      </c>
      <c r="AE61" s="102">
        <f t="shared" si="10"/>
        <v>1968859.5505875971</v>
      </c>
      <c r="AF61" s="107">
        <f>AF$33*(1+T_1!$P$14)^(X61-X$33)</f>
        <v>2523.0938380607854</v>
      </c>
      <c r="AG61" s="107">
        <f t="shared" si="11"/>
        <v>35797.446374319952</v>
      </c>
      <c r="AH61" s="107">
        <f t="shared" si="12"/>
        <v>38320.540212380736</v>
      </c>
      <c r="AI61" s="110">
        <f t="shared" ref="AI61:AI75" si="60">AI60+1</f>
        <v>2026</v>
      </c>
      <c r="AJ61" s="106">
        <f t="shared" ref="AJ61:AJ74" si="61">AJ60+((AJ$75-AJ$33)*1/26)</f>
        <v>13834812.503773058</v>
      </c>
      <c r="AK61" s="102">
        <f t="shared" si="13"/>
        <v>12826393.020373037</v>
      </c>
      <c r="AL61" s="107">
        <f t="shared" si="57"/>
        <v>550.20675645053041</v>
      </c>
      <c r="AM61" s="107">
        <f t="shared" si="47"/>
        <v>233207.14582496436</v>
      </c>
      <c r="AN61" s="107">
        <f t="shared" si="15"/>
        <v>233757.35258141489</v>
      </c>
      <c r="AO61" s="106">
        <f t="shared" ref="AO61:AO74" si="62">AO60+((AO$75-AO$33)*1/26)</f>
        <v>2138075.0799177061</v>
      </c>
      <c r="AP61" s="102">
        <f t="shared" si="28"/>
        <v>1982230.7873425041</v>
      </c>
      <c r="AQ61" s="107">
        <f t="shared" si="58"/>
        <v>97.524920401859745</v>
      </c>
      <c r="AR61" s="107">
        <f t="shared" si="48"/>
        <v>36040.559769863714</v>
      </c>
      <c r="AS61" s="107">
        <f t="shared" si="30"/>
        <v>36138.084690265576</v>
      </c>
    </row>
    <row r="62" spans="1:45" x14ac:dyDescent="0.25">
      <c r="A62" s="110">
        <f t="shared" si="41"/>
        <v>2027</v>
      </c>
      <c r="B62" s="106">
        <f t="shared" si="49"/>
        <v>20444788.985052146</v>
      </c>
      <c r="C62" s="102">
        <f t="shared" si="0"/>
        <v>54822292.767637633</v>
      </c>
      <c r="D62" s="107">
        <f>D$33*(1+T_1!$M$14)^(A62-A$33)</f>
        <v>478405.59231521044</v>
      </c>
      <c r="E62" s="107">
        <f t="shared" si="1"/>
        <v>996768.95941159327</v>
      </c>
      <c r="F62" s="107">
        <f t="shared" si="24"/>
        <v>1475174.5517268036</v>
      </c>
      <c r="G62" s="106">
        <f t="shared" si="50"/>
        <v>3145841.6751226764</v>
      </c>
      <c r="H62" s="102">
        <f t="shared" si="2"/>
        <v>8435511.5350079555</v>
      </c>
      <c r="I62" s="107">
        <f>I$33*(1+T_1!$N$14)^(A62-A$33)</f>
        <v>57642.186024962975</v>
      </c>
      <c r="J62" s="107">
        <f t="shared" si="3"/>
        <v>153372.93700014462</v>
      </c>
      <c r="K62" s="107">
        <f t="shared" si="25"/>
        <v>211015.1230251076</v>
      </c>
      <c r="L62" s="110">
        <f t="shared" si="42"/>
        <v>2027</v>
      </c>
      <c r="M62" s="106">
        <f t="shared" si="51"/>
        <v>20444788.985052146</v>
      </c>
      <c r="N62" s="102">
        <f t="shared" si="4"/>
        <v>54822292.767637633</v>
      </c>
      <c r="O62" s="107">
        <f t="shared" si="52"/>
        <v>18491.768560698863</v>
      </c>
      <c r="P62" s="107">
        <f t="shared" si="45"/>
        <v>996768.95941159327</v>
      </c>
      <c r="Q62" s="107">
        <f t="shared" si="36"/>
        <v>1015260.7279722921</v>
      </c>
      <c r="R62" s="106">
        <f t="shared" si="53"/>
        <v>3145841.6751226764</v>
      </c>
      <c r="S62" s="102">
        <f t="shared" si="26"/>
        <v>8435511.5350079555</v>
      </c>
      <c r="T62" s="107">
        <f t="shared" si="54"/>
        <v>2228.0382596448931</v>
      </c>
      <c r="U62" s="107">
        <f t="shared" si="46"/>
        <v>153372.93700014462</v>
      </c>
      <c r="V62" s="107">
        <f t="shared" si="38"/>
        <v>155600.97525978953</v>
      </c>
      <c r="X62" s="110">
        <f t="shared" si="59"/>
        <v>2027</v>
      </c>
      <c r="Y62" s="106">
        <f t="shared" si="55"/>
        <v>13865162.486980977</v>
      </c>
      <c r="Z62" s="102">
        <f t="shared" si="7"/>
        <v>12854530.793304931</v>
      </c>
      <c r="AA62" s="107">
        <f>AA$33*(1+T_1!$O$14)^(X62-X$33)</f>
        <v>14691.210375674729</v>
      </c>
      <c r="AB62" s="107">
        <f t="shared" si="8"/>
        <v>233718.74169645333</v>
      </c>
      <c r="AC62" s="107">
        <f t="shared" si="9"/>
        <v>248409.95207212807</v>
      </c>
      <c r="AD62" s="106">
        <f t="shared" si="56"/>
        <v>2142765.4609947964</v>
      </c>
      <c r="AE62" s="102">
        <f t="shared" si="10"/>
        <v>1986579.2865428855</v>
      </c>
      <c r="AF62" s="107">
        <f>AF$33*(1+T_1!$P$14)^(X62-X$33)</f>
        <v>2611.6292490666806</v>
      </c>
      <c r="AG62" s="107">
        <f t="shared" si="11"/>
        <v>36119.62339168883</v>
      </c>
      <c r="AH62" s="107">
        <f t="shared" si="12"/>
        <v>38731.252640755512</v>
      </c>
      <c r="AI62" s="110">
        <f t="shared" si="60"/>
        <v>2027</v>
      </c>
      <c r="AJ62" s="106">
        <f t="shared" si="61"/>
        <v>13959321.861165445</v>
      </c>
      <c r="AK62" s="102">
        <f t="shared" si="13"/>
        <v>12941826.890705094</v>
      </c>
      <c r="AL62" s="107">
        <f t="shared" si="57"/>
        <v>567.85804034773935</v>
      </c>
      <c r="AM62" s="107">
        <f t="shared" si="47"/>
        <v>235305.94346736537</v>
      </c>
      <c r="AN62" s="107">
        <f t="shared" si="15"/>
        <v>235873.80150771313</v>
      </c>
      <c r="AO62" s="106">
        <f t="shared" si="62"/>
        <v>2157317.1443970497</v>
      </c>
      <c r="AP62" s="102">
        <f t="shared" si="28"/>
        <v>2000070.2977419484</v>
      </c>
      <c r="AQ62" s="107">
        <f t="shared" si="58"/>
        <v>100.94707172292679</v>
      </c>
      <c r="AR62" s="107">
        <f t="shared" si="48"/>
        <v>36364.914504399065</v>
      </c>
      <c r="AS62" s="107">
        <f t="shared" si="30"/>
        <v>36465.861576121992</v>
      </c>
    </row>
    <row r="63" spans="1:45" x14ac:dyDescent="0.25">
      <c r="A63" s="110">
        <f t="shared" si="41"/>
        <v>2028</v>
      </c>
      <c r="B63" s="106">
        <f t="shared" si="49"/>
        <v>20628792.085917614</v>
      </c>
      <c r="C63" s="102">
        <f t="shared" si="0"/>
        <v>55315693.402546369</v>
      </c>
      <c r="D63" s="107">
        <f>D$33*(1+T_1!$M$14)^(A63-A$33)</f>
        <v>493417.15776275779</v>
      </c>
      <c r="E63" s="107">
        <f t="shared" si="1"/>
        <v>1005739.8800462976</v>
      </c>
      <c r="F63" s="107">
        <f t="shared" si="24"/>
        <v>1499157.0378090553</v>
      </c>
      <c r="G63" s="106">
        <f t="shared" si="50"/>
        <v>3174154.2501987806</v>
      </c>
      <c r="H63" s="102">
        <f t="shared" si="2"/>
        <v>8511431.1388230268</v>
      </c>
      <c r="I63" s="107">
        <f>I$33*(1+T_1!$N$14)^(A63-A$33)</f>
        <v>59465.961617225519</v>
      </c>
      <c r="J63" s="107">
        <f t="shared" si="3"/>
        <v>154753.29343314594</v>
      </c>
      <c r="K63" s="107">
        <f t="shared" si="25"/>
        <v>214219.25505037146</v>
      </c>
      <c r="L63" s="110">
        <f t="shared" si="42"/>
        <v>2028</v>
      </c>
      <c r="M63" s="106">
        <f t="shared" si="51"/>
        <v>20628792.085917614</v>
      </c>
      <c r="N63" s="102">
        <f t="shared" si="4"/>
        <v>55315693.402546369</v>
      </c>
      <c r="O63" s="107">
        <f t="shared" si="52"/>
        <v>19072.009256980131</v>
      </c>
      <c r="P63" s="107">
        <f t="shared" si="45"/>
        <v>1005739.8800462976</v>
      </c>
      <c r="Q63" s="107">
        <f t="shared" si="36"/>
        <v>1024811.8893032777</v>
      </c>
      <c r="R63" s="106">
        <f t="shared" si="53"/>
        <v>3174154.2501987806</v>
      </c>
      <c r="S63" s="102">
        <f t="shared" si="26"/>
        <v>8511431.1388230268</v>
      </c>
      <c r="T63" s="107">
        <f t="shared" si="54"/>
        <v>2298.5324944542344</v>
      </c>
      <c r="U63" s="107">
        <f t="shared" si="46"/>
        <v>154753.29343314594</v>
      </c>
      <c r="V63" s="107">
        <f t="shared" si="38"/>
        <v>157051.82592760018</v>
      </c>
      <c r="X63" s="110">
        <f t="shared" si="59"/>
        <v>2028</v>
      </c>
      <c r="Y63" s="106">
        <f t="shared" si="55"/>
        <v>13989948.949363803</v>
      </c>
      <c r="Z63" s="102">
        <f t="shared" si="7"/>
        <v>12970221.570444673</v>
      </c>
      <c r="AA63" s="107">
        <f>AA$33*(1+T_1!$O$14)^(X63-X$33)</f>
        <v>15162.521791055306</v>
      </c>
      <c r="AB63" s="107">
        <f t="shared" si="8"/>
        <v>235822.21037172136</v>
      </c>
      <c r="AC63" s="107">
        <f t="shared" si="9"/>
        <v>250984.73216277667</v>
      </c>
      <c r="AD63" s="106">
        <f t="shared" si="56"/>
        <v>2162050.3501437493</v>
      </c>
      <c r="AE63" s="102">
        <f t="shared" si="10"/>
        <v>2004458.5001217711</v>
      </c>
      <c r="AF63" s="107">
        <f>AF$33*(1+T_1!$P$14)^(X63-X$33)</f>
        <v>2703.2713693371061</v>
      </c>
      <c r="AG63" s="107">
        <f t="shared" si="11"/>
        <v>36444.700002214027</v>
      </c>
      <c r="AH63" s="107">
        <f t="shared" si="12"/>
        <v>39147.971371551132</v>
      </c>
      <c r="AI63" s="110">
        <f t="shared" si="60"/>
        <v>2028</v>
      </c>
      <c r="AJ63" s="106">
        <f t="shared" si="61"/>
        <v>14083831.218557833</v>
      </c>
      <c r="AK63" s="102">
        <f t="shared" si="13"/>
        <v>13057260.76103715</v>
      </c>
      <c r="AL63" s="107">
        <f t="shared" si="57"/>
        <v>586.07559832204208</v>
      </c>
      <c r="AM63" s="107">
        <f t="shared" si="47"/>
        <v>237404.74110976639</v>
      </c>
      <c r="AN63" s="107">
        <f t="shared" si="15"/>
        <v>237990.81670808842</v>
      </c>
      <c r="AO63" s="106">
        <f t="shared" si="62"/>
        <v>2176559.2088763933</v>
      </c>
      <c r="AP63" s="102">
        <f t="shared" si="28"/>
        <v>2017909.8081413927</v>
      </c>
      <c r="AQ63" s="107">
        <f t="shared" si="58"/>
        <v>104.48930639926371</v>
      </c>
      <c r="AR63" s="107">
        <f t="shared" si="48"/>
        <v>36689.269238934416</v>
      </c>
      <c r="AS63" s="107">
        <f t="shared" si="30"/>
        <v>36793.75854533368</v>
      </c>
    </row>
    <row r="64" spans="1:45" x14ac:dyDescent="0.25">
      <c r="A64" s="110">
        <f t="shared" si="41"/>
        <v>2029</v>
      </c>
      <c r="B64" s="106">
        <f t="shared" si="49"/>
        <v>20814451.214690868</v>
      </c>
      <c r="C64" s="102">
        <f t="shared" si="0"/>
        <v>55813534.643169269</v>
      </c>
      <c r="D64" s="107">
        <f>D$33*(1+T_1!$M$14)^(A64-A$33)</f>
        <v>508899.76096740033</v>
      </c>
      <c r="E64" s="107">
        <f t="shared" si="1"/>
        <v>1014791.5389667141</v>
      </c>
      <c r="F64" s="107">
        <f t="shared" si="24"/>
        <v>1523691.2999341143</v>
      </c>
      <c r="G64" s="106">
        <f t="shared" si="50"/>
        <v>3202721.6384505685</v>
      </c>
      <c r="H64" s="102">
        <f t="shared" si="2"/>
        <v>8588034.0190724302</v>
      </c>
      <c r="I64" s="107">
        <f>I$33*(1+T_1!$N$14)^(A64-A$33)</f>
        <v>61347.440736024902</v>
      </c>
      <c r="J64" s="107">
        <f t="shared" si="3"/>
        <v>156146.07307404419</v>
      </c>
      <c r="K64" s="107">
        <f t="shared" si="25"/>
        <v>217493.5138100691</v>
      </c>
      <c r="L64" s="110">
        <f t="shared" si="42"/>
        <v>2029</v>
      </c>
      <c r="M64" s="106">
        <f t="shared" si="51"/>
        <v>20814451.214690868</v>
      </c>
      <c r="N64" s="102">
        <f t="shared" si="4"/>
        <v>55813534.643169269</v>
      </c>
      <c r="O64" s="107">
        <f t="shared" si="52"/>
        <v>19670.456933546477</v>
      </c>
      <c r="P64" s="107">
        <f t="shared" si="45"/>
        <v>1014791.5389667141</v>
      </c>
      <c r="Q64" s="107">
        <f t="shared" si="36"/>
        <v>1034461.9959002605</v>
      </c>
      <c r="R64" s="106">
        <f t="shared" si="53"/>
        <v>3202721.6384505685</v>
      </c>
      <c r="S64" s="102">
        <f t="shared" si="26"/>
        <v>8588034.0190724302</v>
      </c>
      <c r="T64" s="107">
        <f t="shared" si="54"/>
        <v>2371.2571385125384</v>
      </c>
      <c r="U64" s="107">
        <f t="shared" si="46"/>
        <v>156146.07307404419</v>
      </c>
      <c r="V64" s="107">
        <f t="shared" si="38"/>
        <v>158517.33021255673</v>
      </c>
      <c r="X64" s="110">
        <f t="shared" si="59"/>
        <v>2029</v>
      </c>
      <c r="Y64" s="106">
        <f t="shared" si="55"/>
        <v>14115858.489908075</v>
      </c>
      <c r="Z64" s="102">
        <f t="shared" si="7"/>
        <v>13086953.564578673</v>
      </c>
      <c r="AA64" s="107">
        <f>AA$33*(1+T_1!$O$14)^(X64-X$33)</f>
        <v>15648.953434421719</v>
      </c>
      <c r="AB64" s="107">
        <f t="shared" si="8"/>
        <v>237944.61026506682</v>
      </c>
      <c r="AC64" s="107">
        <f t="shared" si="9"/>
        <v>253593.56369948853</v>
      </c>
      <c r="AD64" s="106">
        <f t="shared" si="56"/>
        <v>2181508.8032950424</v>
      </c>
      <c r="AE64" s="102">
        <f t="shared" si="10"/>
        <v>2022498.6266228664</v>
      </c>
      <c r="AF64" s="107">
        <f>AF$33*(1+T_1!$P$14)^(X64-X$33)</f>
        <v>2798.1292133595384</v>
      </c>
      <c r="AG64" s="107">
        <f t="shared" si="11"/>
        <v>36772.702302233942</v>
      </c>
      <c r="AH64" s="107">
        <f t="shared" si="12"/>
        <v>39570.831515593483</v>
      </c>
      <c r="AI64" s="110">
        <f t="shared" si="60"/>
        <v>2029</v>
      </c>
      <c r="AJ64" s="106">
        <f t="shared" si="61"/>
        <v>14208340.57595022</v>
      </c>
      <c r="AK64" s="102">
        <f t="shared" si="13"/>
        <v>13172694.631369207</v>
      </c>
      <c r="AL64" s="107">
        <f t="shared" si="57"/>
        <v>604.87759711599756</v>
      </c>
      <c r="AM64" s="107">
        <f t="shared" si="47"/>
        <v>239503.53875216743</v>
      </c>
      <c r="AN64" s="107">
        <f t="shared" si="15"/>
        <v>240108.41634928342</v>
      </c>
      <c r="AO64" s="106">
        <f t="shared" si="62"/>
        <v>2195801.2733557369</v>
      </c>
      <c r="AP64" s="102">
        <f t="shared" si="28"/>
        <v>2035749.3185408369</v>
      </c>
      <c r="AQ64" s="107">
        <f t="shared" si="58"/>
        <v>108.15583815810227</v>
      </c>
      <c r="AR64" s="107">
        <f t="shared" si="48"/>
        <v>37013.623973469766</v>
      </c>
      <c r="AS64" s="107">
        <f t="shared" si="30"/>
        <v>37121.779811627872</v>
      </c>
    </row>
    <row r="65" spans="1:45" x14ac:dyDescent="0.25">
      <c r="A65" s="110">
        <f t="shared" si="41"/>
        <v>2030</v>
      </c>
      <c r="B65" s="106">
        <f t="shared" si="49"/>
        <v>21001781.275623087</v>
      </c>
      <c r="C65" s="102">
        <f t="shared" ref="C65:C83" si="63">$J$25*B65</f>
        <v>56315856.454957798</v>
      </c>
      <c r="D65" s="107">
        <f>D$33*(1+T_1!$M$14)^(A65-A$33)</f>
        <v>524868.18230426847</v>
      </c>
      <c r="E65" s="107">
        <f t="shared" ref="E65:E83" si="64">$J$26*B65</f>
        <v>1023924.6628174145</v>
      </c>
      <c r="F65" s="107">
        <f t="shared" si="24"/>
        <v>1548792.8451216831</v>
      </c>
      <c r="G65" s="106">
        <f t="shared" si="50"/>
        <v>3231546.133196624</v>
      </c>
      <c r="H65" s="102">
        <f t="shared" ref="H65:H83" si="65">$J$25*G65</f>
        <v>8665326.325244084</v>
      </c>
      <c r="I65" s="107">
        <f>I$33*(1+T_1!$N$14)^(A65-A$33)</f>
        <v>63288.449097742508</v>
      </c>
      <c r="J65" s="107">
        <f t="shared" ref="J65:J83" si="66">$J$26*G65</f>
        <v>157551.38773171062</v>
      </c>
      <c r="K65" s="107">
        <f t="shared" si="25"/>
        <v>220839.83682945312</v>
      </c>
      <c r="L65" s="110">
        <f t="shared" si="42"/>
        <v>2030</v>
      </c>
      <c r="M65" s="106">
        <f t="shared" si="51"/>
        <v>21001781.275623087</v>
      </c>
      <c r="N65" s="102">
        <f t="shared" ref="N65:N83" si="67">$J$25*M65</f>
        <v>56315856.454957798</v>
      </c>
      <c r="O65" s="107">
        <f t="shared" si="52"/>
        <v>20287.682894915539</v>
      </c>
      <c r="P65" s="107">
        <f t="shared" si="45"/>
        <v>1023924.6628174145</v>
      </c>
      <c r="Q65" s="107">
        <f t="shared" si="36"/>
        <v>1044212.3457123301</v>
      </c>
      <c r="R65" s="106">
        <f t="shared" si="53"/>
        <v>3231546.133196624</v>
      </c>
      <c r="S65" s="102">
        <f t="shared" si="26"/>
        <v>8665326.325244084</v>
      </c>
      <c r="T65" s="107">
        <f t="shared" si="54"/>
        <v>2446.2827610717632</v>
      </c>
      <c r="U65" s="107">
        <f t="shared" si="46"/>
        <v>157551.38773171062</v>
      </c>
      <c r="V65" s="107">
        <f t="shared" si="38"/>
        <v>159997.67049278237</v>
      </c>
      <c r="X65" s="110">
        <f t="shared" si="59"/>
        <v>2030</v>
      </c>
      <c r="Y65" s="106">
        <f t="shared" si="55"/>
        <v>14242901.216317248</v>
      </c>
      <c r="Z65" s="102">
        <f t="shared" ref="Z65:Z83" si="68">$O$25*Y65</f>
        <v>13204736.146659881</v>
      </c>
      <c r="AA65" s="107">
        <f>AA$33*(1+T_1!$O$14)^(X65-X$33)</f>
        <v>16150.990380582001</v>
      </c>
      <c r="AB65" s="107">
        <f t="shared" ref="AB65:AB83" si="69">$O$26*Y65</f>
        <v>240086.11175745243</v>
      </c>
      <c r="AC65" s="107">
        <f t="shared" ref="AC65:AC83" si="70">AA65+AB65</f>
        <v>256237.10213803442</v>
      </c>
      <c r="AD65" s="106">
        <f t="shared" si="56"/>
        <v>2201142.382524698</v>
      </c>
      <c r="AE65" s="102">
        <f t="shared" ref="AE65:AE83" si="71">$O$25*AD65</f>
        <v>2040701.1142624726</v>
      </c>
      <c r="AF65" s="107">
        <f>AF$33*(1+T_1!$P$14)^(X65-X$33)</f>
        <v>2896.315620941903</v>
      </c>
      <c r="AG65" s="107">
        <f t="shared" ref="AG65:AG83" si="72">$O$26*AD65</f>
        <v>37103.656622954048</v>
      </c>
      <c r="AH65" s="107">
        <f t="shared" ref="AH65:AH83" si="73">AF65+AG65</f>
        <v>39999.972243895951</v>
      </c>
      <c r="AI65" s="110">
        <f t="shared" si="60"/>
        <v>2030</v>
      </c>
      <c r="AJ65" s="106">
        <f t="shared" si="61"/>
        <v>14332849.933342608</v>
      </c>
      <c r="AK65" s="102">
        <f t="shared" ref="AK65:AK83" si="74">$O$25*AJ65</f>
        <v>13288128.501701264</v>
      </c>
      <c r="AL65" s="107">
        <f t="shared" si="57"/>
        <v>624.28278628276473</v>
      </c>
      <c r="AM65" s="107">
        <f t="shared" si="47"/>
        <v>241602.33639456844</v>
      </c>
      <c r="AN65" s="107">
        <f t="shared" ref="AN65:AN83" si="75">AL65+AM65</f>
        <v>242226.61918085121</v>
      </c>
      <c r="AO65" s="106">
        <f t="shared" si="62"/>
        <v>2215043.3378350805</v>
      </c>
      <c r="AP65" s="102">
        <f t="shared" si="28"/>
        <v>2053588.8289402812</v>
      </c>
      <c r="AQ65" s="107">
        <f t="shared" si="58"/>
        <v>111.95102858644336</v>
      </c>
      <c r="AR65" s="107">
        <f t="shared" si="48"/>
        <v>37337.978708005117</v>
      </c>
      <c r="AS65" s="107">
        <f t="shared" si="30"/>
        <v>37449.929736591563</v>
      </c>
    </row>
    <row r="66" spans="1:45" x14ac:dyDescent="0.25">
      <c r="A66" s="110">
        <f t="shared" si="41"/>
        <v>2031</v>
      </c>
      <c r="B66" s="106">
        <f t="shared" si="49"/>
        <v>21190797.307103693</v>
      </c>
      <c r="C66" s="102">
        <f t="shared" si="63"/>
        <v>56822699.163052417</v>
      </c>
      <c r="D66" s="107">
        <f>D$33*(1+T_1!$M$14)^(A66-A$33)</f>
        <v>541337.66593188525</v>
      </c>
      <c r="E66" s="107">
        <f t="shared" si="64"/>
        <v>1033139.9847827712</v>
      </c>
      <c r="F66" s="107">
        <f t="shared" si="24"/>
        <v>1574477.6507146563</v>
      </c>
      <c r="G66" s="106">
        <f t="shared" si="50"/>
        <v>3260630.0483953934</v>
      </c>
      <c r="H66" s="102">
        <f t="shared" si="65"/>
        <v>8743314.2621712796</v>
      </c>
      <c r="I66" s="107">
        <f>I$33*(1+T_1!$N$14)^(A66-A$33)</f>
        <v>65290.870183692081</v>
      </c>
      <c r="J66" s="107">
        <f t="shared" si="66"/>
        <v>158969.35022129602</v>
      </c>
      <c r="K66" s="107">
        <f t="shared" si="25"/>
        <v>224260.2204049881</v>
      </c>
      <c r="L66" s="110">
        <f t="shared" si="42"/>
        <v>2031</v>
      </c>
      <c r="M66" s="106">
        <f t="shared" si="51"/>
        <v>21190797.307103693</v>
      </c>
      <c r="N66" s="102">
        <f t="shared" si="67"/>
        <v>56822699.163052417</v>
      </c>
      <c r="O66" s="107">
        <f t="shared" si="52"/>
        <v>20924.276372182936</v>
      </c>
      <c r="P66" s="107">
        <f t="shared" si="45"/>
        <v>1033139.9847827712</v>
      </c>
      <c r="Q66" s="107">
        <f t="shared" si="36"/>
        <v>1054064.2611549541</v>
      </c>
      <c r="R66" s="106">
        <f t="shared" si="53"/>
        <v>3260630.0483953934</v>
      </c>
      <c r="S66" s="102">
        <f t="shared" si="26"/>
        <v>8743314.2621712796</v>
      </c>
      <c r="T66" s="107">
        <f t="shared" si="54"/>
        <v>2523.6821641666284</v>
      </c>
      <c r="U66" s="107">
        <f t="shared" si="46"/>
        <v>158969.35022129602</v>
      </c>
      <c r="V66" s="107">
        <f t="shared" si="38"/>
        <v>161493.03238546263</v>
      </c>
      <c r="X66" s="110">
        <f t="shared" si="59"/>
        <v>2031</v>
      </c>
      <c r="Y66" s="106">
        <f t="shared" si="55"/>
        <v>14371087.327264102</v>
      </c>
      <c r="Z66" s="102">
        <f t="shared" si="68"/>
        <v>13323578.77197982</v>
      </c>
      <c r="AA66" s="107">
        <f>AA$33*(1+T_1!$O$14)^(X66-X$33)</f>
        <v>16669.133266118111</v>
      </c>
      <c r="AB66" s="107">
        <f t="shared" si="69"/>
        <v>242246.88676326949</v>
      </c>
      <c r="AC66" s="107">
        <f t="shared" si="70"/>
        <v>258916.02002938761</v>
      </c>
      <c r="AD66" s="106">
        <f t="shared" si="56"/>
        <v>2220952.6639674199</v>
      </c>
      <c r="AE66" s="102">
        <f t="shared" si="71"/>
        <v>2059067.4242908345</v>
      </c>
      <c r="AF66" s="107">
        <f>AF$33*(1+T_1!$P$14)^(X66-X$33)</f>
        <v>2997.9473914431428</v>
      </c>
      <c r="AG66" s="107">
        <f t="shared" si="72"/>
        <v>37437.589532560625</v>
      </c>
      <c r="AH66" s="107">
        <f t="shared" si="73"/>
        <v>40435.536924003769</v>
      </c>
      <c r="AI66" s="110">
        <f t="shared" si="60"/>
        <v>2031</v>
      </c>
      <c r="AJ66" s="106">
        <f t="shared" si="61"/>
        <v>14457359.290734995</v>
      </c>
      <c r="AK66" s="102">
        <f t="shared" si="74"/>
        <v>13403562.37203332</v>
      </c>
      <c r="AL66" s="107">
        <f t="shared" si="57"/>
        <v>644.31051688335833</v>
      </c>
      <c r="AM66" s="107">
        <f t="shared" si="47"/>
        <v>243701.13403696948</v>
      </c>
      <c r="AN66" s="107">
        <f t="shared" si="75"/>
        <v>244345.44455385284</v>
      </c>
      <c r="AO66" s="106">
        <f t="shared" si="62"/>
        <v>2234285.402314424</v>
      </c>
      <c r="AP66" s="102">
        <f t="shared" si="28"/>
        <v>2071428.3393397254</v>
      </c>
      <c r="AQ66" s="107">
        <f t="shared" si="58"/>
        <v>115.8793923194591</v>
      </c>
      <c r="AR66" s="107">
        <f t="shared" si="48"/>
        <v>37662.333442540468</v>
      </c>
      <c r="AS66" s="107">
        <f t="shared" si="30"/>
        <v>37778.212834859929</v>
      </c>
    </row>
    <row r="67" spans="1:45" x14ac:dyDescent="0.25">
      <c r="A67" s="110">
        <f t="shared" si="41"/>
        <v>2032</v>
      </c>
      <c r="B67" s="106">
        <f t="shared" si="49"/>
        <v>21381514.482867625</v>
      </c>
      <c r="C67" s="102">
        <f t="shared" si="63"/>
        <v>57334103.455519877</v>
      </c>
      <c r="D67" s="107">
        <f>D$33*(1+T_1!$M$14)^(A67-A$33)</f>
        <v>558323.93434491148</v>
      </c>
      <c r="E67" s="107">
        <f t="shared" si="64"/>
        <v>1042438.244645816</v>
      </c>
      <c r="F67" s="107">
        <f t="shared" si="24"/>
        <v>1600762.1789907275</v>
      </c>
      <c r="G67" s="106">
        <f t="shared" si="50"/>
        <v>3289975.7188309515</v>
      </c>
      <c r="H67" s="102">
        <f t="shared" si="65"/>
        <v>8822004.0905308202</v>
      </c>
      <c r="I67" s="107">
        <f>I$33*(1+T_1!$N$14)^(A67-A$33)</f>
        <v>67356.647067778889</v>
      </c>
      <c r="J67" s="107">
        <f t="shared" si="66"/>
        <v>160400.07437328764</v>
      </c>
      <c r="K67" s="107">
        <f t="shared" si="25"/>
        <v>227756.72144106653</v>
      </c>
      <c r="L67" s="110">
        <f t="shared" si="42"/>
        <v>2032</v>
      </c>
      <c r="M67" s="106">
        <f t="shared" si="51"/>
        <v>21381514.482867625</v>
      </c>
      <c r="N67" s="102">
        <f t="shared" si="67"/>
        <v>57334103.455519877</v>
      </c>
      <c r="O67" s="107">
        <f t="shared" si="52"/>
        <v>21580.845085528228</v>
      </c>
      <c r="P67" s="107">
        <f t="shared" si="45"/>
        <v>1042438.244645816</v>
      </c>
      <c r="Q67" s="107">
        <f t="shared" si="36"/>
        <v>1064019.0897313443</v>
      </c>
      <c r="R67" s="106">
        <f t="shared" si="53"/>
        <v>3289975.7188309515</v>
      </c>
      <c r="S67" s="102">
        <f t="shared" si="26"/>
        <v>8822004.0905308202</v>
      </c>
      <c r="T67" s="107">
        <f t="shared" si="54"/>
        <v>2603.5304532589639</v>
      </c>
      <c r="U67" s="107">
        <f t="shared" si="46"/>
        <v>160400.07437328764</v>
      </c>
      <c r="V67" s="107">
        <f t="shared" si="38"/>
        <v>163003.60482654659</v>
      </c>
      <c r="X67" s="110">
        <f t="shared" si="59"/>
        <v>2032</v>
      </c>
      <c r="Y67" s="106">
        <f t="shared" si="55"/>
        <v>14500427.113209479</v>
      </c>
      <c r="Z67" s="102">
        <f t="shared" si="68"/>
        <v>13443490.980927639</v>
      </c>
      <c r="AA67" s="107">
        <f>AA$33*(1+T_1!$O$14)^(X67-X$33)</f>
        <v>17203.89878862604</v>
      </c>
      <c r="AB67" s="107">
        <f t="shared" si="69"/>
        <v>244427.10874413888</v>
      </c>
      <c r="AC67" s="107">
        <f t="shared" si="70"/>
        <v>261631.00753276492</v>
      </c>
      <c r="AD67" s="106">
        <f t="shared" si="56"/>
        <v>2240941.2379431264</v>
      </c>
      <c r="AE67" s="102">
        <f t="shared" si="71"/>
        <v>2077599.0311094515</v>
      </c>
      <c r="AF67" s="107">
        <f>AF$33*(1+T_1!$P$14)^(X67-X$33)</f>
        <v>3103.1454227139379</v>
      </c>
      <c r="AG67" s="107">
        <f t="shared" si="72"/>
        <v>37774.527838353672</v>
      </c>
      <c r="AH67" s="107">
        <f t="shared" si="73"/>
        <v>40877.673261067612</v>
      </c>
      <c r="AI67" s="110">
        <f t="shared" si="60"/>
        <v>2032</v>
      </c>
      <c r="AJ67" s="106">
        <f t="shared" si="61"/>
        <v>14581868.648127383</v>
      </c>
      <c r="AK67" s="102">
        <f t="shared" si="74"/>
        <v>13518996.242365375</v>
      </c>
      <c r="AL67" s="107">
        <f t="shared" si="57"/>
        <v>664.9807607837314</v>
      </c>
      <c r="AM67" s="107">
        <f t="shared" si="47"/>
        <v>245799.93167937049</v>
      </c>
      <c r="AN67" s="107">
        <f t="shared" si="75"/>
        <v>246464.91244015424</v>
      </c>
      <c r="AO67" s="106">
        <f t="shared" si="62"/>
        <v>2253527.4667937676</v>
      </c>
      <c r="AP67" s="102">
        <f t="shared" si="28"/>
        <v>2089267.8497391697</v>
      </c>
      <c r="AQ67" s="107">
        <f t="shared" si="58"/>
        <v>119.94560241095608</v>
      </c>
      <c r="AR67" s="107">
        <f t="shared" si="48"/>
        <v>37986.688177075812</v>
      </c>
      <c r="AS67" s="107">
        <f t="shared" si="30"/>
        <v>38106.633779486765</v>
      </c>
    </row>
    <row r="68" spans="1:45" x14ac:dyDescent="0.25">
      <c r="A68" s="110">
        <f t="shared" si="41"/>
        <v>2033</v>
      </c>
      <c r="B68" s="106">
        <f t="shared" si="49"/>
        <v>21573948.113213427</v>
      </c>
      <c r="C68" s="102">
        <f t="shared" si="63"/>
        <v>57850110.386619546</v>
      </c>
      <c r="D68" s="107">
        <f>D$33*(1+T_1!$M$14)^(A68-A$33)</f>
        <v>575843.20338353189</v>
      </c>
      <c r="E68" s="107">
        <f t="shared" si="64"/>
        <v>1051820.1888476282</v>
      </c>
      <c r="F68" s="107">
        <f t="shared" si="24"/>
        <v>1627663.3922311601</v>
      </c>
      <c r="G68" s="106">
        <f t="shared" si="50"/>
        <v>3319585.5003004293</v>
      </c>
      <c r="H68" s="102">
        <f t="shared" si="65"/>
        <v>8901402.1273455955</v>
      </c>
      <c r="I68" s="107">
        <f>I$33*(1+T_1!$N$14)^(A68-A$33)</f>
        <v>69487.784301985419</v>
      </c>
      <c r="J68" s="107">
        <f t="shared" si="66"/>
        <v>161843.6750426472</v>
      </c>
      <c r="K68" s="107">
        <f t="shared" si="25"/>
        <v>231331.45934463263</v>
      </c>
      <c r="L68" s="110">
        <f t="shared" si="42"/>
        <v>2033</v>
      </c>
      <c r="M68" s="106">
        <f t="shared" si="51"/>
        <v>21573948.113213427</v>
      </c>
      <c r="N68" s="102">
        <f t="shared" si="67"/>
        <v>57850110.386619546</v>
      </c>
      <c r="O68" s="107">
        <f t="shared" si="52"/>
        <v>22258.015824371378</v>
      </c>
      <c r="P68" s="107">
        <f t="shared" si="45"/>
        <v>1051820.1888476282</v>
      </c>
      <c r="Q68" s="107">
        <f t="shared" si="36"/>
        <v>1074078.2046719997</v>
      </c>
      <c r="R68" s="106">
        <f t="shared" si="53"/>
        <v>3319585.5003004293</v>
      </c>
      <c r="S68" s="102">
        <f t="shared" si="26"/>
        <v>8901402.1273455955</v>
      </c>
      <c r="T68" s="107">
        <f t="shared" si="54"/>
        <v>2685.9051101172176</v>
      </c>
      <c r="U68" s="107">
        <f t="shared" si="46"/>
        <v>161843.6750426472</v>
      </c>
      <c r="V68" s="107">
        <f t="shared" si="38"/>
        <v>164529.58015276442</v>
      </c>
      <c r="X68" s="110">
        <f t="shared" si="59"/>
        <v>2033</v>
      </c>
      <c r="Y68" s="106">
        <f t="shared" si="55"/>
        <v>14630930.957228359</v>
      </c>
      <c r="Z68" s="102">
        <f t="shared" si="68"/>
        <v>13564482.399755983</v>
      </c>
      <c r="AA68" s="107">
        <f>AA$33*(1+T_1!$O$14)^(X68-X$33)</f>
        <v>17755.820221972142</v>
      </c>
      <c r="AB68" s="107">
        <f t="shared" si="69"/>
        <v>246626.95272283605</v>
      </c>
      <c r="AC68" s="107">
        <f t="shared" si="70"/>
        <v>264382.77294480818</v>
      </c>
      <c r="AD68" s="106">
        <f t="shared" si="56"/>
        <v>2261109.7090846142</v>
      </c>
      <c r="AE68" s="102">
        <f t="shared" si="71"/>
        <v>2096297.4223894363</v>
      </c>
      <c r="AF68" s="107">
        <f>AF$33*(1+T_1!$P$14)^(X68-X$33)</f>
        <v>3212.0348549128616</v>
      </c>
      <c r="AG68" s="107">
        <f t="shared" si="72"/>
        <v>38114.498588898845</v>
      </c>
      <c r="AH68" s="107">
        <f t="shared" si="73"/>
        <v>41326.533443811706</v>
      </c>
      <c r="AI68" s="110">
        <f t="shared" si="60"/>
        <v>2033</v>
      </c>
      <c r="AJ68" s="106">
        <f t="shared" si="61"/>
        <v>14706378.00551977</v>
      </c>
      <c r="AK68" s="102">
        <f t="shared" si="74"/>
        <v>13634430.112697432</v>
      </c>
      <c r="AL68" s="107">
        <f t="shared" si="57"/>
        <v>686.31413057093232</v>
      </c>
      <c r="AM68" s="107">
        <f t="shared" si="47"/>
        <v>247898.72932177151</v>
      </c>
      <c r="AN68" s="107">
        <f t="shared" si="75"/>
        <v>248585.04345234245</v>
      </c>
      <c r="AO68" s="106">
        <f t="shared" si="62"/>
        <v>2272769.5312731112</v>
      </c>
      <c r="AP68" s="102">
        <f t="shared" si="28"/>
        <v>2107107.3601386137</v>
      </c>
      <c r="AQ68" s="107">
        <f t="shared" si="58"/>
        <v>124.15449589228839</v>
      </c>
      <c r="AR68" s="107">
        <f t="shared" si="48"/>
        <v>38311.042911611163</v>
      </c>
      <c r="AS68" s="107">
        <f t="shared" si="30"/>
        <v>38435.197407503452</v>
      </c>
    </row>
    <row r="69" spans="1:45" x14ac:dyDescent="0.25">
      <c r="A69" s="110">
        <f t="shared" si="41"/>
        <v>2034</v>
      </c>
      <c r="B69" s="106">
        <f t="shared" si="49"/>
        <v>21768113.646232352</v>
      </c>
      <c r="C69" s="102">
        <f t="shared" si="63"/>
        <v>58370761.380099125</v>
      </c>
      <c r="D69" s="107">
        <f>D$33*(1+T_1!$M$14)^(A69-A$33)</f>
        <v>593912.19771381048</v>
      </c>
      <c r="E69" s="107">
        <f t="shared" si="64"/>
        <v>1061286.5705472569</v>
      </c>
      <c r="F69" s="107">
        <f t="shared" si="24"/>
        <v>1655198.7682610673</v>
      </c>
      <c r="G69" s="106">
        <f t="shared" si="50"/>
        <v>3349461.7698031338</v>
      </c>
      <c r="H69" s="102">
        <f t="shared" si="65"/>
        <v>8981514.7464917079</v>
      </c>
      <c r="I69" s="107">
        <f>I$33*(1+T_1!$N$14)^(A69-A$33)</f>
        <v>71686.349861512994</v>
      </c>
      <c r="J69" s="107">
        <f t="shared" si="66"/>
        <v>163300.26811803106</v>
      </c>
      <c r="K69" s="107">
        <f t="shared" si="25"/>
        <v>234986.61797954404</v>
      </c>
      <c r="L69" s="110">
        <f t="shared" si="42"/>
        <v>2034</v>
      </c>
      <c r="M69" s="106">
        <f t="shared" si="51"/>
        <v>21768113.646232352</v>
      </c>
      <c r="N69" s="102">
        <f t="shared" si="67"/>
        <v>58370761.380099125</v>
      </c>
      <c r="O69" s="107">
        <f t="shared" si="52"/>
        <v>22956.435045733539</v>
      </c>
      <c r="P69" s="107">
        <f t="shared" si="45"/>
        <v>1061286.5705472569</v>
      </c>
      <c r="Q69" s="107">
        <f t="shared" si="36"/>
        <v>1084243.0055929904</v>
      </c>
      <c r="R69" s="106">
        <f t="shared" si="53"/>
        <v>3349461.7698031338</v>
      </c>
      <c r="S69" s="102">
        <f t="shared" si="26"/>
        <v>8981514.7464917079</v>
      </c>
      <c r="T69" s="107">
        <f t="shared" si="54"/>
        <v>2770.8860680018411</v>
      </c>
      <c r="U69" s="107">
        <f t="shared" si="46"/>
        <v>163300.26811803106</v>
      </c>
      <c r="V69" s="107">
        <f t="shared" si="38"/>
        <v>166071.15418603292</v>
      </c>
      <c r="X69" s="110">
        <f t="shared" si="59"/>
        <v>2034</v>
      </c>
      <c r="Y69" s="106">
        <f t="shared" si="55"/>
        <v>14762609.335843418</v>
      </c>
      <c r="Z69" s="102">
        <f t="shared" si="68"/>
        <v>13686562.741353789</v>
      </c>
      <c r="AA69" s="107">
        <f>AA$33*(1+T_1!$O$14)^(X69-X$33)</f>
        <v>18325.447948079527</v>
      </c>
      <c r="AB69" s="107">
        <f t="shared" si="69"/>
        <v>248846.59529734164</v>
      </c>
      <c r="AC69" s="107">
        <f t="shared" si="70"/>
        <v>267172.04324542114</v>
      </c>
      <c r="AD69" s="106">
        <f t="shared" si="56"/>
        <v>2281459.6964663761</v>
      </c>
      <c r="AE69" s="102">
        <f t="shared" si="71"/>
        <v>2115164.0991909415</v>
      </c>
      <c r="AF69" s="107">
        <f>AF$33*(1+T_1!$P$14)^(X69-X$33)</f>
        <v>3324.7452193690406</v>
      </c>
      <c r="AG69" s="107">
        <f t="shared" si="72"/>
        <v>38457.529076198945</v>
      </c>
      <c r="AH69" s="107">
        <f t="shared" si="73"/>
        <v>41782.274295567986</v>
      </c>
      <c r="AI69" s="110">
        <f t="shared" si="60"/>
        <v>2034</v>
      </c>
      <c r="AJ69" s="106">
        <f t="shared" si="61"/>
        <v>14830887.362912158</v>
      </c>
      <c r="AK69" s="102">
        <f t="shared" si="74"/>
        <v>13749863.983029488</v>
      </c>
      <c r="AL69" s="107">
        <f t="shared" si="57"/>
        <v>708.33190010819703</v>
      </c>
      <c r="AM69" s="107">
        <f t="shared" si="47"/>
        <v>249997.52696417255</v>
      </c>
      <c r="AN69" s="107">
        <f t="shared" si="75"/>
        <v>250705.85886428074</v>
      </c>
      <c r="AO69" s="106">
        <f t="shared" si="62"/>
        <v>2292011.5957524548</v>
      </c>
      <c r="AP69" s="102">
        <f t="shared" si="28"/>
        <v>2124946.8705380582</v>
      </c>
      <c r="AQ69" s="107">
        <f t="shared" si="58"/>
        <v>128.51107952633262</v>
      </c>
      <c r="AR69" s="107">
        <f t="shared" si="48"/>
        <v>38635.397646146514</v>
      </c>
      <c r="AS69" s="107">
        <f t="shared" si="30"/>
        <v>38763.908725672845</v>
      </c>
    </row>
    <row r="70" spans="1:45" x14ac:dyDescent="0.25">
      <c r="A70" s="110">
        <f t="shared" si="41"/>
        <v>2035</v>
      </c>
      <c r="B70" s="106">
        <f t="shared" si="49"/>
        <v>21964026.669048443</v>
      </c>
      <c r="C70" s="102">
        <f t="shared" si="63"/>
        <v>58896098.232520021</v>
      </c>
      <c r="D70" s="107">
        <f>D$33*(1+T_1!$M$14)^(A70-A$33)</f>
        <v>612548.16679379402</v>
      </c>
      <c r="E70" s="107">
        <f t="shared" si="64"/>
        <v>1070838.1496821824</v>
      </c>
      <c r="F70" s="107">
        <f t="shared" si="24"/>
        <v>1683386.3164759763</v>
      </c>
      <c r="G70" s="106">
        <f t="shared" si="50"/>
        <v>3379606.9257313618</v>
      </c>
      <c r="H70" s="102">
        <f t="shared" si="65"/>
        <v>9062348.3792101331</v>
      </c>
      <c r="I70" s="107">
        <f>I$33*(1+T_1!$N$14)^(A70-A$33)</f>
        <v>73954.477151466956</v>
      </c>
      <c r="J70" s="107">
        <f t="shared" si="66"/>
        <v>164769.97053109334</v>
      </c>
      <c r="K70" s="107">
        <f t="shared" si="25"/>
        <v>238724.44768256031</v>
      </c>
      <c r="L70" s="110">
        <f t="shared" si="42"/>
        <v>2035</v>
      </c>
      <c r="M70" s="106">
        <f t="shared" si="51"/>
        <v>21964026.669048443</v>
      </c>
      <c r="N70" s="102">
        <f t="shared" si="67"/>
        <v>58896098.232520021</v>
      </c>
      <c r="O70" s="107">
        <f t="shared" si="52"/>
        <v>23676.769491373416</v>
      </c>
      <c r="P70" s="107">
        <f t="shared" si="45"/>
        <v>1070838.1496821824</v>
      </c>
      <c r="Q70" s="107">
        <f t="shared" si="36"/>
        <v>1094514.9191735557</v>
      </c>
      <c r="R70" s="106">
        <f t="shared" si="53"/>
        <v>3379606.9257313618</v>
      </c>
      <c r="S70" s="102">
        <f t="shared" si="26"/>
        <v>9062348.3792101331</v>
      </c>
      <c r="T70" s="107">
        <f t="shared" si="54"/>
        <v>2858.5557892295133</v>
      </c>
      <c r="U70" s="107">
        <f t="shared" si="46"/>
        <v>164769.97053109334</v>
      </c>
      <c r="V70" s="107">
        <f t="shared" si="38"/>
        <v>167628.52632032285</v>
      </c>
      <c r="X70" s="110">
        <f t="shared" si="59"/>
        <v>2035</v>
      </c>
      <c r="Y70" s="106">
        <f t="shared" si="55"/>
        <v>14895472.819866007</v>
      </c>
      <c r="Z70" s="102">
        <f t="shared" si="68"/>
        <v>13809741.806025973</v>
      </c>
      <c r="AA70" s="107">
        <f>AA$33*(1+T_1!$O$14)^(X70-X$33)</f>
        <v>18913.350005774737</v>
      </c>
      <c r="AB70" s="107">
        <f t="shared" si="69"/>
        <v>251086.21465501768</v>
      </c>
      <c r="AC70" s="107">
        <f t="shared" si="70"/>
        <v>269999.56466079241</v>
      </c>
      <c r="AD70" s="106">
        <f t="shared" si="56"/>
        <v>2301992.8337345733</v>
      </c>
      <c r="AE70" s="102">
        <f t="shared" si="71"/>
        <v>2134200.5760836601</v>
      </c>
      <c r="AF70" s="107">
        <f>AF$33*(1+T_1!$P$14)^(X70-X$33)</f>
        <v>3441.4105926684188</v>
      </c>
      <c r="AG70" s="107">
        <f t="shared" si="72"/>
        <v>38803.646837884728</v>
      </c>
      <c r="AH70" s="107">
        <f t="shared" si="73"/>
        <v>42245.057430553148</v>
      </c>
      <c r="AI70" s="110">
        <f t="shared" si="60"/>
        <v>2035</v>
      </c>
      <c r="AJ70" s="106">
        <f t="shared" si="61"/>
        <v>14955396.720304545</v>
      </c>
      <c r="AK70" s="102">
        <f t="shared" si="74"/>
        <v>13865297.853361545</v>
      </c>
      <c r="AL70" s="107">
        <f t="shared" si="57"/>
        <v>731.05602574947</v>
      </c>
      <c r="AM70" s="107">
        <f t="shared" si="47"/>
        <v>252096.32460657356</v>
      </c>
      <c r="AN70" s="107">
        <f t="shared" si="75"/>
        <v>252827.38063232304</v>
      </c>
      <c r="AO70" s="106">
        <f t="shared" si="62"/>
        <v>2311253.6602317984</v>
      </c>
      <c r="AP70" s="102">
        <f t="shared" si="28"/>
        <v>2142786.3809375023</v>
      </c>
      <c r="AQ70" s="107">
        <f t="shared" si="58"/>
        <v>133.02053576337053</v>
      </c>
      <c r="AR70" s="107">
        <f t="shared" si="48"/>
        <v>38959.752380681864</v>
      </c>
      <c r="AS70" s="107">
        <f t="shared" si="30"/>
        <v>39092.772916445232</v>
      </c>
    </row>
    <row r="71" spans="1:45" x14ac:dyDescent="0.25">
      <c r="A71" s="110">
        <f t="shared" si="41"/>
        <v>2036</v>
      </c>
      <c r="B71" s="106">
        <f t="shared" si="49"/>
        <v>22161702.909069877</v>
      </c>
      <c r="C71" s="102">
        <f t="shared" si="63"/>
        <v>59426163.116612695</v>
      </c>
      <c r="D71" s="107">
        <f>D$33*(1+T_1!$M$14)^(A71-A$33)</f>
        <v>631768.90134060418</v>
      </c>
      <c r="E71" s="107">
        <f t="shared" si="64"/>
        <v>1080475.6930293217</v>
      </c>
      <c r="F71" s="107">
        <f t="shared" si="24"/>
        <v>1712244.594369926</v>
      </c>
      <c r="G71" s="106">
        <f t="shared" si="50"/>
        <v>3410023.3880629437</v>
      </c>
      <c r="H71" s="102">
        <f t="shared" si="65"/>
        <v>9143909.5146230217</v>
      </c>
      <c r="I71" s="107">
        <f>I$33*(1+T_1!$N$14)^(A71-A$33)</f>
        <v>76294.367077032453</v>
      </c>
      <c r="J71" s="107">
        <f t="shared" si="66"/>
        <v>166252.90026587315</v>
      </c>
      <c r="K71" s="107">
        <f t="shared" si="25"/>
        <v>242547.2673429056</v>
      </c>
      <c r="L71" s="110">
        <f t="shared" si="42"/>
        <v>2036</v>
      </c>
      <c r="M71" s="106">
        <f t="shared" si="51"/>
        <v>22161702.909069877</v>
      </c>
      <c r="N71" s="102">
        <f t="shared" si="67"/>
        <v>59426163.116612695</v>
      </c>
      <c r="O71" s="107">
        <f t="shared" si="52"/>
        <v>24419.706824288332</v>
      </c>
      <c r="P71" s="107">
        <f t="shared" si="45"/>
        <v>1080475.6930293217</v>
      </c>
      <c r="Q71" s="107">
        <f t="shared" si="36"/>
        <v>1104895.39985361</v>
      </c>
      <c r="R71" s="106">
        <f t="shared" si="53"/>
        <v>3410023.3880629437</v>
      </c>
      <c r="S71" s="102">
        <f t="shared" si="26"/>
        <v>9143909.5146230217</v>
      </c>
      <c r="T71" s="107">
        <f t="shared" si="54"/>
        <v>2948.9993451914579</v>
      </c>
      <c r="U71" s="107">
        <f t="shared" si="46"/>
        <v>166252.90026587315</v>
      </c>
      <c r="V71" s="107">
        <f t="shared" si="38"/>
        <v>169201.89961106461</v>
      </c>
      <c r="X71" s="110">
        <f t="shared" si="59"/>
        <v>2036</v>
      </c>
      <c r="Y71" s="106">
        <f t="shared" si="55"/>
        <v>15029532.075244799</v>
      </c>
      <c r="Z71" s="102">
        <f t="shared" si="68"/>
        <v>13934029.482280204</v>
      </c>
      <c r="AA71" s="107">
        <f>AA$33*(1+T_1!$O$14)^(X71-X$33)</f>
        <v>19520.112657242149</v>
      </c>
      <c r="AB71" s="107">
        <f t="shared" si="69"/>
        <v>253345.99058691281</v>
      </c>
      <c r="AC71" s="107">
        <f t="shared" si="70"/>
        <v>272866.10324415495</v>
      </c>
      <c r="AD71" s="106">
        <f t="shared" si="56"/>
        <v>2322710.7692381842</v>
      </c>
      <c r="AE71" s="102">
        <f t="shared" si="71"/>
        <v>2153408.3812684128</v>
      </c>
      <c r="AF71" s="107">
        <f>AF$33*(1+T_1!$P$14)^(X71-X$33)</f>
        <v>3562.1697561469036</v>
      </c>
      <c r="AG71" s="107">
        <f t="shared" si="72"/>
        <v>39152.879659425686</v>
      </c>
      <c r="AH71" s="107">
        <f t="shared" si="73"/>
        <v>42715.04941557259</v>
      </c>
      <c r="AI71" s="110">
        <f t="shared" si="60"/>
        <v>2036</v>
      </c>
      <c r="AJ71" s="106">
        <f t="shared" si="61"/>
        <v>15079906.077696932</v>
      </c>
      <c r="AK71" s="102">
        <f t="shared" si="74"/>
        <v>13980731.723693602</v>
      </c>
      <c r="AL71" s="107">
        <f t="shared" si="57"/>
        <v>754.50916823451587</v>
      </c>
      <c r="AM71" s="107">
        <f t="shared" si="47"/>
        <v>254195.1222489746</v>
      </c>
      <c r="AN71" s="107">
        <f t="shared" si="75"/>
        <v>254949.63141720911</v>
      </c>
      <c r="AO71" s="106">
        <f t="shared" si="62"/>
        <v>2330495.724711142</v>
      </c>
      <c r="AP71" s="102">
        <f t="shared" si="28"/>
        <v>2160625.8913369467</v>
      </c>
      <c r="AQ71" s="107">
        <f t="shared" si="58"/>
        <v>137.68822890596329</v>
      </c>
      <c r="AR71" s="107">
        <f t="shared" si="48"/>
        <v>39284.107115217215</v>
      </c>
      <c r="AS71" s="107">
        <f t="shared" si="30"/>
        <v>39421.79534412318</v>
      </c>
    </row>
    <row r="72" spans="1:45" x14ac:dyDescent="0.25">
      <c r="A72" s="110">
        <f t="shared" si="41"/>
        <v>2037</v>
      </c>
      <c r="B72" s="106">
        <f t="shared" si="49"/>
        <v>22361158.235251497</v>
      </c>
      <c r="C72" s="102">
        <f t="shared" si="63"/>
        <v>59960998.584662184</v>
      </c>
      <c r="D72" s="107">
        <f>D$33*(1+T_1!$M$14)^(A72-A$33)</f>
        <v>651592.75031423999</v>
      </c>
      <c r="E72" s="107">
        <f t="shared" si="64"/>
        <v>1090199.9742665852</v>
      </c>
      <c r="F72" s="107">
        <f t="shared" si="24"/>
        <v>1741792.7245808253</v>
      </c>
      <c r="G72" s="106">
        <f t="shared" si="50"/>
        <v>3440713.598555509</v>
      </c>
      <c r="H72" s="102">
        <f t="shared" si="65"/>
        <v>9226204.7002546266</v>
      </c>
      <c r="I72" s="107">
        <f>I$33*(1+T_1!$N$14)^(A72-A$33)</f>
        <v>78708.290179149917</v>
      </c>
      <c r="J72" s="107">
        <f t="shared" si="66"/>
        <v>167749.17636826594</v>
      </c>
      <c r="K72" s="107">
        <f t="shared" si="25"/>
        <v>246457.46654741585</v>
      </c>
      <c r="L72" s="110">
        <f t="shared" si="42"/>
        <v>2037</v>
      </c>
      <c r="M72" s="106">
        <f t="shared" si="51"/>
        <v>22361158.235251497</v>
      </c>
      <c r="N72" s="102">
        <f t="shared" si="67"/>
        <v>59960998.584662184</v>
      </c>
      <c r="O72" s="107">
        <f t="shared" si="52"/>
        <v>25185.956285187593</v>
      </c>
      <c r="P72" s="107">
        <f t="shared" si="45"/>
        <v>1090199.9742665852</v>
      </c>
      <c r="Q72" s="107">
        <f t="shared" si="36"/>
        <v>1115385.9305517727</v>
      </c>
      <c r="R72" s="106">
        <f t="shared" si="53"/>
        <v>3440713.598555509</v>
      </c>
      <c r="S72" s="102">
        <f t="shared" si="26"/>
        <v>9226204.7002546266</v>
      </c>
      <c r="T72" s="107">
        <f t="shared" si="54"/>
        <v>3042.3044989035188</v>
      </c>
      <c r="U72" s="107">
        <f t="shared" si="46"/>
        <v>167749.17636826594</v>
      </c>
      <c r="V72" s="107">
        <f t="shared" si="38"/>
        <v>170791.48086716945</v>
      </c>
      <c r="X72" s="110">
        <f t="shared" si="59"/>
        <v>2037</v>
      </c>
      <c r="Y72" s="106">
        <f t="shared" si="55"/>
        <v>15164797.863921998</v>
      </c>
      <c r="Z72" s="102">
        <f t="shared" si="68"/>
        <v>14059435.747620722</v>
      </c>
      <c r="AA72" s="107">
        <f>AA$33*(1+T_1!$O$14)^(X72-X$33)</f>
        <v>20146.340972650818</v>
      </c>
      <c r="AB72" s="107">
        <f t="shared" si="69"/>
        <v>255626.10450219497</v>
      </c>
      <c r="AC72" s="107">
        <f t="shared" si="70"/>
        <v>275772.44547484576</v>
      </c>
      <c r="AD72" s="106">
        <f t="shared" si="56"/>
        <v>2343615.1661613272</v>
      </c>
      <c r="AE72" s="102">
        <f t="shared" si="71"/>
        <v>2172789.0566998278</v>
      </c>
      <c r="AF72" s="107">
        <f>AF$33*(1+T_1!$P$14)^(X72-X$33)</f>
        <v>3687.1663609801321</v>
      </c>
      <c r="AG72" s="107">
        <f t="shared" si="72"/>
        <v>39505.255576360505</v>
      </c>
      <c r="AH72" s="107">
        <f t="shared" si="73"/>
        <v>43192.421937340638</v>
      </c>
      <c r="AI72" s="110">
        <f t="shared" si="60"/>
        <v>2037</v>
      </c>
      <c r="AJ72" s="106">
        <f t="shared" si="61"/>
        <v>15204415.43508932</v>
      </c>
      <c r="AK72" s="102">
        <f t="shared" si="74"/>
        <v>14096165.594025658</v>
      </c>
      <c r="AL72" s="107">
        <f t="shared" si="57"/>
        <v>778.71471528644827</v>
      </c>
      <c r="AM72" s="107">
        <f t="shared" si="47"/>
        <v>256293.91989137561</v>
      </c>
      <c r="AN72" s="107">
        <f t="shared" si="75"/>
        <v>257072.63460666206</v>
      </c>
      <c r="AO72" s="106">
        <f t="shared" si="62"/>
        <v>2349737.7891904856</v>
      </c>
      <c r="AP72" s="102">
        <f t="shared" si="28"/>
        <v>2178465.4017363908</v>
      </c>
      <c r="AQ72" s="107">
        <f t="shared" si="58"/>
        <v>142.51971149015151</v>
      </c>
      <c r="AR72" s="107">
        <f t="shared" si="48"/>
        <v>39608.461849752566</v>
      </c>
      <c r="AS72" s="107">
        <f t="shared" si="30"/>
        <v>39750.981561242719</v>
      </c>
    </row>
    <row r="73" spans="1:45" x14ac:dyDescent="0.25">
      <c r="A73" s="110">
        <f t="shared" si="41"/>
        <v>2038</v>
      </c>
      <c r="B73" s="106">
        <f t="shared" si="49"/>
        <v>22562408.659368765</v>
      </c>
      <c r="C73" s="102">
        <f t="shared" si="63"/>
        <v>60500647.571924157</v>
      </c>
      <c r="D73" s="107">
        <f>D$33*(1+T_1!$M$14)^(A73-A$33)</f>
        <v>672038.63843430346</v>
      </c>
      <c r="E73" s="107">
        <f t="shared" si="64"/>
        <v>1100011.7740349846</v>
      </c>
      <c r="F73" s="107">
        <f t="shared" si="24"/>
        <v>1772050.4124692881</v>
      </c>
      <c r="G73" s="106">
        <f t="shared" si="50"/>
        <v>3471680.0209425092</v>
      </c>
      <c r="H73" s="102">
        <f t="shared" si="65"/>
        <v>9309240.5425569192</v>
      </c>
      <c r="I73" s="107">
        <f>I$33*(1+T_1!$N$14)^(A73-A$33)</f>
        <v>81198.58883776232</v>
      </c>
      <c r="J73" s="107">
        <f t="shared" si="66"/>
        <v>169258.91895558036</v>
      </c>
      <c r="K73" s="107">
        <f t="shared" si="25"/>
        <v>250457.50779334269</v>
      </c>
      <c r="L73" s="110">
        <f t="shared" si="42"/>
        <v>2038</v>
      </c>
      <c r="M73" s="106">
        <f t="shared" si="51"/>
        <v>22562408.659368765</v>
      </c>
      <c r="N73" s="102">
        <f t="shared" si="67"/>
        <v>60500647.571924157</v>
      </c>
      <c r="O73" s="107">
        <f t="shared" si="52"/>
        <v>25976.249369564932</v>
      </c>
      <c r="P73" s="107">
        <f t="shared" si="45"/>
        <v>1100011.7740349846</v>
      </c>
      <c r="Q73" s="107">
        <f t="shared" si="36"/>
        <v>1125988.0234045496</v>
      </c>
      <c r="R73" s="106">
        <f t="shared" si="53"/>
        <v>3471680.0209425092</v>
      </c>
      <c r="S73" s="102">
        <f t="shared" si="26"/>
        <v>9309240.5425569192</v>
      </c>
      <c r="T73" s="107">
        <f t="shared" si="54"/>
        <v>3138.5617901680785</v>
      </c>
      <c r="U73" s="107">
        <f t="shared" si="46"/>
        <v>169258.91895558036</v>
      </c>
      <c r="V73" s="107">
        <f t="shared" si="38"/>
        <v>172397.48074574844</v>
      </c>
      <c r="X73" s="110">
        <f t="shared" si="59"/>
        <v>2038</v>
      </c>
      <c r="Y73" s="106">
        <f t="shared" si="55"/>
        <v>15301281.044697298</v>
      </c>
      <c r="Z73" s="102">
        <f t="shared" si="68"/>
        <v>14185970.669349309</v>
      </c>
      <c r="AA73" s="107">
        <f>AA$33*(1+T_1!$O$14)^(X73-X$33)</f>
        <v>20792.659433536897</v>
      </c>
      <c r="AB73" s="107">
        <f t="shared" si="69"/>
        <v>257926.73944271475</v>
      </c>
      <c r="AC73" s="107">
        <f t="shared" si="70"/>
        <v>278719.39887625165</v>
      </c>
      <c r="AD73" s="106">
        <f t="shared" si="56"/>
        <v>2364707.7026567794</v>
      </c>
      <c r="AE73" s="102">
        <f t="shared" si="71"/>
        <v>2192344.1582101267</v>
      </c>
      <c r="AF73" s="107">
        <f>AF$33*(1+T_1!$P$14)^(X73-X$33)</f>
        <v>3816.5490990662374</v>
      </c>
      <c r="AG73" s="107">
        <f t="shared" si="72"/>
        <v>39860.802876547757</v>
      </c>
      <c r="AH73" s="107">
        <f t="shared" si="73"/>
        <v>43677.351975613994</v>
      </c>
      <c r="AI73" s="110">
        <f t="shared" si="60"/>
        <v>2038</v>
      </c>
      <c r="AJ73" s="106">
        <f t="shared" si="61"/>
        <v>15328924.792481707</v>
      </c>
      <c r="AK73" s="102">
        <f t="shared" si="74"/>
        <v>14211599.464357713</v>
      </c>
      <c r="AL73" s="107">
        <f t="shared" si="57"/>
        <v>803.69680493421697</v>
      </c>
      <c r="AM73" s="107">
        <f t="shared" si="47"/>
        <v>258392.71753377665</v>
      </c>
      <c r="AN73" s="107">
        <f t="shared" si="75"/>
        <v>259196.41433871086</v>
      </c>
      <c r="AO73" s="106">
        <f t="shared" si="62"/>
        <v>2368979.8536698292</v>
      </c>
      <c r="AP73" s="102">
        <f t="shared" si="28"/>
        <v>2196304.9121358353</v>
      </c>
      <c r="AQ73" s="107">
        <f t="shared" si="58"/>
        <v>147.52073089057149</v>
      </c>
      <c r="AR73" s="107">
        <f t="shared" si="48"/>
        <v>39932.816584287917</v>
      </c>
      <c r="AS73" s="107">
        <f t="shared" si="30"/>
        <v>40080.337315178491</v>
      </c>
    </row>
    <row r="74" spans="1:45" x14ac:dyDescent="0.25">
      <c r="A74" s="110">
        <f t="shared" si="41"/>
        <v>2039</v>
      </c>
      <c r="B74" s="106">
        <f t="shared" si="49"/>
        <v>22765470.33730308</v>
      </c>
      <c r="C74" s="102">
        <f t="shared" si="63"/>
        <v>61045153.400071464</v>
      </c>
      <c r="D74" s="107">
        <f>D$33*(1+T_1!$M$14)^(A74-A$33)</f>
        <v>693126.08424637094</v>
      </c>
      <c r="E74" s="107">
        <f t="shared" si="64"/>
        <v>1109911.8800012993</v>
      </c>
      <c r="F74" s="107">
        <f t="shared" si="24"/>
        <v>1803037.9642476703</v>
      </c>
      <c r="G74" s="106">
        <f t="shared" si="50"/>
        <v>3502925.1411309908</v>
      </c>
      <c r="H74" s="102">
        <f t="shared" si="65"/>
        <v>9393023.7074399292</v>
      </c>
      <c r="I74" s="107">
        <f>I$33*(1+T_1!$N$14)^(A74-A$33)</f>
        <v>83767.679544772298</v>
      </c>
      <c r="J74" s="107">
        <f t="shared" si="66"/>
        <v>170782.24922618055</v>
      </c>
      <c r="K74" s="107">
        <f t="shared" si="25"/>
        <v>254549.92877095286</v>
      </c>
      <c r="L74" s="110">
        <f t="shared" si="42"/>
        <v>2039</v>
      </c>
      <c r="M74" s="106">
        <f t="shared" si="51"/>
        <v>22765470.33730308</v>
      </c>
      <c r="N74" s="102">
        <f t="shared" si="67"/>
        <v>61045153.400071464</v>
      </c>
      <c r="O74" s="107">
        <f t="shared" si="52"/>
        <v>26791.340526016349</v>
      </c>
      <c r="P74" s="107">
        <f t="shared" si="45"/>
        <v>1109911.8800012993</v>
      </c>
      <c r="Q74" s="107">
        <f t="shared" si="36"/>
        <v>1136703.2205273157</v>
      </c>
      <c r="R74" s="106">
        <f t="shared" si="53"/>
        <v>3502925.1411309908</v>
      </c>
      <c r="S74" s="102">
        <f t="shared" si="26"/>
        <v>9393023.7074399292</v>
      </c>
      <c r="T74" s="107">
        <f t="shared" si="54"/>
        <v>3237.8646234304656</v>
      </c>
      <c r="U74" s="107">
        <f t="shared" si="46"/>
        <v>170782.24922618055</v>
      </c>
      <c r="V74" s="107">
        <f t="shared" si="38"/>
        <v>174020.11384961102</v>
      </c>
      <c r="X74" s="110">
        <f t="shared" si="59"/>
        <v>2039</v>
      </c>
      <c r="Y74" s="106">
        <f t="shared" si="55"/>
        <v>15438992.574099571</v>
      </c>
      <c r="Z74" s="102">
        <f t="shared" si="68"/>
        <v>14313644.40537345</v>
      </c>
      <c r="AA74" s="107">
        <f>AA$33*(1+T_1!$O$14)^(X74-X$33)</f>
        <v>21459.712555543294</v>
      </c>
      <c r="AB74" s="107">
        <f t="shared" si="69"/>
        <v>260248.08009769913</v>
      </c>
      <c r="AC74" s="107">
        <f t="shared" si="70"/>
        <v>281707.79265324242</v>
      </c>
      <c r="AD74" s="106">
        <f t="shared" si="56"/>
        <v>2385990.0719806901</v>
      </c>
      <c r="AE74" s="102">
        <f t="shared" si="71"/>
        <v>2212075.2556340173</v>
      </c>
      <c r="AF74" s="107">
        <f>AF$33*(1+T_1!$P$14)^(X74-X$33)</f>
        <v>3950.4718799049056</v>
      </c>
      <c r="AG74" s="107">
        <f t="shared" si="72"/>
        <v>40219.550102436682</v>
      </c>
      <c r="AH74" s="107">
        <f t="shared" si="73"/>
        <v>44170.02198234159</v>
      </c>
      <c r="AI74" s="110">
        <f t="shared" si="60"/>
        <v>2039</v>
      </c>
      <c r="AJ74" s="106">
        <f t="shared" si="61"/>
        <v>15453434.149874095</v>
      </c>
      <c r="AK74" s="102">
        <f t="shared" si="74"/>
        <v>14327033.33468977</v>
      </c>
      <c r="AL74" s="107">
        <f t="shared" si="57"/>
        <v>829.48034958330766</v>
      </c>
      <c r="AM74" s="107">
        <f t="shared" si="47"/>
        <v>260491.51517617767</v>
      </c>
      <c r="AN74" s="107">
        <f t="shared" si="75"/>
        <v>261320.99552576098</v>
      </c>
      <c r="AO74" s="106">
        <f t="shared" si="62"/>
        <v>2388221.9181491728</v>
      </c>
      <c r="AP74" s="102">
        <f t="shared" si="28"/>
        <v>2214144.4225352793</v>
      </c>
      <c r="AQ74" s="107">
        <f t="shared" si="58"/>
        <v>152.69723615734554</v>
      </c>
      <c r="AR74" s="107">
        <f t="shared" si="48"/>
        <v>40257.171318823261</v>
      </c>
      <c r="AS74" s="107">
        <f t="shared" si="30"/>
        <v>40409.868554980603</v>
      </c>
    </row>
    <row r="75" spans="1:45" s="97" customFormat="1" x14ac:dyDescent="0.25">
      <c r="A75" s="111">
        <f t="shared" si="41"/>
        <v>2040</v>
      </c>
      <c r="B75" s="102">
        <f t="shared" si="49"/>
        <v>22970359.570338801</v>
      </c>
      <c r="C75" s="102">
        <f t="shared" si="63"/>
        <v>61594559.780672088</v>
      </c>
      <c r="D75" s="107">
        <f>D$33*(1+T_1!$M$14)^(A75-A$33)</f>
        <v>714875.21875525638</v>
      </c>
      <c r="E75" s="103">
        <f t="shared" si="64"/>
        <v>1119901.0869213108</v>
      </c>
      <c r="F75" s="103">
        <f t="shared" si="24"/>
        <v>1834776.3056765671</v>
      </c>
      <c r="G75" s="106">
        <f t="shared" si="50"/>
        <v>3534451.4674011692</v>
      </c>
      <c r="H75" s="102">
        <f t="shared" si="65"/>
        <v>9477560.9208068885</v>
      </c>
      <c r="I75" s="107">
        <f>I$33*(1+T_1!$N$14)^(A75-A$33)</f>
        <v>86418.055248914839</v>
      </c>
      <c r="J75" s="103">
        <f t="shared" si="66"/>
        <v>172319.28946921614</v>
      </c>
      <c r="K75" s="103">
        <f t="shared" si="25"/>
        <v>258737.34471813097</v>
      </c>
      <c r="L75" s="111">
        <f t="shared" si="42"/>
        <v>2040</v>
      </c>
      <c r="M75" s="102">
        <f t="shared" si="51"/>
        <v>22970359.570338801</v>
      </c>
      <c r="N75" s="102">
        <f t="shared" si="67"/>
        <v>61594559.780672088</v>
      </c>
      <c r="O75" s="107">
        <f t="shared" si="52"/>
        <v>27632.007876469961</v>
      </c>
      <c r="P75" s="103">
        <f t="shared" si="45"/>
        <v>1119901.0869213108</v>
      </c>
      <c r="Q75" s="103">
        <f t="shared" si="36"/>
        <v>1147533.0947977807</v>
      </c>
      <c r="R75" s="106">
        <f t="shared" si="53"/>
        <v>3534451.4674011692</v>
      </c>
      <c r="S75" s="102">
        <f t="shared" si="26"/>
        <v>9477560.9208068885</v>
      </c>
      <c r="T75" s="107">
        <f t="shared" si="54"/>
        <v>3340.3093584151088</v>
      </c>
      <c r="U75" s="103">
        <f t="shared" si="46"/>
        <v>172319.28946921614</v>
      </c>
      <c r="V75" s="103">
        <f t="shared" si="38"/>
        <v>175659.59882763124</v>
      </c>
      <c r="X75" s="111">
        <f t="shared" si="59"/>
        <v>2040</v>
      </c>
      <c r="Y75" s="102">
        <f>Y33*(1+Trip_Growth)^26</f>
        <v>15577943.507266464</v>
      </c>
      <c r="Z75" s="102">
        <f t="shared" si="68"/>
        <v>14442467.20502181</v>
      </c>
      <c r="AA75" s="107">
        <f>AA$33*(1+T_1!$O$14)^(X75-X$33)</f>
        <v>22148.165531137482</v>
      </c>
      <c r="AB75" s="103">
        <f t="shared" si="69"/>
        <v>262590.31281857839</v>
      </c>
      <c r="AC75" s="103">
        <f t="shared" si="70"/>
        <v>284738.47834971588</v>
      </c>
      <c r="AD75" s="106">
        <f t="shared" si="56"/>
        <v>2407463.9826285155</v>
      </c>
      <c r="AE75" s="102">
        <f t="shared" si="71"/>
        <v>2231983.9329347229</v>
      </c>
      <c r="AF75" s="107">
        <f>AF$33*(1+T_1!$P$14)^(X75-X$33)</f>
        <v>4089.0940136831045</v>
      </c>
      <c r="AG75" s="103">
        <f t="shared" si="72"/>
        <v>40581.526053358597</v>
      </c>
      <c r="AH75" s="103">
        <f t="shared" si="73"/>
        <v>44670.620067041702</v>
      </c>
      <c r="AI75" s="111">
        <f t="shared" si="60"/>
        <v>2040</v>
      </c>
      <c r="AJ75" s="102">
        <f>AJ33*(1+Trip_Growth)^26</f>
        <v>15577943.507266464</v>
      </c>
      <c r="AK75" s="102">
        <f t="shared" si="74"/>
        <v>14442467.20502181</v>
      </c>
      <c r="AL75" s="107">
        <f t="shared" si="57"/>
        <v>856.09106085865631</v>
      </c>
      <c r="AM75" s="103">
        <f t="shared" si="47"/>
        <v>262590.31281857839</v>
      </c>
      <c r="AN75" s="103">
        <f t="shared" si="75"/>
        <v>263446.40387943701</v>
      </c>
      <c r="AO75" s="106">
        <f>AO33*(1+Trip_Growth)^26</f>
        <v>2407463.9826285155</v>
      </c>
      <c r="AP75" s="102">
        <f t="shared" si="28"/>
        <v>2231983.9329347229</v>
      </c>
      <c r="AQ75" s="107">
        <f t="shared" si="58"/>
        <v>158.05538509287837</v>
      </c>
      <c r="AR75" s="103">
        <f t="shared" si="48"/>
        <v>40581.526053358597</v>
      </c>
      <c r="AS75" s="103">
        <f t="shared" si="30"/>
        <v>40739.581438451474</v>
      </c>
    </row>
    <row r="76" spans="1:45" x14ac:dyDescent="0.25">
      <c r="A76" s="112" t="s">
        <v>28</v>
      </c>
      <c r="B76" s="104">
        <f>B34*(1+Trip_Growth)^($A$75-$A$33)</f>
        <v>5312200.3892548224</v>
      </c>
      <c r="C76" s="104">
        <f t="shared" si="63"/>
        <v>14244559.099779021</v>
      </c>
      <c r="D76" s="105">
        <f>D34*(1+T_1!M10)^($A$75-$A$33)</f>
        <v>82140.120325331358</v>
      </c>
      <c r="E76" s="105">
        <f t="shared" si="64"/>
        <v>258991.98363234586</v>
      </c>
      <c r="F76" s="105">
        <f t="shared" si="24"/>
        <v>341132.1039576772</v>
      </c>
      <c r="G76" s="104">
        <f>G34*(1+Trip_Growth)^($A$75-$A$33)</f>
        <v>850192.3348300244</v>
      </c>
      <c r="H76" s="104">
        <f t="shared" si="65"/>
        <v>2279773.7420000141</v>
      </c>
      <c r="I76" s="105">
        <f>I34*(1+T_1!N10)^($A$75-$A$33)</f>
        <v>11634.901889576813</v>
      </c>
      <c r="J76" s="105">
        <f t="shared" si="66"/>
        <v>41450.431672727529</v>
      </c>
      <c r="K76" s="105">
        <f t="shared" si="25"/>
        <v>53085.333562304339</v>
      </c>
      <c r="L76" s="112" t="s">
        <v>28</v>
      </c>
      <c r="M76" s="104">
        <f>M34*(1+Trip_Growth)^($L$75-$L$33)</f>
        <v>5312200.3892548224</v>
      </c>
      <c r="N76" s="104">
        <f t="shared" si="67"/>
        <v>14244559.099779021</v>
      </c>
      <c r="O76" s="105">
        <f>O34*(1+T_1!M10)^($L$75-$L$33)*(1-Percent_Reduction)</f>
        <v>3174.954722525913</v>
      </c>
      <c r="P76" s="105">
        <f t="shared" si="45"/>
        <v>258991.98363234586</v>
      </c>
      <c r="Q76" s="105">
        <f t="shared" ref="Q76:Q79" si="76">O76+P76</f>
        <v>262166.93835487176</v>
      </c>
      <c r="R76" s="104">
        <f>R34*(1+Trip_Growth)^($L$75-$L$33)</f>
        <v>850192.3348300244</v>
      </c>
      <c r="S76" s="104">
        <f t="shared" si="26"/>
        <v>2279773.7420000141</v>
      </c>
      <c r="T76" s="105">
        <f>T34*(1+T_1!N10)^($L$75-$L$33)*(1-Percent_Reduction)</f>
        <v>449.72282185768216</v>
      </c>
      <c r="U76" s="105">
        <f t="shared" si="46"/>
        <v>41450.431672727529</v>
      </c>
      <c r="V76" s="105">
        <f t="shared" si="38"/>
        <v>41900.154494585215</v>
      </c>
      <c r="X76" s="112" t="s">
        <v>28</v>
      </c>
      <c r="Y76" s="104">
        <f>Y34*(1+Trip_Growth)^($X$75-$X$33)</f>
        <v>3301131.5222352417</v>
      </c>
      <c r="Z76" s="104">
        <f t="shared" si="68"/>
        <v>3060512.0455795145</v>
      </c>
      <c r="AA76" s="105">
        <f>AA34*(1+T_1!O10)^($X$75-$X$33)</f>
        <v>2554.9290994850217</v>
      </c>
      <c r="AB76" s="105">
        <f t="shared" si="69"/>
        <v>55645.673555991176</v>
      </c>
      <c r="AC76" s="105">
        <f t="shared" si="70"/>
        <v>58200.602655476199</v>
      </c>
      <c r="AD76" s="104">
        <f>AD34*(1+Trip_Growth)^($X$75-$X$33)</f>
        <v>512967.50183562504</v>
      </c>
      <c r="AE76" s="104">
        <f t="shared" si="71"/>
        <v>475577.30062682624</v>
      </c>
      <c r="AF76" s="105">
        <f>AF34*(1+T_1!P10)^($X$75-$X$33)</f>
        <v>979.1359251704755</v>
      </c>
      <c r="AG76" s="105">
        <f t="shared" si="72"/>
        <v>8646.8600113968423</v>
      </c>
      <c r="AH76" s="105">
        <f t="shared" si="73"/>
        <v>9625.9959365673185</v>
      </c>
      <c r="AI76" s="112" t="s">
        <v>28</v>
      </c>
      <c r="AJ76" s="104">
        <f>AJ34*(1+Trip_Growth)^($AI$75-$AI$33)</f>
        <v>3301131.5222352417</v>
      </c>
      <c r="AK76" s="104">
        <f t="shared" si="74"/>
        <v>3060512.0455795145</v>
      </c>
      <c r="AL76" s="105">
        <f>AL34*(1+T_1!O10)^($AI$75-$AI$33)*(1-Percent_Reduction)</f>
        <v>98.755445913648586</v>
      </c>
      <c r="AM76" s="105">
        <f t="shared" si="47"/>
        <v>55645.673555991176</v>
      </c>
      <c r="AN76" s="105">
        <f t="shared" si="75"/>
        <v>55744.429001904828</v>
      </c>
      <c r="AO76" s="104">
        <f>AO34*(1+Trip_Growth)^($AI$75-$AI$33)</f>
        <v>512967.50183562504</v>
      </c>
      <c r="AP76" s="104">
        <f t="shared" si="28"/>
        <v>475577.30062682624</v>
      </c>
      <c r="AQ76" s="105">
        <f>AQ34*(1+T_1!P10)^($AI$75-$AI$33)*(1-Percent_Reduction)</f>
        <v>37.846453320279323</v>
      </c>
      <c r="AR76" s="105">
        <f t="shared" si="48"/>
        <v>8646.8600113968423</v>
      </c>
      <c r="AS76" s="105">
        <f t="shared" si="30"/>
        <v>8684.706464717121</v>
      </c>
    </row>
    <row r="77" spans="1:45" x14ac:dyDescent="0.25">
      <c r="A77" s="112" t="s">
        <v>37</v>
      </c>
      <c r="B77" s="104">
        <f>B35*(1+Trip_Growth)^($A$75-$A$33)</f>
        <v>6517948.2012376292</v>
      </c>
      <c r="C77" s="104">
        <f t="shared" si="63"/>
        <v>17477747.742654677</v>
      </c>
      <c r="D77" s="105">
        <f>D35*(1+T_1!M11)^($A$75-$A$33)</f>
        <v>159019.70299861423</v>
      </c>
      <c r="E77" s="105">
        <f t="shared" si="64"/>
        <v>317777.2316846305</v>
      </c>
      <c r="F77" s="105">
        <f t="shared" si="24"/>
        <v>476796.93468324473</v>
      </c>
      <c r="G77" s="104">
        <f>G35*(1+Trip_Growth)^($A$75-$A$33)</f>
        <v>954769.16976324515</v>
      </c>
      <c r="H77" s="104">
        <f t="shared" si="65"/>
        <v>2560194.4333367469</v>
      </c>
      <c r="I77" s="105">
        <f>I35*(1+T_1!N11)^($A$75-$A$33)</f>
        <v>19064.227299804657</v>
      </c>
      <c r="J77" s="105">
        <f t="shared" si="66"/>
        <v>46548.989697031757</v>
      </c>
      <c r="K77" s="105">
        <f t="shared" si="25"/>
        <v>65613.216996836418</v>
      </c>
      <c r="L77" s="112" t="s">
        <v>37</v>
      </c>
      <c r="M77" s="104">
        <f>M35*(1+Trip_Growth)^($L$75-$L$33)</f>
        <v>6517948.2012376292</v>
      </c>
      <c r="N77" s="104">
        <f t="shared" si="67"/>
        <v>17477747.742654677</v>
      </c>
      <c r="O77" s="105">
        <f>O35*(1+T_1!M11)^($L$75-$L$33)*(1-Percent_Reduction)</f>
        <v>6146.5743538047545</v>
      </c>
      <c r="P77" s="105">
        <f t="shared" si="45"/>
        <v>317777.2316846305</v>
      </c>
      <c r="Q77" s="105">
        <f t="shared" si="76"/>
        <v>323923.80603843526</v>
      </c>
      <c r="R77" s="104">
        <f>R35*(1+Trip_Growth)^($L$75-$L$33)</f>
        <v>954769.16976324515</v>
      </c>
      <c r="S77" s="104">
        <f t="shared" si="26"/>
        <v>2560194.4333367469</v>
      </c>
      <c r="T77" s="105">
        <f>T35*(1+T_1!N11)^($L$75-$L$33)*(1-Percent_Reduction)</f>
        <v>736.88787229784305</v>
      </c>
      <c r="U77" s="105">
        <f t="shared" si="46"/>
        <v>46548.989697031757</v>
      </c>
      <c r="V77" s="105">
        <f t="shared" si="38"/>
        <v>47285.877569329597</v>
      </c>
      <c r="X77" s="112" t="s">
        <v>37</v>
      </c>
      <c r="Y77" s="104">
        <f>Y35*(1+Trip_Growth)^($X$75-$X$33)</f>
        <v>4759998.6640390791</v>
      </c>
      <c r="Z77" s="104">
        <f t="shared" si="68"/>
        <v>4413042.3614172703</v>
      </c>
      <c r="AA77" s="105">
        <f>AA35*(1+T_1!O11)^($X$75-$X$33)</f>
        <v>2683.4407765579367</v>
      </c>
      <c r="AB77" s="105">
        <f t="shared" si="69"/>
        <v>80237.133843950374</v>
      </c>
      <c r="AC77" s="105">
        <f t="shared" si="70"/>
        <v>82920.574620508312</v>
      </c>
      <c r="AD77" s="104">
        <f>AD35*(1+Trip_Growth)^($X$75-$X$33)</f>
        <v>673535.00057465059</v>
      </c>
      <c r="AE77" s="104">
        <f t="shared" si="71"/>
        <v>624441.03438276425</v>
      </c>
      <c r="AF77" s="105">
        <f>AF35*(1+T_1!P11)^($X$75-$X$33)</f>
        <v>420.95627288997161</v>
      </c>
      <c r="AG77" s="105">
        <f t="shared" si="72"/>
        <v>11353.473352413896</v>
      </c>
      <c r="AH77" s="105">
        <f t="shared" si="73"/>
        <v>11774.429625303866</v>
      </c>
      <c r="AI77" s="112" t="s">
        <v>37</v>
      </c>
      <c r="AJ77" s="104">
        <f>AJ35*(1+Trip_Growth)^($AI$75-$AI$33)</f>
        <v>4759998.6640390791</v>
      </c>
      <c r="AK77" s="104">
        <f t="shared" si="74"/>
        <v>4413042.3614172703</v>
      </c>
      <c r="AL77" s="105">
        <f>AL35*(1+T_1!O11)^($AI$75-$AI$33)*(1-Percent_Reduction)</f>
        <v>103.72279627065247</v>
      </c>
      <c r="AM77" s="105">
        <f t="shared" si="47"/>
        <v>80237.133843950374</v>
      </c>
      <c r="AN77" s="105">
        <f t="shared" si="75"/>
        <v>80340.856640221027</v>
      </c>
      <c r="AO77" s="104">
        <f>AO35*(1+Trip_Growth)^($AI$75-$AI$33)</f>
        <v>673535.00057465059</v>
      </c>
      <c r="AP77" s="104">
        <f t="shared" si="28"/>
        <v>624441.03438276425</v>
      </c>
      <c r="AQ77" s="105">
        <f>AQ35*(1+T_1!P11)^($AI$75-$AI$33)*(1-Percent_Reduction)</f>
        <v>16.2711851564789</v>
      </c>
      <c r="AR77" s="105">
        <f t="shared" si="48"/>
        <v>11353.473352413896</v>
      </c>
      <c r="AS77" s="105">
        <f t="shared" si="30"/>
        <v>11369.744537570374</v>
      </c>
    </row>
    <row r="78" spans="1:45" x14ac:dyDescent="0.25">
      <c r="A78" s="112" t="s">
        <v>29</v>
      </c>
      <c r="B78" s="104">
        <f>B36*(1+Trip_Growth)^($A$75-$A$33)</f>
        <v>5821313.3825411675</v>
      </c>
      <c r="C78" s="104">
        <f t="shared" si="63"/>
        <v>15609735.40901649</v>
      </c>
      <c r="D78" s="105">
        <f>D36*(1+T_1!M12)^($A$75-$A$33)</f>
        <v>384036.22428355744</v>
      </c>
      <c r="E78" s="105">
        <f t="shared" si="64"/>
        <v>283813.37107302708</v>
      </c>
      <c r="F78" s="105">
        <f t="shared" si="24"/>
        <v>667849.59535658453</v>
      </c>
      <c r="G78" s="104">
        <f>G36*(1+Trip_Growth)^($A$75-$A$33)</f>
        <v>733626.71909644816</v>
      </c>
      <c r="H78" s="104">
        <f t="shared" si="65"/>
        <v>1967205.3747227439</v>
      </c>
      <c r="I78" s="105">
        <f>I36*(1+T_1!N12)^($A$75-$A$33)</f>
        <v>46722.20189202141</v>
      </c>
      <c r="J78" s="105">
        <f t="shared" si="66"/>
        <v>35767.370449504437</v>
      </c>
      <c r="K78" s="105">
        <f t="shared" si="25"/>
        <v>82489.57234152584</v>
      </c>
      <c r="L78" s="112" t="s">
        <v>29</v>
      </c>
      <c r="M78" s="104">
        <f>M36*(1+Trip_Growth)^($L$75-$L$33)</f>
        <v>5821313.3825411675</v>
      </c>
      <c r="N78" s="104">
        <f t="shared" si="67"/>
        <v>15609735.40901649</v>
      </c>
      <c r="O78" s="105">
        <f>O36*(1+T_1!M12)^($L$75-$L$33)*(1-Percent_Reduction)</f>
        <v>14844.11782063192</v>
      </c>
      <c r="P78" s="105">
        <f t="shared" si="45"/>
        <v>283813.37107302708</v>
      </c>
      <c r="Q78" s="105">
        <f t="shared" si="76"/>
        <v>298657.48889365903</v>
      </c>
      <c r="R78" s="104">
        <f>R36*(1+Trip_Growth)^($L$75-$L$33)</f>
        <v>733626.71909644816</v>
      </c>
      <c r="S78" s="104">
        <f t="shared" si="26"/>
        <v>1967205.3747227439</v>
      </c>
      <c r="T78" s="105">
        <f>T36*(1+T_1!N12)^($L$75-$L$33)*(1-Percent_Reduction)</f>
        <v>1805.9490898765507</v>
      </c>
      <c r="U78" s="105">
        <f t="shared" si="46"/>
        <v>35767.370449504437</v>
      </c>
      <c r="V78" s="105">
        <f t="shared" si="38"/>
        <v>37573.319539380987</v>
      </c>
      <c r="X78" s="112" t="s">
        <v>29</v>
      </c>
      <c r="Y78" s="104">
        <f>Y36*(1+Trip_Growth)^($X$75-$X$33)</f>
        <v>4421349.8020335054</v>
      </c>
      <c r="Z78" s="104">
        <f t="shared" si="68"/>
        <v>4099077.6149632828</v>
      </c>
      <c r="AA78" s="105">
        <f>AA36*(1+T_1!O12)^($X$75-$X$33)</f>
        <v>11472.645545567606</v>
      </c>
      <c r="AB78" s="105">
        <f t="shared" si="69"/>
        <v>74528.683908423322</v>
      </c>
      <c r="AC78" s="105">
        <f t="shared" si="70"/>
        <v>86001.329453990926</v>
      </c>
      <c r="AD78" s="104">
        <f>AD36*(1+Trip_Growth)^($X$75-$X$33)</f>
        <v>402729.58335957053</v>
      </c>
      <c r="AE78" s="104">
        <f t="shared" si="71"/>
        <v>373374.62402849138</v>
      </c>
      <c r="AF78" s="105">
        <f>AF36*(1+T_1!P12)^($X$75-$X$33)</f>
        <v>1499.0641627193461</v>
      </c>
      <c r="AG78" s="105">
        <f t="shared" si="72"/>
        <v>6788.6295277907529</v>
      </c>
      <c r="AH78" s="105">
        <f t="shared" si="73"/>
        <v>8287.6936905100993</v>
      </c>
      <c r="AI78" s="112" t="s">
        <v>29</v>
      </c>
      <c r="AJ78" s="104">
        <f>AJ36*(1+Trip_Growth)^($AI$75-$AI$33)</f>
        <v>4421349.8020335054</v>
      </c>
      <c r="AK78" s="104">
        <f t="shared" si="74"/>
        <v>4099077.6149632828</v>
      </c>
      <c r="AL78" s="105">
        <f>AL36*(1+T_1!O12)^($AI$75-$AI$33)*(1-Percent_Reduction)</f>
        <v>443.45114190845095</v>
      </c>
      <c r="AM78" s="105">
        <f t="shared" si="47"/>
        <v>74528.683908423322</v>
      </c>
      <c r="AN78" s="105">
        <f t="shared" si="75"/>
        <v>74972.135050331766</v>
      </c>
      <c r="AO78" s="104">
        <f>AO36*(1+Trip_Growth)^($AI$75-$AI$33)</f>
        <v>402729.58335957053</v>
      </c>
      <c r="AP78" s="104">
        <f t="shared" si="28"/>
        <v>373374.62402849138</v>
      </c>
      <c r="AQ78" s="105">
        <f>AQ36*(1+T_1!P12)^($AI$75-$AI$33)*(1-Percent_Reduction)</f>
        <v>57.943192972501187</v>
      </c>
      <c r="AR78" s="105">
        <f t="shared" si="48"/>
        <v>6788.6295277907529</v>
      </c>
      <c r="AS78" s="105">
        <f t="shared" si="30"/>
        <v>6846.5727207632544</v>
      </c>
    </row>
    <row r="79" spans="1:45" x14ac:dyDescent="0.25">
      <c r="A79" s="112" t="s">
        <v>38</v>
      </c>
      <c r="B79" s="104">
        <f>B37*(1+Trip_Growth)^($A$75-$A$33)</f>
        <v>5318897.5973051833</v>
      </c>
      <c r="C79" s="104">
        <f t="shared" si="63"/>
        <v>14262517.529221904</v>
      </c>
      <c r="D79" s="105">
        <f>D37*(1+T_1!M13)^($A$75-$A$33)</f>
        <v>89679.17114775462</v>
      </c>
      <c r="E79" s="105">
        <f t="shared" si="64"/>
        <v>259318.50053130733</v>
      </c>
      <c r="F79" s="105">
        <f t="shared" si="24"/>
        <v>348997.67167906195</v>
      </c>
      <c r="G79" s="104">
        <f>G37*(1+Trip_Growth)^($A$75-$A$33)</f>
        <v>995863.24371145142</v>
      </c>
      <c r="H79" s="104">
        <f t="shared" si="65"/>
        <v>2670387.3707473828</v>
      </c>
      <c r="I79" s="105">
        <f>I37*(1+T_1!N13)^($A$75-$A$33)</f>
        <v>8996.7241675120331</v>
      </c>
      <c r="J79" s="105">
        <f t="shared" si="66"/>
        <v>48552.49764995242</v>
      </c>
      <c r="K79" s="105">
        <f t="shared" si="25"/>
        <v>57549.221817464451</v>
      </c>
      <c r="L79" s="112" t="s">
        <v>38</v>
      </c>
      <c r="M79" s="104">
        <f>M37*(1+Trip_Growth)^($L$75-$L$33)</f>
        <v>5318897.5973051833</v>
      </c>
      <c r="N79" s="104">
        <f t="shared" si="67"/>
        <v>14262517.529221904</v>
      </c>
      <c r="O79" s="105">
        <f>O37*(1+T_1!M13)^($L$75-$L$33)*(1-Percent_Reduction)</f>
        <v>3466.3609795074221</v>
      </c>
      <c r="P79" s="105">
        <f t="shared" si="45"/>
        <v>259318.50053130733</v>
      </c>
      <c r="Q79" s="105">
        <f t="shared" si="76"/>
        <v>262784.86151081475</v>
      </c>
      <c r="R79" s="104">
        <f>R37*(1+Trip_Growth)^($L$75-$L$33)</f>
        <v>995863.24371145142</v>
      </c>
      <c r="S79" s="104">
        <f t="shared" si="26"/>
        <v>2670387.3707473828</v>
      </c>
      <c r="T79" s="105">
        <f>T37*(1+T_1!N13)^($L$75-$L$33)*(1-Percent_Reduction)</f>
        <v>347.74957438303596</v>
      </c>
      <c r="U79" s="105">
        <f t="shared" si="46"/>
        <v>48552.49764995242</v>
      </c>
      <c r="V79" s="105">
        <f t="shared" si="38"/>
        <v>48900.247224335457</v>
      </c>
      <c r="X79" s="112" t="s">
        <v>38</v>
      </c>
      <c r="Y79" s="104">
        <f>Y37*(1+Trip_Growth)^($X$75-$X$33)</f>
        <v>3095463.5189586389</v>
      </c>
      <c r="Z79" s="104">
        <f t="shared" si="68"/>
        <v>2869835.1830617432</v>
      </c>
      <c r="AA79" s="105">
        <f>AA37*(1+T_1!O13)^($X$75-$X$33)</f>
        <v>5437.1501095268713</v>
      </c>
      <c r="AB79" s="105">
        <f t="shared" si="69"/>
        <v>52178.821510213522</v>
      </c>
      <c r="AC79" s="105">
        <f t="shared" si="70"/>
        <v>57615.97161974039</v>
      </c>
      <c r="AD79" s="104">
        <f>AD37*(1+Trip_Growth)^($X$75-$X$33)</f>
        <v>818231.8968586697</v>
      </c>
      <c r="AE79" s="104">
        <f t="shared" si="71"/>
        <v>758590.97389664117</v>
      </c>
      <c r="AF79" s="105">
        <f>AF37*(1+T_1!P13)^($X$75-$X$33)</f>
        <v>1189.9376529033175</v>
      </c>
      <c r="AG79" s="105">
        <f t="shared" si="72"/>
        <v>13792.563161757113</v>
      </c>
      <c r="AH79" s="105">
        <f t="shared" si="73"/>
        <v>14982.50081466043</v>
      </c>
      <c r="AI79" s="112" t="s">
        <v>38</v>
      </c>
      <c r="AJ79" s="104">
        <f>AJ37*(1+Trip_Growth)^($AI$75-$AI$33)</f>
        <v>3095463.5189586389</v>
      </c>
      <c r="AK79" s="104">
        <f t="shared" si="74"/>
        <v>2869835.1830617432</v>
      </c>
      <c r="AL79" s="105">
        <f>AL37*(1+T_1!O13)^($AI$75-$AI$33)*(1-Percent_Reduction)</f>
        <v>210.16167676590248</v>
      </c>
      <c r="AM79" s="105">
        <f t="shared" si="47"/>
        <v>52178.821510213522</v>
      </c>
      <c r="AN79" s="105">
        <f t="shared" si="75"/>
        <v>52388.983186979422</v>
      </c>
      <c r="AO79" s="104">
        <f>AO37*(1+Trip_Growth)^($AI$75-$AI$33)</f>
        <v>818231.8968586697</v>
      </c>
      <c r="AP79" s="104">
        <f t="shared" si="28"/>
        <v>758590.97389664117</v>
      </c>
      <c r="AQ79" s="105">
        <f>AQ37*(1+T_1!P13)^($AI$75-$AI$33)*(1-Percent_Reduction)</f>
        <v>45.994553643619199</v>
      </c>
      <c r="AR79" s="105">
        <f t="shared" si="48"/>
        <v>13792.563161757113</v>
      </c>
      <c r="AS79" s="105">
        <f t="shared" si="30"/>
        <v>13838.557715400731</v>
      </c>
    </row>
    <row r="80" spans="1:45" x14ac:dyDescent="0.25">
      <c r="A80" s="110">
        <f>A75+1</f>
        <v>2041</v>
      </c>
      <c r="B80" s="106">
        <f>B$33*(1+Trip_Growth)^(A80-A$33)</f>
        <v>23177092.806471851</v>
      </c>
      <c r="C80" s="102">
        <f t="shared" si="63"/>
        <v>62148910.818698138</v>
      </c>
      <c r="D80" s="107">
        <f>D75+((D$75-D$33)*1/26)</f>
        <v>730056.7099403803</v>
      </c>
      <c r="E80" s="107">
        <f t="shared" si="64"/>
        <v>1129980.1967036026</v>
      </c>
      <c r="F80" s="103">
        <f t="shared" si="24"/>
        <v>1860036.906643983</v>
      </c>
      <c r="G80" s="106">
        <f>G$33*(1+Trip_Growth)^(A80-A$33)</f>
        <v>3566261.5306077795</v>
      </c>
      <c r="H80" s="102">
        <f t="shared" si="65"/>
        <v>9562858.9690941498</v>
      </c>
      <c r="I80" s="107">
        <f>I$33*(1+T_1!$N$14)^(A80-A$33)</f>
        <v>89152.287774820652</v>
      </c>
      <c r="J80" s="107">
        <f t="shared" si="66"/>
        <v>173870.16307443907</v>
      </c>
      <c r="K80" s="103">
        <f t="shared" si="25"/>
        <v>263022.45084925974</v>
      </c>
      <c r="L80" s="110">
        <f>L75+1</f>
        <v>2041</v>
      </c>
      <c r="M80" s="106">
        <f>M$33*(1+Trip_Growth)^(L80-L$33)</f>
        <v>23177092.806471851</v>
      </c>
      <c r="N80" s="102">
        <f t="shared" si="67"/>
        <v>62148910.818698138</v>
      </c>
      <c r="O80" s="107">
        <f>D80*(1-Percent_Reduction)</f>
        <v>28218.816697083901</v>
      </c>
      <c r="P80" s="107">
        <f t="shared" si="45"/>
        <v>1129980.1967036026</v>
      </c>
      <c r="Q80" s="103">
        <f t="shared" ref="Q80:Q83" si="77">O80+P80</f>
        <v>1158199.0134006864</v>
      </c>
      <c r="R80" s="106">
        <f>R$33*(1+Trip_Growth)^(L80-L$33)</f>
        <v>3566261.5306077795</v>
      </c>
      <c r="S80" s="102">
        <f t="shared" si="26"/>
        <v>9562858.9690941498</v>
      </c>
      <c r="T80" s="107">
        <f>I80*(1-Percent_Reduction)</f>
        <v>3445.9954036293798</v>
      </c>
      <c r="U80" s="107">
        <f t="shared" si="46"/>
        <v>173870.16307443907</v>
      </c>
      <c r="V80" s="103">
        <f t="shared" ref="V80:V83" si="78">T80+U80</f>
        <v>177316.15847806845</v>
      </c>
      <c r="X80" s="110">
        <f>X75+1</f>
        <v>2041</v>
      </c>
      <c r="Y80" s="106">
        <f>Y$33*(1+Trip_Growth)^(X80-X$33)</f>
        <v>15718144.998831861</v>
      </c>
      <c r="Z80" s="102">
        <f t="shared" si="68"/>
        <v>14572449.409867004</v>
      </c>
      <c r="AA80" s="107">
        <f>AA$33*(1+T_1!$O$14)^(X80-X$33)</f>
        <v>22858.704892948525</v>
      </c>
      <c r="AB80" s="107">
        <f t="shared" si="69"/>
        <v>264953.62563394557</v>
      </c>
      <c r="AC80" s="103">
        <f t="shared" si="70"/>
        <v>287812.33052689407</v>
      </c>
      <c r="AD80" s="106">
        <f>AD$33*(1+Trip_Growth)^(X80-X$33)</f>
        <v>2429131.158472172</v>
      </c>
      <c r="AE80" s="102">
        <f t="shared" si="71"/>
        <v>2252071.7883311352</v>
      </c>
      <c r="AF80" s="107">
        <f>AF$33*(1+T_1!$P$14)^(X80-X$33)</f>
        <v>4232.5804007853112</v>
      </c>
      <c r="AG80" s="107">
        <f t="shared" si="72"/>
        <v>40946.759787838826</v>
      </c>
      <c r="AH80" s="103">
        <f t="shared" si="73"/>
        <v>45179.340188624134</v>
      </c>
      <c r="AI80" s="110">
        <f>AI75+1</f>
        <v>2041</v>
      </c>
      <c r="AJ80" s="106">
        <f>AJ75+((AJ$75-AJ$33)*1/26)</f>
        <v>15702452.864658851</v>
      </c>
      <c r="AK80" s="102">
        <f t="shared" si="74"/>
        <v>14557901.075353866</v>
      </c>
      <c r="AL80" s="107">
        <f>AA80*(1-Percent_Reduction)</f>
        <v>883.5554752445554</v>
      </c>
      <c r="AM80" s="107">
        <f t="shared" si="47"/>
        <v>264689.1104609794</v>
      </c>
      <c r="AN80" s="103">
        <f t="shared" si="75"/>
        <v>265572.66593622393</v>
      </c>
      <c r="AO80" s="106">
        <f>AO75+((AO$75-AO$33)*1/26)</f>
        <v>2426706.047107859</v>
      </c>
      <c r="AP80" s="102">
        <f t="shared" si="28"/>
        <v>2249823.4433341669</v>
      </c>
      <c r="AQ80" s="107">
        <f>AF80*(1-Percent_Reduction)</f>
        <v>163.60155157697884</v>
      </c>
      <c r="AR80" s="107">
        <f t="shared" si="48"/>
        <v>40905.880787893948</v>
      </c>
      <c r="AS80" s="103">
        <f t="shared" si="30"/>
        <v>41069.482339470924</v>
      </c>
    </row>
    <row r="81" spans="1:45" x14ac:dyDescent="0.25">
      <c r="A81" s="110">
        <f t="shared" si="41"/>
        <v>2042</v>
      </c>
      <c r="B81" s="106">
        <f>B$33*(1+Trip_Growth)^(A81-A$33)</f>
        <v>23385686.6417301</v>
      </c>
      <c r="C81" s="102">
        <f t="shared" si="63"/>
        <v>62708251.016066432</v>
      </c>
      <c r="D81" s="107">
        <f>D80+((D$75-D$33)*1/26)</f>
        <v>745238.20112550422</v>
      </c>
      <c r="E81" s="107">
        <f t="shared" si="64"/>
        <v>1140150.0184739351</v>
      </c>
      <c r="F81" s="103">
        <f t="shared" si="24"/>
        <v>1885388.2195994393</v>
      </c>
      <c r="G81" s="106">
        <f>G$33*(1+Trip_Growth)^(A81-A$33)</f>
        <v>3598357.88438325</v>
      </c>
      <c r="H81" s="102">
        <f t="shared" si="65"/>
        <v>9648924.6998159979</v>
      </c>
      <c r="I81" s="107">
        <f>I$33*(1+T_1!$N$14)^(A81-A$33)</f>
        <v>91973.030318617835</v>
      </c>
      <c r="J81" s="107">
        <f t="shared" si="66"/>
        <v>175434.99454210905</v>
      </c>
      <c r="K81" s="103">
        <f t="shared" si="25"/>
        <v>267408.0248607269</v>
      </c>
      <c r="L81" s="110">
        <f t="shared" ref="L81:L83" si="79">L80+1</f>
        <v>2042</v>
      </c>
      <c r="M81" s="106">
        <f>M$33*(1+Trip_Growth)^(L81-L$33)</f>
        <v>23385686.6417301</v>
      </c>
      <c r="N81" s="102">
        <f t="shared" si="67"/>
        <v>62708251.016066432</v>
      </c>
      <c r="O81" s="107">
        <f>D81*(1-Percent_Reduction)</f>
        <v>28805.625517697837</v>
      </c>
      <c r="P81" s="107">
        <f t="shared" si="45"/>
        <v>1140150.0184739351</v>
      </c>
      <c r="Q81" s="103">
        <f t="shared" si="77"/>
        <v>1168955.6439916329</v>
      </c>
      <c r="R81" s="106">
        <f>R$33*(1+Trip_Growth)^(L81-L$33)</f>
        <v>3598357.88438325</v>
      </c>
      <c r="S81" s="102">
        <f t="shared" si="26"/>
        <v>9648924.6998159979</v>
      </c>
      <c r="T81" s="107">
        <f>I81*(1-Percent_Reduction)</f>
        <v>3555.0253128258573</v>
      </c>
      <c r="U81" s="107">
        <f t="shared" si="46"/>
        <v>175434.99454210905</v>
      </c>
      <c r="V81" s="103">
        <f t="shared" si="78"/>
        <v>178990.01985493492</v>
      </c>
      <c r="X81" s="110">
        <f>X80+1</f>
        <v>2042</v>
      </c>
      <c r="Y81" s="106">
        <f>Y$33*(1+Trip_Growth)^(X81-X$33)</f>
        <v>15859608.30382135</v>
      </c>
      <c r="Z81" s="102">
        <f t="shared" si="68"/>
        <v>14703601.454555809</v>
      </c>
      <c r="AA81" s="107">
        <f>AA$33*(1+T_1!$O$14)^(X81-X$33)</f>
        <v>23592.039198384722</v>
      </c>
      <c r="AB81" s="107">
        <f t="shared" si="69"/>
        <v>267338.20826465113</v>
      </c>
      <c r="AC81" s="103">
        <f t="shared" si="70"/>
        <v>290930.24746303586</v>
      </c>
      <c r="AD81" s="106">
        <f>AD$33*(1+Trip_Growth)^(X81-X$33)</f>
        <v>2450993.3388984222</v>
      </c>
      <c r="AE81" s="102">
        <f t="shared" si="71"/>
        <v>2272340.4344261158</v>
      </c>
      <c r="AF81" s="107">
        <f>AF$33*(1+T_1!$P$14)^(X81-X$33)</f>
        <v>4381.10172795364</v>
      </c>
      <c r="AG81" s="107">
        <f t="shared" si="72"/>
        <v>41315.280625929387</v>
      </c>
      <c r="AH81" s="103">
        <f t="shared" si="73"/>
        <v>45696.382353883026</v>
      </c>
      <c r="AI81" s="110">
        <f>AI80+1</f>
        <v>2042</v>
      </c>
      <c r="AJ81" s="106">
        <f>AJ80+((AJ$75-AJ$33)*1/26)</f>
        <v>15826962.222051239</v>
      </c>
      <c r="AK81" s="102">
        <f t="shared" si="74"/>
        <v>14673334.945685921</v>
      </c>
      <c r="AL81" s="107">
        <f>AA81*(1-Percent_Reduction)</f>
        <v>911.90098054711927</v>
      </c>
      <c r="AM81" s="107">
        <f t="shared" si="47"/>
        <v>266787.90810338041</v>
      </c>
      <c r="AN81" s="103">
        <f t="shared" si="75"/>
        <v>267699.80908392754</v>
      </c>
      <c r="AO81" s="106">
        <f>AO80+((AO$75-AO$33)*1/26)</f>
        <v>2445948.1115872026</v>
      </c>
      <c r="AP81" s="102">
        <f t="shared" si="28"/>
        <v>2267662.9537336109</v>
      </c>
      <c r="AQ81" s="107">
        <f>AF81*(1-Percent_Reduction)</f>
        <v>169.34233314901994</v>
      </c>
      <c r="AR81" s="107">
        <f t="shared" si="48"/>
        <v>41230.235522429299</v>
      </c>
      <c r="AS81" s="103">
        <f t="shared" si="30"/>
        <v>41399.577855578318</v>
      </c>
    </row>
    <row r="82" spans="1:45" x14ac:dyDescent="0.25">
      <c r="A82" s="110">
        <f t="shared" si="41"/>
        <v>2043</v>
      </c>
      <c r="B82" s="106">
        <f>B$33*(1+Trip_Growth)^(A82-A$33)</f>
        <v>23596157.82150567</v>
      </c>
      <c r="C82" s="102">
        <f t="shared" si="63"/>
        <v>63272625.275211021</v>
      </c>
      <c r="D82" s="107">
        <f>D81+((D$75-D$33)*1/26)</f>
        <v>760419.69231062813</v>
      </c>
      <c r="E82" s="107">
        <f t="shared" si="64"/>
        <v>1150411.3686402005</v>
      </c>
      <c r="F82" s="103">
        <f t="shared" si="24"/>
        <v>1910831.0609508287</v>
      </c>
      <c r="G82" s="106">
        <f>G$33*(1+Trip_Growth)^(A82-A$33)</f>
        <v>3630743.1053426992</v>
      </c>
      <c r="H82" s="102">
        <f t="shared" si="65"/>
        <v>9735765.0221143421</v>
      </c>
      <c r="I82" s="107">
        <f>I$33*(1+T_1!$N$14)^(A82-A$33)</f>
        <v>94883.020022493351</v>
      </c>
      <c r="J82" s="107">
        <f t="shared" si="66"/>
        <v>177013.90949298802</v>
      </c>
      <c r="K82" s="103">
        <f t="shared" si="25"/>
        <v>271896.92951548134</v>
      </c>
      <c r="L82" s="110">
        <f t="shared" si="79"/>
        <v>2043</v>
      </c>
      <c r="M82" s="106">
        <f>M$33*(1+Trip_Growth)^(L82-L$33)</f>
        <v>23596157.82150567</v>
      </c>
      <c r="N82" s="102">
        <f t="shared" si="67"/>
        <v>63272625.275211021</v>
      </c>
      <c r="O82" s="107">
        <f>D82*(1-Percent_Reduction)</f>
        <v>29392.434338311778</v>
      </c>
      <c r="P82" s="107">
        <f t="shared" si="45"/>
        <v>1150411.3686402005</v>
      </c>
      <c r="Q82" s="103">
        <f t="shared" si="77"/>
        <v>1179803.8029785121</v>
      </c>
      <c r="R82" s="106">
        <f>R$33*(1+Trip_Growth)^(L82-L$33)</f>
        <v>3630743.1053426992</v>
      </c>
      <c r="S82" s="102">
        <f t="shared" si="26"/>
        <v>9735765.0221143421</v>
      </c>
      <c r="T82" s="107">
        <f>I82*(1-Percent_Reduction)</f>
        <v>3667.5048845166248</v>
      </c>
      <c r="U82" s="107">
        <f t="shared" si="46"/>
        <v>177013.90949298802</v>
      </c>
      <c r="V82" s="103">
        <f t="shared" si="78"/>
        <v>180681.41437750464</v>
      </c>
      <c r="X82" s="110">
        <f>X81+1</f>
        <v>2043</v>
      </c>
      <c r="Y82" s="106">
        <f>Y$33*(1+Trip_Growth)^(X82-X$33)</f>
        <v>16002344.778555742</v>
      </c>
      <c r="Z82" s="102">
        <f t="shared" si="68"/>
        <v>14835933.867646812</v>
      </c>
      <c r="AA82" s="107">
        <f>AA$33*(1+T_1!$O$14)^(X82-X$33)</f>
        <v>24348.899736214578</v>
      </c>
      <c r="AB82" s="107">
        <f t="shared" si="69"/>
        <v>269744.25213903293</v>
      </c>
      <c r="AC82" s="103">
        <f t="shared" si="70"/>
        <v>294093.15187524754</v>
      </c>
      <c r="AD82" s="106">
        <f>AD$33*(1+Trip_Growth)^(X82-X$33)</f>
        <v>2473052.2789485077</v>
      </c>
      <c r="AE82" s="102">
        <f t="shared" si="71"/>
        <v>2292791.4983359505</v>
      </c>
      <c r="AF82" s="107">
        <f>AF$33*(1+T_1!$P$14)^(X82-X$33)</f>
        <v>4534.8346713312576</v>
      </c>
      <c r="AG82" s="107">
        <f t="shared" si="72"/>
        <v>41687.118151562747</v>
      </c>
      <c r="AH82" s="103">
        <f t="shared" si="73"/>
        <v>46221.952822894003</v>
      </c>
      <c r="AI82" s="110">
        <f>AI81+1</f>
        <v>2043</v>
      </c>
      <c r="AJ82" s="106">
        <f>AJ81+((AJ$75-AJ$33)*1/26)</f>
        <v>15951471.579443626</v>
      </c>
      <c r="AK82" s="102">
        <f t="shared" si="74"/>
        <v>14788768.816017978</v>
      </c>
      <c r="AL82" s="107">
        <f>AA82*(1-Percent_Reduction)</f>
        <v>941.1558432056944</v>
      </c>
      <c r="AM82" s="107">
        <f t="shared" si="47"/>
        <v>268886.70574578142</v>
      </c>
      <c r="AN82" s="103">
        <f t="shared" si="75"/>
        <v>269827.86158898711</v>
      </c>
      <c r="AO82" s="106">
        <f>AO81+((AO$75-AO$33)*1/26)</f>
        <v>2465190.1760665462</v>
      </c>
      <c r="AP82" s="102">
        <f t="shared" si="28"/>
        <v>2285502.4641330554</v>
      </c>
      <c r="AQ82" s="107">
        <f>AF82*(1-Percent_Reduction)</f>
        <v>175.28455885615773</v>
      </c>
      <c r="AR82" s="107">
        <f t="shared" si="48"/>
        <v>41554.59025696465</v>
      </c>
      <c r="AS82" s="103">
        <f t="shared" si="30"/>
        <v>41729.874815820811</v>
      </c>
    </row>
    <row r="83" spans="1:45" x14ac:dyDescent="0.25">
      <c r="A83" s="110">
        <f t="shared" si="41"/>
        <v>2044</v>
      </c>
      <c r="B83" s="106">
        <f>B$33*(1+Trip_Growth)^(A83-A$33)</f>
        <v>23808523.241899218</v>
      </c>
      <c r="C83" s="102">
        <f t="shared" si="63"/>
        <v>63842078.902687915</v>
      </c>
      <c r="D83" s="107">
        <f>D82+((D$75-D$33)*1/26)</f>
        <v>775601.18349575205</v>
      </c>
      <c r="E83" s="107">
        <f t="shared" si="64"/>
        <v>1160765.0709579622</v>
      </c>
      <c r="F83" s="103">
        <f t="shared" si="24"/>
        <v>1936366.2544537142</v>
      </c>
      <c r="G83" s="106">
        <f>G$33*(1+Trip_Growth)^(A83-A$33)</f>
        <v>3663419.7932907827</v>
      </c>
      <c r="H83" s="102">
        <f t="shared" si="65"/>
        <v>9823386.9073133692</v>
      </c>
      <c r="I83" s="107">
        <f>I$33*(1+T_1!$N$14)^(A83-A$33)</f>
        <v>97885.080630712488</v>
      </c>
      <c r="J83" s="107">
        <f t="shared" si="66"/>
        <v>178607.03467842488</v>
      </c>
      <c r="K83" s="103">
        <f t="shared" si="25"/>
        <v>276492.11530913739</v>
      </c>
      <c r="L83" s="110">
        <f t="shared" si="79"/>
        <v>2044</v>
      </c>
      <c r="M83" s="106">
        <f>M$33*(1+Trip_Growth)^(L83-L$33)</f>
        <v>23808523.241899218</v>
      </c>
      <c r="N83" s="102">
        <f t="shared" si="67"/>
        <v>63842078.902687915</v>
      </c>
      <c r="O83" s="107">
        <f>D83*(1-Percent_Reduction)</f>
        <v>29979.243158925714</v>
      </c>
      <c r="P83" s="107">
        <f t="shared" si="45"/>
        <v>1160765.0709579622</v>
      </c>
      <c r="Q83" s="103">
        <f t="shared" si="77"/>
        <v>1190744.314116888</v>
      </c>
      <c r="R83" s="106" t="e">
        <f>R$33*(1+Trip_Growth)^(#REF!-L$33)</f>
        <v>#REF!</v>
      </c>
      <c r="S83" s="102" t="e">
        <f t="shared" si="26"/>
        <v>#REF!</v>
      </c>
      <c r="T83" s="107">
        <f>I83*(1-Percent_Reduction)</f>
        <v>3783.5432646361501</v>
      </c>
      <c r="U83" s="107" t="e">
        <f t="shared" si="46"/>
        <v>#REF!</v>
      </c>
      <c r="V83" s="103" t="e">
        <f t="shared" si="78"/>
        <v>#REF!</v>
      </c>
      <c r="X83" s="110">
        <f>X82+1</f>
        <v>2044</v>
      </c>
      <c r="Y83" s="106">
        <f>Y$33*(1+Trip_Growth)^(X83-X$33)</f>
        <v>16146365.881562741</v>
      </c>
      <c r="Z83" s="102">
        <f t="shared" si="68"/>
        <v>14969457.272455631</v>
      </c>
      <c r="AA83" s="107">
        <f>AA$33*(1+T_1!$O$14)^(X83-X$33)</f>
        <v>25130.041255815748</v>
      </c>
      <c r="AB83" s="107">
        <f t="shared" si="69"/>
        <v>272171.9504082842</v>
      </c>
      <c r="AC83" s="103">
        <f t="shared" si="70"/>
        <v>297301.99166409997</v>
      </c>
      <c r="AD83" s="106">
        <f>AD$33*(1+Trip_Growth)^(X83-X$33)</f>
        <v>2495309.7494590441</v>
      </c>
      <c r="AE83" s="102">
        <f t="shared" si="71"/>
        <v>2313426.6218209742</v>
      </c>
      <c r="AF83" s="107">
        <f>AF$33*(1+T_1!$P$14)^(X83-X$33)</f>
        <v>4693.9621066305635</v>
      </c>
      <c r="AG83" s="107">
        <f t="shared" si="72"/>
        <v>42062.302214926807</v>
      </c>
      <c r="AH83" s="103">
        <f t="shared" si="73"/>
        <v>46756.26432155737</v>
      </c>
      <c r="AI83" s="110">
        <f>AI82+1</f>
        <v>2044</v>
      </c>
      <c r="AJ83" s="106">
        <f>AJ82+((AJ$75-AJ$33)*1/26)</f>
        <v>16075980.936836014</v>
      </c>
      <c r="AK83" s="102">
        <f t="shared" si="74"/>
        <v>14904202.686350035</v>
      </c>
      <c r="AL83" s="107">
        <f>AA83*(1-Percent_Reduction)</f>
        <v>971.34923648045401</v>
      </c>
      <c r="AM83" s="107">
        <f t="shared" si="47"/>
        <v>270985.50338818249</v>
      </c>
      <c r="AN83" s="103">
        <f t="shared" si="75"/>
        <v>271956.85262466292</v>
      </c>
      <c r="AO83" s="106">
        <f>AO82+((AO$75-AO$33)*1/26)</f>
        <v>2484432.2405458898</v>
      </c>
      <c r="AP83" s="102">
        <f t="shared" si="28"/>
        <v>2303341.9745324994</v>
      </c>
      <c r="AQ83" s="107">
        <f>AF83*(1-Percent_Reduction)</f>
        <v>181.4352973769432</v>
      </c>
      <c r="AR83" s="107">
        <f t="shared" si="48"/>
        <v>41878.9449915</v>
      </c>
      <c r="AS83" s="103">
        <f t="shared" si="30"/>
        <v>42060.380288876942</v>
      </c>
    </row>
    <row r="84" spans="1:45" x14ac:dyDescent="0.25">
      <c r="A84" s="21"/>
      <c r="B84"/>
    </row>
    <row r="85" spans="1:45" x14ac:dyDescent="0.25">
      <c r="A85" s="21"/>
      <c r="B85"/>
    </row>
    <row r="86" spans="1:45" s="24" customFormat="1" x14ac:dyDescent="0.25">
      <c r="A86" s="113"/>
    </row>
    <row r="87" spans="1:45" s="97" customFormat="1" x14ac:dyDescent="0.25">
      <c r="B87" s="114"/>
    </row>
    <row r="129" spans="2:12" s="97" customFormat="1" x14ac:dyDescent="0.25">
      <c r="B129" s="114"/>
    </row>
    <row r="138" spans="2:12" x14ac:dyDescent="0.25">
      <c r="B138" s="110"/>
      <c r="C138" s="6"/>
      <c r="D138" s="6"/>
      <c r="E138" s="8"/>
      <c r="F138" s="8"/>
      <c r="G138" s="7"/>
      <c r="H138" s="10"/>
      <c r="I138" s="10"/>
      <c r="J138" s="10"/>
      <c r="K138" s="10"/>
      <c r="L138" s="10"/>
    </row>
    <row r="139" spans="2:12" x14ac:dyDescent="0.25">
      <c r="B139" s="110"/>
      <c r="C139" s="9"/>
      <c r="D139" s="9"/>
      <c r="E139" s="9"/>
      <c r="F139" s="9"/>
      <c r="G139" s="9"/>
      <c r="H139" s="10"/>
      <c r="I139" s="10"/>
      <c r="J139" s="10"/>
      <c r="K139" s="10"/>
      <c r="L139" s="10"/>
    </row>
  </sheetData>
  <mergeCells count="21">
    <mergeCell ref="B2:K2"/>
    <mergeCell ref="I16:J16"/>
    <mergeCell ref="J17:J20"/>
    <mergeCell ref="H4:J4"/>
    <mergeCell ref="A15:D15"/>
    <mergeCell ref="K4:M4"/>
    <mergeCell ref="X28:AS28"/>
    <mergeCell ref="I22:K22"/>
    <mergeCell ref="N22:P22"/>
    <mergeCell ref="AD30:AH30"/>
    <mergeCell ref="Y30:AC30"/>
    <mergeCell ref="X29:AH29"/>
    <mergeCell ref="AI29:AS29"/>
    <mergeCell ref="AJ30:AN30"/>
    <mergeCell ref="AO30:AS30"/>
    <mergeCell ref="A28:P28"/>
    <mergeCell ref="B30:F30"/>
    <mergeCell ref="G30:K30"/>
    <mergeCell ref="L29:V29"/>
    <mergeCell ref="M30:Q30"/>
    <mergeCell ref="R30:V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Key&amp;ToC</vt:lpstr>
      <vt:lpstr>Project Matrix</vt:lpstr>
      <vt:lpstr>BC Summary</vt:lpstr>
      <vt:lpstr>Cost</vt:lpstr>
      <vt:lpstr>Ben_1</vt:lpstr>
      <vt:lpstr>Ben_2</vt:lpstr>
      <vt:lpstr>Ben_3</vt:lpstr>
      <vt:lpstr>T_1</vt:lpstr>
      <vt:lpstr>T_2</vt:lpstr>
      <vt:lpstr>T_3</vt:lpstr>
      <vt:lpstr>Accident_injuries</vt:lpstr>
      <vt:lpstr>AM_PerBiz</vt:lpstr>
      <vt:lpstr>Annual_Days</vt:lpstr>
      <vt:lpstr>Const_Speed</vt:lpstr>
      <vt:lpstr>Construction_delay</vt:lpstr>
      <vt:lpstr>Crash_reduction_factor</vt:lpstr>
      <vt:lpstr>CT15_AADT_2014</vt:lpstr>
      <vt:lpstr>FF_Speed</vt:lpstr>
      <vt:lpstr>I91_AADT_2014</vt:lpstr>
      <vt:lpstr>MD_PerBiz</vt:lpstr>
      <vt:lpstr>OV_PerBiz</vt:lpstr>
      <vt:lpstr>PDO_crashes</vt:lpstr>
      <vt:lpstr>Percent_Reduction</vt:lpstr>
      <vt:lpstr>PM_PerBiz</vt:lpstr>
      <vt:lpstr>Trip_Growth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Vary, Donald</dc:creator>
  <cp:lastModifiedBy>Mauricio Garcia</cp:lastModifiedBy>
  <dcterms:created xsi:type="dcterms:W3CDTF">2016-04-02T19:58:01Z</dcterms:created>
  <dcterms:modified xsi:type="dcterms:W3CDTF">2017-10-26T14:23:00Z</dcterms:modified>
</cp:coreProperties>
</file>