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 s="1"/>
  <c r="E92" i="22"/>
  <c r="D92" i="22"/>
  <c r="C92" i="22"/>
  <c r="C93" i="22" s="1"/>
  <c r="E91" i="22"/>
  <c r="E93" i="22"/>
  <c r="D91" i="22"/>
  <c r="D93" i="22"/>
  <c r="C91" i="22"/>
  <c r="E87" i="22"/>
  <c r="D87" i="22"/>
  <c r="C87" i="22"/>
  <c r="E86" i="22"/>
  <c r="E88" i="22"/>
  <c r="D86" i="22"/>
  <c r="D88" i="22" s="1"/>
  <c r="C86" i="22"/>
  <c r="C88" i="22" s="1"/>
  <c r="E83" i="22"/>
  <c r="D83" i="22"/>
  <c r="D101" i="22"/>
  <c r="C83" i="22"/>
  <c r="E76" i="22"/>
  <c r="E102" i="22" s="1"/>
  <c r="D76" i="22"/>
  <c r="D102" i="22"/>
  <c r="C76" i="22"/>
  <c r="E75" i="22"/>
  <c r="D75" i="22"/>
  <c r="D77" i="22" s="1"/>
  <c r="D109" i="22" s="1"/>
  <c r="C75" i="22"/>
  <c r="C77" i="22" s="1"/>
  <c r="C109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23" i="22" s="1"/>
  <c r="E33" i="22"/>
  <c r="D12" i="22"/>
  <c r="D33" i="22"/>
  <c r="C12" i="22"/>
  <c r="C33" i="22"/>
  <c r="D21" i="21"/>
  <c r="F21" i="21"/>
  <c r="C21" i="21"/>
  <c r="E21" i="21" s="1"/>
  <c r="D19" i="21"/>
  <c r="E19" i="21" s="1"/>
  <c r="C19" i="21"/>
  <c r="E17" i="21"/>
  <c r="F17" i="21" s="1"/>
  <c r="E15" i="21"/>
  <c r="F15" i="21" s="1"/>
  <c r="D45" i="20"/>
  <c r="E45" i="20"/>
  <c r="C45" i="20"/>
  <c r="D44" i="20"/>
  <c r="E44" i="20"/>
  <c r="F44" i="20"/>
  <c r="C44" i="20"/>
  <c r="D43" i="20"/>
  <c r="D46" i="20" s="1"/>
  <c r="C43" i="20"/>
  <c r="C46" i="20"/>
  <c r="D36" i="20"/>
  <c r="D40" i="20"/>
  <c r="E40" i="20"/>
  <c r="F40" i="20" s="1"/>
  <c r="C36" i="20"/>
  <c r="C40" i="20"/>
  <c r="F35" i="20"/>
  <c r="E35" i="20"/>
  <c r="F34" i="20"/>
  <c r="E34" i="20"/>
  <c r="E33" i="20"/>
  <c r="F30" i="20"/>
  <c r="E30" i="20"/>
  <c r="F29" i="20"/>
  <c r="E29" i="20"/>
  <c r="E28" i="20"/>
  <c r="F28" i="20" s="1"/>
  <c r="E27" i="20"/>
  <c r="F27" i="20" s="1"/>
  <c r="D25" i="20"/>
  <c r="D39" i="20" s="1"/>
  <c r="C25" i="20"/>
  <c r="F24" i="20"/>
  <c r="E24" i="20"/>
  <c r="E23" i="20"/>
  <c r="F23" i="20" s="1"/>
  <c r="F22" i="20"/>
  <c r="E22" i="20"/>
  <c r="E25" i="20"/>
  <c r="D19" i="20"/>
  <c r="D20" i="20" s="1"/>
  <c r="E20" i="20" s="1"/>
  <c r="F20" i="20" s="1"/>
  <c r="C19" i="20"/>
  <c r="C20" i="20"/>
  <c r="E18" i="20"/>
  <c r="F18" i="20" s="1"/>
  <c r="D16" i="20"/>
  <c r="C16" i="20"/>
  <c r="E16" i="20" s="1"/>
  <c r="F16" i="20" s="1"/>
  <c r="F15" i="20"/>
  <c r="E15" i="20"/>
  <c r="E13" i="20"/>
  <c r="F13" i="20" s="1"/>
  <c r="E12" i="20"/>
  <c r="F12" i="20" s="1"/>
  <c r="C137" i="19"/>
  <c r="C139" i="19" s="1"/>
  <c r="C143" i="19"/>
  <c r="C115" i="19"/>
  <c r="C105" i="19"/>
  <c r="C96" i="19"/>
  <c r="C95" i="19"/>
  <c r="C89" i="19"/>
  <c r="C88" i="19"/>
  <c r="C83" i="19"/>
  <c r="C77" i="19"/>
  <c r="C78" i="19" s="1"/>
  <c r="C63" i="19"/>
  <c r="C65" i="19" s="1"/>
  <c r="C114" i="19" s="1"/>
  <c r="C116" i="19" s="1"/>
  <c r="C119" i="19" s="1"/>
  <c r="C123" i="19" s="1"/>
  <c r="C60" i="19"/>
  <c r="C59" i="19"/>
  <c r="C49" i="19"/>
  <c r="C48" i="19"/>
  <c r="C64" i="19" s="1"/>
  <c r="C36" i="19"/>
  <c r="C32" i="19"/>
  <c r="C33" i="19" s="1"/>
  <c r="C21" i="19"/>
  <c r="E328" i="18"/>
  <c r="E325" i="18"/>
  <c r="D324" i="18"/>
  <c r="D326" i="18"/>
  <c r="C324" i="18"/>
  <c r="E318" i="18"/>
  <c r="E315" i="18"/>
  <c r="D314" i="18"/>
  <c r="C314" i="18"/>
  <c r="C316" i="18" s="1"/>
  <c r="C320" i="18"/>
  <c r="E308" i="18"/>
  <c r="E305" i="18"/>
  <c r="D301" i="18"/>
  <c r="C301" i="18"/>
  <c r="D293" i="18"/>
  <c r="C293" i="18"/>
  <c r="D292" i="18"/>
  <c r="C292" i="18"/>
  <c r="D291" i="18"/>
  <c r="E291" i="18" s="1"/>
  <c r="C291" i="18"/>
  <c r="D290" i="18"/>
  <c r="E290" i="18" s="1"/>
  <c r="C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E280" i="18" s="1"/>
  <c r="C280" i="18"/>
  <c r="D279" i="18"/>
  <c r="E279" i="18"/>
  <c r="C279" i="18"/>
  <c r="D278" i="18"/>
  <c r="C278" i="18"/>
  <c r="E278" i="18"/>
  <c r="D277" i="18"/>
  <c r="E277" i="18" s="1"/>
  <c r="C277" i="18"/>
  <c r="D276" i="18"/>
  <c r="C276" i="18"/>
  <c r="E276" i="18"/>
  <c r="E270" i="18"/>
  <c r="D265" i="18"/>
  <c r="E265" i="18" s="1"/>
  <c r="D302" i="18"/>
  <c r="C265" i="18"/>
  <c r="C302" i="18" s="1"/>
  <c r="D262" i="18"/>
  <c r="C262" i="18"/>
  <c r="E262" i="18"/>
  <c r="D251" i="18"/>
  <c r="C251" i="18"/>
  <c r="E251" i="18"/>
  <c r="D233" i="18"/>
  <c r="C233" i="18"/>
  <c r="D232" i="18"/>
  <c r="E232" i="18" s="1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C221" i="18"/>
  <c r="C245" i="18"/>
  <c r="D220" i="18"/>
  <c r="D244" i="18"/>
  <c r="C220" i="18"/>
  <c r="E220" i="18" s="1"/>
  <c r="C244" i="18"/>
  <c r="D219" i="18"/>
  <c r="C219" i="18"/>
  <c r="C243" i="18"/>
  <c r="D218" i="18"/>
  <c r="D242" i="18"/>
  <c r="C218" i="18"/>
  <c r="D216" i="18"/>
  <c r="D240" i="18" s="1"/>
  <c r="C216" i="18"/>
  <c r="D215" i="18"/>
  <c r="C215" i="18"/>
  <c r="C239" i="18"/>
  <c r="D210" i="18"/>
  <c r="D211" i="18" s="1"/>
  <c r="E209" i="18"/>
  <c r="E208" i="18"/>
  <c r="E207" i="18"/>
  <c r="E206" i="18"/>
  <c r="D205" i="18"/>
  <c r="D229" i="18"/>
  <c r="C205" i="18"/>
  <c r="C175" i="18" s="1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E189" i="18" s="1"/>
  <c r="D188" i="18"/>
  <c r="D261" i="18"/>
  <c r="C188" i="18"/>
  <c r="E186" i="18"/>
  <c r="E185" i="18"/>
  <c r="D179" i="18"/>
  <c r="E179" i="18" s="1"/>
  <c r="C179" i="18"/>
  <c r="D178" i="18"/>
  <c r="C178" i="18"/>
  <c r="E178" i="18"/>
  <c r="D177" i="18"/>
  <c r="E177" i="18"/>
  <c r="C177" i="18"/>
  <c r="D176" i="18"/>
  <c r="E176" i="18" s="1"/>
  <c r="C176" i="18"/>
  <c r="D174" i="18"/>
  <c r="E174" i="18" s="1"/>
  <c r="C174" i="18"/>
  <c r="D173" i="18"/>
  <c r="E173" i="18" s="1"/>
  <c r="C173" i="18"/>
  <c r="D167" i="18"/>
  <c r="C167" i="18"/>
  <c r="E167" i="18"/>
  <c r="D166" i="18"/>
  <c r="C166" i="18"/>
  <c r="E166" i="18" s="1"/>
  <c r="D165" i="18"/>
  <c r="E165" i="18" s="1"/>
  <c r="C165" i="18"/>
  <c r="D164" i="18"/>
  <c r="E164" i="18"/>
  <c r="C164" i="18"/>
  <c r="D162" i="18"/>
  <c r="E162" i="18"/>
  <c r="C162" i="18"/>
  <c r="D161" i="18"/>
  <c r="C161" i="18"/>
  <c r="C157" i="18"/>
  <c r="E155" i="18"/>
  <c r="E154" i="18"/>
  <c r="E153" i="18"/>
  <c r="E152" i="18"/>
  <c r="D151" i="18"/>
  <c r="D156" i="18" s="1"/>
  <c r="C151" i="18"/>
  <c r="C156" i="18" s="1"/>
  <c r="E150" i="18"/>
  <c r="E149" i="18"/>
  <c r="E143" i="18"/>
  <c r="E142" i="18"/>
  <c r="E141" i="18"/>
  <c r="E140" i="18"/>
  <c r="D139" i="18"/>
  <c r="D144" i="18" s="1"/>
  <c r="D175" i="18"/>
  <c r="C139" i="18"/>
  <c r="C163" i="18"/>
  <c r="E138" i="18"/>
  <c r="E137" i="18"/>
  <c r="D75" i="18"/>
  <c r="E75" i="18"/>
  <c r="C75" i="18"/>
  <c r="D74" i="18"/>
  <c r="C74" i="18"/>
  <c r="E74" i="18"/>
  <c r="D73" i="18"/>
  <c r="E73" i="18"/>
  <c r="C73" i="18"/>
  <c r="D72" i="18"/>
  <c r="E72" i="18" s="1"/>
  <c r="C72" i="18"/>
  <c r="D70" i="18"/>
  <c r="C70" i="18"/>
  <c r="C76" i="18" s="1"/>
  <c r="C77" i="18" s="1"/>
  <c r="D69" i="18"/>
  <c r="E69" i="18"/>
  <c r="C69" i="18"/>
  <c r="E64" i="18"/>
  <c r="E63" i="18"/>
  <c r="E62" i="18"/>
  <c r="E61" i="18"/>
  <c r="D60" i="18"/>
  <c r="C60" i="18"/>
  <c r="E59" i="18"/>
  <c r="E58" i="18"/>
  <c r="D55" i="18"/>
  <c r="E55" i="18" s="1"/>
  <c r="D54" i="18"/>
  <c r="C54" i="18"/>
  <c r="E53" i="18"/>
  <c r="E52" i="18"/>
  <c r="E51" i="18"/>
  <c r="E50" i="18"/>
  <c r="E49" i="18"/>
  <c r="E48" i="18"/>
  <c r="E47" i="18"/>
  <c r="D42" i="18"/>
  <c r="C42" i="18"/>
  <c r="E42" i="18"/>
  <c r="D41" i="18"/>
  <c r="C41" i="18"/>
  <c r="E41" i="18" s="1"/>
  <c r="D40" i="18"/>
  <c r="C40" i="18"/>
  <c r="D39" i="18"/>
  <c r="E39" i="18"/>
  <c r="C39" i="18"/>
  <c r="D38" i="18"/>
  <c r="E38" i="18" s="1"/>
  <c r="C38" i="18"/>
  <c r="D37" i="18"/>
  <c r="C37" i="18"/>
  <c r="C43" i="18"/>
  <c r="C259" i="18" s="1"/>
  <c r="D36" i="18"/>
  <c r="C36" i="18"/>
  <c r="D33" i="18"/>
  <c r="D32" i="18"/>
  <c r="C32" i="18"/>
  <c r="C33" i="18"/>
  <c r="E33" i="18" s="1"/>
  <c r="E31" i="18"/>
  <c r="E30" i="18"/>
  <c r="E29" i="18"/>
  <c r="E28" i="18"/>
  <c r="E27" i="18"/>
  <c r="E26" i="18"/>
  <c r="E25" i="18"/>
  <c r="C22" i="18"/>
  <c r="D21" i="18"/>
  <c r="D283" i="18"/>
  <c r="C21" i="18"/>
  <c r="C283" i="18" s="1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F332" i="17"/>
  <c r="E332" i="17"/>
  <c r="E331" i="17"/>
  <c r="F331" i="17" s="1"/>
  <c r="E330" i="17"/>
  <c r="F330" i="17" s="1"/>
  <c r="E329" i="17"/>
  <c r="F329" i="17" s="1"/>
  <c r="F316" i="17"/>
  <c r="E316" i="17"/>
  <c r="F311" i="17"/>
  <c r="D311" i="17"/>
  <c r="E311" i="17" s="1"/>
  <c r="C311" i="17"/>
  <c r="E308" i="17"/>
  <c r="F308" i="17"/>
  <c r="D307" i="17"/>
  <c r="E307" i="17"/>
  <c r="C307" i="17"/>
  <c r="F307" i="17" s="1"/>
  <c r="D299" i="17"/>
  <c r="E299" i="17" s="1"/>
  <c r="C299" i="17"/>
  <c r="D298" i="17"/>
  <c r="E298" i="17" s="1"/>
  <c r="C298" i="17"/>
  <c r="D297" i="17"/>
  <c r="E297" i="17" s="1"/>
  <c r="C297" i="17"/>
  <c r="D296" i="17"/>
  <c r="E296" i="17" s="1"/>
  <c r="F296" i="17" s="1"/>
  <c r="C296" i="17"/>
  <c r="D295" i="17"/>
  <c r="E295" i="17" s="1"/>
  <c r="F295" i="17" s="1"/>
  <c r="C295" i="17"/>
  <c r="D294" i="17"/>
  <c r="C294" i="17"/>
  <c r="D250" i="17"/>
  <c r="C250" i="17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C238" i="17"/>
  <c r="D237" i="17"/>
  <c r="C237" i="17"/>
  <c r="E234" i="17"/>
  <c r="F234" i="17" s="1"/>
  <c r="E233" i="17"/>
  <c r="F233" i="17"/>
  <c r="D230" i="17"/>
  <c r="E230" i="17" s="1"/>
  <c r="F230" i="17" s="1"/>
  <c r="C230" i="17"/>
  <c r="D229" i="17"/>
  <c r="E229" i="17" s="1"/>
  <c r="C229" i="17"/>
  <c r="E228" i="17"/>
  <c r="F228" i="17" s="1"/>
  <c r="D226" i="17"/>
  <c r="D227" i="17" s="1"/>
  <c r="C226" i="17"/>
  <c r="E225" i="17"/>
  <c r="F225" i="17"/>
  <c r="E224" i="17"/>
  <c r="F224" i="17"/>
  <c r="D223" i="17"/>
  <c r="C223" i="17"/>
  <c r="E222" i="17"/>
  <c r="F222" i="17" s="1"/>
  <c r="E221" i="17"/>
  <c r="F221" i="17"/>
  <c r="D204" i="17"/>
  <c r="C204" i="17"/>
  <c r="D203" i="17"/>
  <c r="C203" i="17"/>
  <c r="C283" i="17" s="1"/>
  <c r="D198" i="17"/>
  <c r="C198" i="17"/>
  <c r="D191" i="17"/>
  <c r="D280" i="17"/>
  <c r="C191" i="17"/>
  <c r="D189" i="17"/>
  <c r="D278" i="17" s="1"/>
  <c r="C189" i="17"/>
  <c r="C278" i="17"/>
  <c r="D188" i="17"/>
  <c r="D277" i="17"/>
  <c r="C188" i="17"/>
  <c r="D180" i="17"/>
  <c r="E180" i="17" s="1"/>
  <c r="C180" i="17"/>
  <c r="D179" i="17"/>
  <c r="D181" i="17"/>
  <c r="C179" i="17"/>
  <c r="E179" i="17" s="1"/>
  <c r="C181" i="17"/>
  <c r="D171" i="17"/>
  <c r="D172" i="17" s="1"/>
  <c r="C171" i="17"/>
  <c r="C172" i="17" s="1"/>
  <c r="D170" i="17"/>
  <c r="C170" i="17"/>
  <c r="F169" i="17"/>
  <c r="E169" i="17"/>
  <c r="F168" i="17"/>
  <c r="E168" i="17"/>
  <c r="D165" i="17"/>
  <c r="E165" i="17" s="1"/>
  <c r="F165" i="17" s="1"/>
  <c r="C165" i="17"/>
  <c r="D164" i="17"/>
  <c r="E164" i="17" s="1"/>
  <c r="F164" i="17" s="1"/>
  <c r="C164" i="17"/>
  <c r="E163" i="17"/>
  <c r="F163" i="17" s="1"/>
  <c r="D158" i="17"/>
  <c r="D159" i="17"/>
  <c r="C158" i="17"/>
  <c r="C159" i="17"/>
  <c r="E157" i="17"/>
  <c r="F157" i="17" s="1"/>
  <c r="E156" i="17"/>
  <c r="F156" i="17" s="1"/>
  <c r="D155" i="17"/>
  <c r="E155" i="17"/>
  <c r="C155" i="17"/>
  <c r="E154" i="17"/>
  <c r="F154" i="17" s="1"/>
  <c r="E153" i="17"/>
  <c r="F153" i="17" s="1"/>
  <c r="D145" i="17"/>
  <c r="E145" i="17"/>
  <c r="C145" i="17"/>
  <c r="D144" i="17"/>
  <c r="D146" i="17"/>
  <c r="E146" i="17" s="1"/>
  <c r="C144" i="17"/>
  <c r="C146" i="17"/>
  <c r="D136" i="17"/>
  <c r="D137" i="17" s="1"/>
  <c r="C136" i="17"/>
  <c r="C137" i="17" s="1"/>
  <c r="D135" i="17"/>
  <c r="E135" i="17"/>
  <c r="F135" i="17"/>
  <c r="C135" i="17"/>
  <c r="F134" i="17"/>
  <c r="E134" i="17"/>
  <c r="F133" i="17"/>
  <c r="E133" i="17"/>
  <c r="D130" i="17"/>
  <c r="E130" i="17"/>
  <c r="F130" i="17"/>
  <c r="C130" i="17"/>
  <c r="D129" i="17"/>
  <c r="E129" i="17" s="1"/>
  <c r="F129" i="17"/>
  <c r="C129" i="17"/>
  <c r="F128" i="17"/>
  <c r="E128" i="17"/>
  <c r="D123" i="17"/>
  <c r="E123" i="17" s="1"/>
  <c r="D192" i="17"/>
  <c r="C123" i="17"/>
  <c r="E122" i="17"/>
  <c r="F122" i="17" s="1"/>
  <c r="E121" i="17"/>
  <c r="F121" i="17" s="1"/>
  <c r="D120" i="17"/>
  <c r="C120" i="17"/>
  <c r="E119" i="17"/>
  <c r="F119" i="17" s="1"/>
  <c r="E118" i="17"/>
  <c r="F118" i="17" s="1"/>
  <c r="D110" i="17"/>
  <c r="C110" i="17"/>
  <c r="D109" i="17"/>
  <c r="D111" i="17"/>
  <c r="C109" i="17"/>
  <c r="C111" i="17"/>
  <c r="D101" i="17"/>
  <c r="D102" i="17" s="1"/>
  <c r="C101" i="17"/>
  <c r="C102" i="17" s="1"/>
  <c r="D100" i="17"/>
  <c r="C100" i="17"/>
  <c r="E99" i="17"/>
  <c r="F99" i="17" s="1"/>
  <c r="F98" i="17"/>
  <c r="E98" i="17"/>
  <c r="D95" i="17"/>
  <c r="E95" i="17" s="1"/>
  <c r="F95" i="17"/>
  <c r="C95" i="17"/>
  <c r="D94" i="17"/>
  <c r="E94" i="17" s="1"/>
  <c r="F94" i="17" s="1"/>
  <c r="C94" i="17"/>
  <c r="F93" i="17"/>
  <c r="E93" i="17"/>
  <c r="D88" i="17"/>
  <c r="D89" i="17" s="1"/>
  <c r="C88" i="17"/>
  <c r="E87" i="17"/>
  <c r="F87" i="17" s="1"/>
  <c r="E86" i="17"/>
  <c r="F86" i="17" s="1"/>
  <c r="D85" i="17"/>
  <c r="E85" i="17"/>
  <c r="C85" i="17"/>
  <c r="E84" i="17"/>
  <c r="F84" i="17" s="1"/>
  <c r="E83" i="17"/>
  <c r="F83" i="17" s="1"/>
  <c r="D76" i="17"/>
  <c r="E76" i="17" s="1"/>
  <c r="D77" i="17"/>
  <c r="E77" i="17" s="1"/>
  <c r="C76" i="17"/>
  <c r="C77" i="17" s="1"/>
  <c r="E74" i="17"/>
  <c r="F74" i="17" s="1"/>
  <c r="E73" i="17"/>
  <c r="F73" i="17" s="1"/>
  <c r="D67" i="17"/>
  <c r="C67" i="17"/>
  <c r="D66" i="17"/>
  <c r="C66" i="17"/>
  <c r="D59" i="17"/>
  <c r="D60" i="17" s="1"/>
  <c r="C59" i="17"/>
  <c r="C60" i="17" s="1"/>
  <c r="D58" i="17"/>
  <c r="C58" i="17"/>
  <c r="E57" i="17"/>
  <c r="F57" i="17"/>
  <c r="E56" i="17"/>
  <c r="F56" i="17" s="1"/>
  <c r="D53" i="17"/>
  <c r="C53" i="17"/>
  <c r="D52" i="17"/>
  <c r="C52" i="17"/>
  <c r="E51" i="17"/>
  <c r="F51" i="17"/>
  <c r="D47" i="17"/>
  <c r="C47" i="17"/>
  <c r="C48" i="17" s="1"/>
  <c r="E46" i="17"/>
  <c r="F46" i="17"/>
  <c r="E45" i="17"/>
  <c r="F45" i="17"/>
  <c r="D44" i="17"/>
  <c r="C44" i="17"/>
  <c r="E43" i="17"/>
  <c r="F43" i="17" s="1"/>
  <c r="E42" i="17"/>
  <c r="F42" i="17" s="1"/>
  <c r="D36" i="17"/>
  <c r="E36" i="17" s="1"/>
  <c r="C36" i="17"/>
  <c r="D35" i="17"/>
  <c r="E35" i="17" s="1"/>
  <c r="C35" i="17"/>
  <c r="D30" i="17"/>
  <c r="D31" i="17" s="1"/>
  <c r="C30" i="17"/>
  <c r="C31" i="17" s="1"/>
  <c r="D29" i="17"/>
  <c r="E29" i="17" s="1"/>
  <c r="C29" i="17"/>
  <c r="E28" i="17"/>
  <c r="F28" i="17"/>
  <c r="E27" i="17"/>
  <c r="F27" i="17"/>
  <c r="D24" i="17"/>
  <c r="C24" i="17"/>
  <c r="D23" i="17"/>
  <c r="C23" i="17"/>
  <c r="E23" i="17"/>
  <c r="F23" i="17" s="1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2" i="16"/>
  <c r="E22" i="16"/>
  <c r="F22" i="16" s="1"/>
  <c r="C22" i="16"/>
  <c r="F21" i="16"/>
  <c r="E21" i="16"/>
  <c r="F20" i="16"/>
  <c r="E20" i="16"/>
  <c r="D17" i="16"/>
  <c r="E17" i="16" s="1"/>
  <c r="F17" i="16" s="1"/>
  <c r="C17" i="16"/>
  <c r="F16" i="16"/>
  <c r="E16" i="16"/>
  <c r="D13" i="16"/>
  <c r="E13" i="16"/>
  <c r="F13" i="16" s="1"/>
  <c r="C13" i="16"/>
  <c r="F12" i="16"/>
  <c r="E12" i="16"/>
  <c r="D107" i="15"/>
  <c r="E107" i="15" s="1"/>
  <c r="C107" i="15"/>
  <c r="F106" i="15"/>
  <c r="E106" i="15"/>
  <c r="F105" i="15"/>
  <c r="E105" i="15"/>
  <c r="E104" i="15"/>
  <c r="F104" i="15" s="1"/>
  <c r="D100" i="15"/>
  <c r="E100" i="15"/>
  <c r="F100" i="15" s="1"/>
  <c r="C100" i="15"/>
  <c r="F99" i="15"/>
  <c r="E99" i="15"/>
  <c r="F98" i="15"/>
  <c r="E98" i="15"/>
  <c r="E97" i="15"/>
  <c r="F97" i="15" s="1"/>
  <c r="F96" i="15"/>
  <c r="E96" i="15"/>
  <c r="F95" i="15"/>
  <c r="E95" i="15"/>
  <c r="D92" i="15"/>
  <c r="E92" i="15"/>
  <c r="C92" i="15"/>
  <c r="F91" i="15"/>
  <c r="E91" i="15"/>
  <c r="F90" i="15"/>
  <c r="E90" i="15"/>
  <c r="E89" i="15"/>
  <c r="F89" i="15" s="1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F74" i="15" s="1"/>
  <c r="E73" i="15"/>
  <c r="D70" i="15"/>
  <c r="C70" i="15"/>
  <c r="F69" i="15"/>
  <c r="E69" i="15"/>
  <c r="F68" i="15"/>
  <c r="E68" i="15"/>
  <c r="D65" i="15"/>
  <c r="C65" i="15"/>
  <c r="F64" i="15"/>
  <c r="E64" i="15"/>
  <c r="F63" i="15"/>
  <c r="E63" i="15"/>
  <c r="D60" i="15"/>
  <c r="C60" i="15"/>
  <c r="F59" i="15"/>
  <c r="E59" i="15"/>
  <c r="F58" i="15"/>
  <c r="E58" i="15"/>
  <c r="D55" i="15"/>
  <c r="C55" i="15"/>
  <c r="F54" i="15"/>
  <c r="E54" i="15"/>
  <c r="F53" i="15"/>
  <c r="E53" i="15"/>
  <c r="D50" i="15"/>
  <c r="E50" i="15" s="1"/>
  <c r="F50" i="15"/>
  <c r="C50" i="15"/>
  <c r="E49" i="15"/>
  <c r="F49" i="15" s="1"/>
  <c r="F48" i="15"/>
  <c r="E48" i="15"/>
  <c r="D45" i="15"/>
  <c r="C45" i="15"/>
  <c r="E44" i="15"/>
  <c r="F44" i="15" s="1"/>
  <c r="F43" i="15"/>
  <c r="E43" i="15"/>
  <c r="D37" i="15"/>
  <c r="E37" i="15" s="1"/>
  <c r="F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C23" i="15"/>
  <c r="F22" i="15"/>
  <c r="E22" i="15"/>
  <c r="F21" i="15"/>
  <c r="E21" i="15"/>
  <c r="F20" i="15"/>
  <c r="E20" i="15"/>
  <c r="E19" i="15"/>
  <c r="F19" i="15" s="1"/>
  <c r="D16" i="15"/>
  <c r="E16" i="15"/>
  <c r="F16" i="15" s="1"/>
  <c r="C16" i="15"/>
  <c r="F15" i="15"/>
  <c r="E15" i="15"/>
  <c r="E14" i="15"/>
  <c r="F14" i="15" s="1"/>
  <c r="E13" i="15"/>
  <c r="F13" i="15" s="1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E17" i="14"/>
  <c r="D17" i="14"/>
  <c r="D33" i="14"/>
  <c r="D36" i="14" s="1"/>
  <c r="D38" i="14" s="1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D80" i="13" s="1"/>
  <c r="C79" i="13"/>
  <c r="E78" i="13"/>
  <c r="D78" i="13"/>
  <c r="D77" i="13"/>
  <c r="C78" i="13"/>
  <c r="C80" i="13"/>
  <c r="C77" i="13"/>
  <c r="E73" i="13"/>
  <c r="E75" i="13" s="1"/>
  <c r="D73" i="13"/>
  <c r="D75" i="13" s="1"/>
  <c r="C73" i="13"/>
  <c r="C75" i="13" s="1"/>
  <c r="E71" i="13"/>
  <c r="D71" i="13"/>
  <c r="C71" i="13"/>
  <c r="E66" i="13"/>
  <c r="E65" i="13" s="1"/>
  <c r="D66" i="13"/>
  <c r="C66" i="13"/>
  <c r="C65" i="13" s="1"/>
  <c r="D65" i="13"/>
  <c r="E60" i="13"/>
  <c r="D60" i="13"/>
  <c r="C60" i="13"/>
  <c r="E58" i="13"/>
  <c r="D58" i="13"/>
  <c r="C58" i="13"/>
  <c r="E55" i="13"/>
  <c r="D55" i="13"/>
  <c r="D50" i="13" s="1"/>
  <c r="C55" i="13"/>
  <c r="C50" i="13" s="1"/>
  <c r="E54" i="13"/>
  <c r="E50" i="13"/>
  <c r="D54" i="13"/>
  <c r="C54" i="13"/>
  <c r="E48" i="13"/>
  <c r="C42" i="13"/>
  <c r="E46" i="13"/>
  <c r="E59" i="13"/>
  <c r="E61" i="13" s="1"/>
  <c r="E57" i="13" s="1"/>
  <c r="D46" i="13"/>
  <c r="D59" i="13"/>
  <c r="D61" i="13" s="1"/>
  <c r="D57" i="13" s="1"/>
  <c r="C46" i="13"/>
  <c r="C48" i="13" s="1"/>
  <c r="C59" i="13"/>
  <c r="C61" i="13" s="1"/>
  <c r="C57" i="13" s="1"/>
  <c r="E45" i="13"/>
  <c r="D45" i="13"/>
  <c r="C45" i="13"/>
  <c r="E38" i="13"/>
  <c r="D38" i="13"/>
  <c r="C38" i="13"/>
  <c r="E33" i="13"/>
  <c r="E34" i="13" s="1"/>
  <c r="D33" i="13"/>
  <c r="D34" i="13" s="1"/>
  <c r="E26" i="13"/>
  <c r="D26" i="13"/>
  <c r="C26" i="13"/>
  <c r="E25" i="13"/>
  <c r="E27" i="13" s="1"/>
  <c r="E21" i="13" s="1"/>
  <c r="C15" i="13"/>
  <c r="C24" i="13" s="1"/>
  <c r="E13" i="13"/>
  <c r="E15" i="13" s="1"/>
  <c r="E24" i="13" s="1"/>
  <c r="D13" i="13"/>
  <c r="C13" i="13"/>
  <c r="C25" i="13" s="1"/>
  <c r="C27" i="13" s="1"/>
  <c r="D47" i="12"/>
  <c r="C47" i="12"/>
  <c r="F46" i="12"/>
  <c r="E46" i="12"/>
  <c r="F45" i="12"/>
  <c r="E45" i="12"/>
  <c r="D40" i="12"/>
  <c r="E40" i="12"/>
  <c r="C40" i="12"/>
  <c r="E39" i="12"/>
  <c r="F39" i="12" s="1"/>
  <c r="F38" i="12"/>
  <c r="E38" i="12"/>
  <c r="E37" i="12"/>
  <c r="F37" i="12" s="1"/>
  <c r="D32" i="12"/>
  <c r="E32" i="12"/>
  <c r="C32" i="12"/>
  <c r="E31" i="12"/>
  <c r="F31" i="12" s="1"/>
  <c r="E30" i="12"/>
  <c r="F30" i="12" s="1"/>
  <c r="E29" i="12"/>
  <c r="F29" i="12" s="1"/>
  <c r="F28" i="12"/>
  <c r="E28" i="12"/>
  <c r="E27" i="12"/>
  <c r="F27" i="12" s="1"/>
  <c r="E26" i="12"/>
  <c r="F26" i="12" s="1"/>
  <c r="E25" i="12"/>
  <c r="F25" i="12" s="1"/>
  <c r="F24" i="12"/>
  <c r="E24" i="12"/>
  <c r="E23" i="12"/>
  <c r="F23" i="12" s="1"/>
  <c r="E19" i="12"/>
  <c r="F19" i="12" s="1"/>
  <c r="E18" i="12"/>
  <c r="F18" i="12" s="1"/>
  <c r="F16" i="12"/>
  <c r="E16" i="12"/>
  <c r="D15" i="12"/>
  <c r="D17" i="12"/>
  <c r="C15" i="12"/>
  <c r="C17" i="12"/>
  <c r="F14" i="12"/>
  <c r="E14" i="12"/>
  <c r="F13" i="12"/>
  <c r="E13" i="12"/>
  <c r="E12" i="12"/>
  <c r="F12" i="12" s="1"/>
  <c r="E11" i="12"/>
  <c r="F11" i="12" s="1"/>
  <c r="D73" i="11"/>
  <c r="F73" i="11"/>
  <c r="C73" i="11"/>
  <c r="E73" i="11" s="1"/>
  <c r="F72" i="11"/>
  <c r="E72" i="11"/>
  <c r="E71" i="11"/>
  <c r="F71" i="11" s="1"/>
  <c r="E70" i="11"/>
  <c r="F70" i="11" s="1"/>
  <c r="F67" i="11"/>
  <c r="E67" i="11"/>
  <c r="F64" i="11"/>
  <c r="E64" i="11"/>
  <c r="E63" i="11"/>
  <c r="F63" i="11" s="1"/>
  <c r="D61" i="11"/>
  <c r="D65" i="11"/>
  <c r="C61" i="11"/>
  <c r="F60" i="11"/>
  <c r="E60" i="11"/>
  <c r="F59" i="11"/>
  <c r="E59" i="11"/>
  <c r="D56" i="11"/>
  <c r="C56" i="11"/>
  <c r="E55" i="11"/>
  <c r="F55" i="11" s="1"/>
  <c r="E54" i="11"/>
  <c r="F54" i="11"/>
  <c r="F53" i="11"/>
  <c r="E53" i="11"/>
  <c r="E52" i="11"/>
  <c r="F52" i="11" s="1"/>
  <c r="E51" i="11"/>
  <c r="F51" i="11" s="1"/>
  <c r="A52" i="11"/>
  <c r="A53" i="11" s="1"/>
  <c r="A54" i="11" s="1"/>
  <c r="A55" i="11" s="1"/>
  <c r="E50" i="11"/>
  <c r="F50" i="11" s="1"/>
  <c r="A50" i="11"/>
  <c r="A51" i="11" s="1"/>
  <c r="E49" i="11"/>
  <c r="F49" i="11" s="1"/>
  <c r="E40" i="11"/>
  <c r="F40" i="11" s="1"/>
  <c r="D38" i="11"/>
  <c r="E38" i="11" s="1"/>
  <c r="F38" i="11" s="1"/>
  <c r="D41" i="11"/>
  <c r="C38" i="11"/>
  <c r="C41" i="11"/>
  <c r="E37" i="11"/>
  <c r="F37" i="11" s="1"/>
  <c r="E36" i="11"/>
  <c r="F36" i="11" s="1"/>
  <c r="E33" i="11"/>
  <c r="F33" i="11" s="1"/>
  <c r="F32" i="11"/>
  <c r="E32" i="11"/>
  <c r="F31" i="11"/>
  <c r="E31" i="11"/>
  <c r="D29" i="11"/>
  <c r="C29" i="11"/>
  <c r="F28" i="11"/>
  <c r="E28" i="11"/>
  <c r="F27" i="11"/>
  <c r="E27" i="11"/>
  <c r="E26" i="11"/>
  <c r="F26" i="11" s="1"/>
  <c r="F25" i="11"/>
  <c r="E25" i="11"/>
  <c r="D22" i="11"/>
  <c r="C22" i="11"/>
  <c r="E21" i="11"/>
  <c r="F21" i="11" s="1"/>
  <c r="F20" i="11"/>
  <c r="E20" i="11"/>
  <c r="E19" i="11"/>
  <c r="F19" i="11" s="1"/>
  <c r="F18" i="11"/>
  <c r="E18" i="11"/>
  <c r="F17" i="11"/>
  <c r="E17" i="11"/>
  <c r="E16" i="11"/>
  <c r="F16" i="11" s="1"/>
  <c r="E15" i="11"/>
  <c r="F15" i="11" s="1"/>
  <c r="F14" i="11"/>
  <c r="E14" i="11"/>
  <c r="E13" i="11"/>
  <c r="F13" i="11" s="1"/>
  <c r="D120" i="10"/>
  <c r="E120" i="10" s="1"/>
  <c r="C120" i="10"/>
  <c r="F120" i="10" s="1"/>
  <c r="D119" i="10"/>
  <c r="E119" i="10"/>
  <c r="C119" i="10"/>
  <c r="F119" i="10" s="1"/>
  <c r="F118" i="10"/>
  <c r="D118" i="10"/>
  <c r="E118" i="10" s="1"/>
  <c r="C118" i="10"/>
  <c r="D117" i="10"/>
  <c r="C117" i="10"/>
  <c r="F117" i="10" s="1"/>
  <c r="F116" i="10"/>
  <c r="D116" i="10"/>
  <c r="E116" i="10" s="1"/>
  <c r="C116" i="10"/>
  <c r="D115" i="10"/>
  <c r="E115" i="10" s="1"/>
  <c r="C115" i="10"/>
  <c r="F115" i="10" s="1"/>
  <c r="F114" i="10"/>
  <c r="D114" i="10"/>
  <c r="C114" i="10"/>
  <c r="D113" i="10"/>
  <c r="C113" i="10"/>
  <c r="F113" i="10" s="1"/>
  <c r="C122" i="10"/>
  <c r="F122" i="10" s="1"/>
  <c r="F112" i="10"/>
  <c r="D112" i="10"/>
  <c r="D121" i="10"/>
  <c r="C112" i="10"/>
  <c r="F108" i="10"/>
  <c r="D108" i="10"/>
  <c r="E108" i="10"/>
  <c r="C108" i="10"/>
  <c r="F107" i="10"/>
  <c r="D107" i="10"/>
  <c r="E107" i="10" s="1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/>
  <c r="C96" i="10"/>
  <c r="F96" i="10" s="1"/>
  <c r="F95" i="10"/>
  <c r="D95" i="10"/>
  <c r="E95" i="10" s="1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 s="1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 s="1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 s="1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 s="1"/>
  <c r="C24" i="10"/>
  <c r="D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F205" i="9"/>
  <c r="C205" i="9"/>
  <c r="E205" i="9" s="1"/>
  <c r="D204" i="9"/>
  <c r="E204" i="9"/>
  <c r="C204" i="9"/>
  <c r="D203" i="9"/>
  <c r="C203" i="9"/>
  <c r="D202" i="9"/>
  <c r="E202" i="9" s="1"/>
  <c r="C202" i="9"/>
  <c r="D201" i="9"/>
  <c r="C201" i="9"/>
  <c r="D200" i="9"/>
  <c r="E200" i="9"/>
  <c r="C200" i="9"/>
  <c r="D199" i="9"/>
  <c r="D208" i="9"/>
  <c r="C199" i="9"/>
  <c r="C208" i="9"/>
  <c r="E208" i="9" s="1"/>
  <c r="D198" i="9"/>
  <c r="C198" i="9"/>
  <c r="C207" i="9"/>
  <c r="D193" i="9"/>
  <c r="C193" i="9"/>
  <c r="D192" i="9"/>
  <c r="E192" i="9"/>
  <c r="C192" i="9"/>
  <c r="F191" i="9"/>
  <c r="E191" i="9"/>
  <c r="F190" i="9"/>
  <c r="E190" i="9"/>
  <c r="F189" i="9"/>
  <c r="E189" i="9"/>
  <c r="E188" i="9"/>
  <c r="F188" i="9" s="1"/>
  <c r="E187" i="9"/>
  <c r="F187" i="9" s="1"/>
  <c r="F186" i="9"/>
  <c r="E186" i="9"/>
  <c r="F185" i="9"/>
  <c r="E185" i="9"/>
  <c r="E184" i="9"/>
  <c r="F184" i="9" s="1"/>
  <c r="F183" i="9"/>
  <c r="E183" i="9"/>
  <c r="D180" i="9"/>
  <c r="C180" i="9"/>
  <c r="F180" i="9" s="1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E167" i="9" s="1"/>
  <c r="C167" i="9"/>
  <c r="F167" i="9" s="1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 s="1"/>
  <c r="F153" i="9"/>
  <c r="D153" i="9"/>
  <c r="E153" i="9" s="1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D140" i="9"/>
  <c r="E140" i="9" s="1"/>
  <c r="C140" i="9"/>
  <c r="F140" i="9" s="1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 s="1"/>
  <c r="C128" i="9"/>
  <c r="D127" i="9"/>
  <c r="E127" i="9"/>
  <c r="F127" i="9" s="1"/>
  <c r="C127" i="9"/>
  <c r="E126" i="9"/>
  <c r="F126" i="9" s="1"/>
  <c r="E125" i="9"/>
  <c r="F125" i="9" s="1"/>
  <c r="E124" i="9"/>
  <c r="F124" i="9" s="1"/>
  <c r="F123" i="9"/>
  <c r="E123" i="9"/>
  <c r="F122" i="9"/>
  <c r="E122" i="9"/>
  <c r="E121" i="9"/>
  <c r="F121" i="9" s="1"/>
  <c r="E120" i="9"/>
  <c r="F120" i="9" s="1"/>
  <c r="E119" i="9"/>
  <c r="F119" i="9" s="1"/>
  <c r="E118" i="9"/>
  <c r="F118" i="9" s="1"/>
  <c r="D115" i="9"/>
  <c r="C115" i="9"/>
  <c r="F115" i="9" s="1"/>
  <c r="D114" i="9"/>
  <c r="E114" i="9" s="1"/>
  <c r="C114" i="9"/>
  <c r="F114" i="9" s="1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C102" i="9"/>
  <c r="D101" i="9"/>
  <c r="E101" i="9"/>
  <c r="C101" i="9"/>
  <c r="E100" i="9"/>
  <c r="F100" i="9" s="1"/>
  <c r="F99" i="9"/>
  <c r="E99" i="9"/>
  <c r="E98" i="9"/>
  <c r="F98" i="9" s="1"/>
  <c r="E97" i="9"/>
  <c r="F97" i="9" s="1"/>
  <c r="E96" i="9"/>
  <c r="F96" i="9" s="1"/>
  <c r="F95" i="9"/>
  <c r="E95" i="9"/>
  <c r="E94" i="9"/>
  <c r="F94" i="9" s="1"/>
  <c r="E93" i="9"/>
  <c r="F93" i="9" s="1"/>
  <c r="E92" i="9"/>
  <c r="F92" i="9" s="1"/>
  <c r="D89" i="9"/>
  <c r="E89" i="9"/>
  <c r="C89" i="9"/>
  <c r="F89" i="9" s="1"/>
  <c r="D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E75" i="9"/>
  <c r="F75" i="9"/>
  <c r="C75" i="9"/>
  <c r="F74" i="9"/>
  <c r="E74" i="9"/>
  <c r="E73" i="9"/>
  <c r="F73" i="9" s="1"/>
  <c r="E72" i="9"/>
  <c r="F72" i="9" s="1"/>
  <c r="F71" i="9"/>
  <c r="E71" i="9"/>
  <c r="F70" i="9"/>
  <c r="E70" i="9"/>
  <c r="E69" i="9"/>
  <c r="F69" i="9" s="1"/>
  <c r="E68" i="9"/>
  <c r="F68" i="9" s="1"/>
  <c r="E67" i="9"/>
  <c r="F67" i="9" s="1"/>
  <c r="F66" i="9"/>
  <c r="E66" i="9"/>
  <c r="F63" i="9"/>
  <c r="D63" i="9"/>
  <c r="C63" i="9"/>
  <c r="D62" i="9"/>
  <c r="E62" i="9" s="1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C50" i="9"/>
  <c r="D49" i="9"/>
  <c r="E49" i="9" s="1"/>
  <c r="F49" i="9"/>
  <c r="C49" i="9"/>
  <c r="E48" i="9"/>
  <c r="F48" i="9" s="1"/>
  <c r="E47" i="9"/>
  <c r="F47" i="9" s="1"/>
  <c r="E46" i="9"/>
  <c r="F46" i="9" s="1"/>
  <c r="F45" i="9"/>
  <c r="E45" i="9"/>
  <c r="E44" i="9"/>
  <c r="F44" i="9" s="1"/>
  <c r="E43" i="9"/>
  <c r="F43" i="9" s="1"/>
  <c r="E42" i="9"/>
  <c r="F42" i="9" s="1"/>
  <c r="E41" i="9"/>
  <c r="F41" i="9" s="1"/>
  <c r="E40" i="9"/>
  <c r="F40" i="9" s="1"/>
  <c r="D37" i="9"/>
  <c r="E37" i="9" s="1"/>
  <c r="C37" i="9"/>
  <c r="F37" i="9" s="1"/>
  <c r="D36" i="9"/>
  <c r="C36" i="9"/>
  <c r="F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 s="1"/>
  <c r="C24" i="9"/>
  <c r="D23" i="9"/>
  <c r="C23" i="9"/>
  <c r="F22" i="9"/>
  <c r="E22" i="9"/>
  <c r="F21" i="9"/>
  <c r="E21" i="9"/>
  <c r="E20" i="9"/>
  <c r="F20" i="9" s="1"/>
  <c r="E19" i="9"/>
  <c r="F19" i="9" s="1"/>
  <c r="E18" i="9"/>
  <c r="F18" i="9" s="1"/>
  <c r="F17" i="9"/>
  <c r="E17" i="9"/>
  <c r="F16" i="9"/>
  <c r="E16" i="9"/>
  <c r="E15" i="9"/>
  <c r="F15" i="9" s="1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C160" i="8" s="1"/>
  <c r="C166" i="8" s="1"/>
  <c r="E162" i="8"/>
  <c r="D162" i="8"/>
  <c r="C162" i="8"/>
  <c r="E161" i="8"/>
  <c r="D161" i="8"/>
  <c r="C161" i="8"/>
  <c r="E160" i="8"/>
  <c r="E166" i="8" s="1"/>
  <c r="E147" i="8"/>
  <c r="D147" i="8"/>
  <c r="D143" i="8"/>
  <c r="C147" i="8"/>
  <c r="E145" i="8"/>
  <c r="E149" i="8" s="1"/>
  <c r="D145" i="8"/>
  <c r="C145" i="8"/>
  <c r="E144" i="8"/>
  <c r="D144" i="8"/>
  <c r="C144" i="8"/>
  <c r="E143" i="8"/>
  <c r="C143" i="8"/>
  <c r="C149" i="8"/>
  <c r="C137" i="8" s="1"/>
  <c r="E126" i="8"/>
  <c r="D126" i="8"/>
  <c r="C126" i="8"/>
  <c r="E119" i="8"/>
  <c r="D119" i="8"/>
  <c r="C119" i="8"/>
  <c r="E108" i="8"/>
  <c r="D108" i="8"/>
  <c r="C108" i="8"/>
  <c r="E107" i="8"/>
  <c r="E109" i="8" s="1"/>
  <c r="E106" i="8" s="1"/>
  <c r="D107" i="8"/>
  <c r="C107" i="8"/>
  <c r="C109" i="8" s="1"/>
  <c r="C106" i="8" s="1"/>
  <c r="E102" i="8"/>
  <c r="E104" i="8" s="1"/>
  <c r="D102" i="8"/>
  <c r="D104" i="8" s="1"/>
  <c r="C102" i="8"/>
  <c r="C104" i="8" s="1"/>
  <c r="E100" i="8"/>
  <c r="D100" i="8"/>
  <c r="C100" i="8"/>
  <c r="E95" i="8"/>
  <c r="E94" i="8"/>
  <c r="D95" i="8"/>
  <c r="D94" i="8" s="1"/>
  <c r="C95" i="8"/>
  <c r="C94" i="8"/>
  <c r="E89" i="8"/>
  <c r="D89" i="8"/>
  <c r="C89" i="8"/>
  <c r="E87" i="8"/>
  <c r="D87" i="8"/>
  <c r="C87" i="8"/>
  <c r="E84" i="8"/>
  <c r="D84" i="8"/>
  <c r="C84" i="8"/>
  <c r="E83" i="8"/>
  <c r="D83" i="8"/>
  <c r="C83" i="8"/>
  <c r="C79" i="8" s="1"/>
  <c r="D79" i="8"/>
  <c r="E71" i="8"/>
  <c r="C77" i="8"/>
  <c r="C71" i="8" s="1"/>
  <c r="E75" i="8"/>
  <c r="E77" i="8" s="1"/>
  <c r="D75" i="8"/>
  <c r="D88" i="8"/>
  <c r="C75" i="8"/>
  <c r="C88" i="8" s="1"/>
  <c r="C90" i="8"/>
  <c r="C86" i="8"/>
  <c r="E74" i="8"/>
  <c r="D74" i="8"/>
  <c r="D71" i="8" s="1"/>
  <c r="C74" i="8"/>
  <c r="E67" i="8"/>
  <c r="D67" i="8"/>
  <c r="C67" i="8"/>
  <c r="D53" i="8"/>
  <c r="D43" i="8"/>
  <c r="E38" i="8"/>
  <c r="E57" i="8"/>
  <c r="E62" i="8" s="1"/>
  <c r="D38" i="8"/>
  <c r="D57" i="8" s="1"/>
  <c r="D62" i="8" s="1"/>
  <c r="C38" i="8"/>
  <c r="E33" i="8"/>
  <c r="E34" i="8"/>
  <c r="D33" i="8"/>
  <c r="D34" i="8"/>
  <c r="E26" i="8"/>
  <c r="D26" i="8"/>
  <c r="C26" i="8"/>
  <c r="C25" i="8"/>
  <c r="C27" i="8"/>
  <c r="C22" i="8" s="1"/>
  <c r="E15" i="8"/>
  <c r="E17" i="8" s="1"/>
  <c r="E112" i="8" s="1"/>
  <c r="E111" i="8" s="1"/>
  <c r="E24" i="8"/>
  <c r="E13" i="8"/>
  <c r="E25" i="8" s="1"/>
  <c r="E27" i="8" s="1"/>
  <c r="D13" i="8"/>
  <c r="D25" i="8"/>
  <c r="D27" i="8" s="1"/>
  <c r="C13" i="8"/>
  <c r="C15" i="8" s="1"/>
  <c r="C24" i="8" s="1"/>
  <c r="F186" i="7"/>
  <c r="E186" i="7"/>
  <c r="D183" i="7"/>
  <c r="C183" i="7"/>
  <c r="E182" i="7"/>
  <c r="F182" i="7" s="1"/>
  <c r="F181" i="7"/>
  <c r="E181" i="7"/>
  <c r="F180" i="7"/>
  <c r="E180" i="7"/>
  <c r="F179" i="7"/>
  <c r="E179" i="7"/>
  <c r="F178" i="7"/>
  <c r="E178" i="7"/>
  <c r="F177" i="7"/>
  <c r="E177" i="7"/>
  <c r="F176" i="7"/>
  <c r="E176" i="7"/>
  <c r="E175" i="7"/>
  <c r="F175" i="7" s="1"/>
  <c r="F174" i="7"/>
  <c r="E174" i="7"/>
  <c r="F173" i="7"/>
  <c r="E173" i="7"/>
  <c r="F172" i="7"/>
  <c r="E172" i="7"/>
  <c r="E171" i="7"/>
  <c r="F171" i="7" s="1"/>
  <c r="E170" i="7"/>
  <c r="F170" i="7" s="1"/>
  <c r="D167" i="7"/>
  <c r="E167" i="7" s="1"/>
  <c r="C167" i="7"/>
  <c r="F166" i="7"/>
  <c r="E166" i="7"/>
  <c r="F165" i="7"/>
  <c r="E165" i="7"/>
  <c r="E164" i="7"/>
  <c r="F164" i="7" s="1"/>
  <c r="E163" i="7"/>
  <c r="F163" i="7" s="1"/>
  <c r="E162" i="7"/>
  <c r="F162" i="7" s="1"/>
  <c r="F161" i="7"/>
  <c r="E161" i="7"/>
  <c r="E160" i="7"/>
  <c r="F160" i="7" s="1"/>
  <c r="E159" i="7"/>
  <c r="F159" i="7" s="1"/>
  <c r="F158" i="7"/>
  <c r="E158" i="7"/>
  <c r="E157" i="7"/>
  <c r="F157" i="7" s="1"/>
  <c r="F156" i="7"/>
  <c r="E156" i="7"/>
  <c r="E155" i="7"/>
  <c r="F155" i="7" s="1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E145" i="7"/>
  <c r="F145" i="7" s="1"/>
  <c r="E144" i="7"/>
  <c r="F144" i="7" s="1"/>
  <c r="F143" i="7"/>
  <c r="E143" i="7"/>
  <c r="F142" i="7"/>
  <c r="E142" i="7"/>
  <c r="E141" i="7"/>
  <c r="F141" i="7" s="1"/>
  <c r="E140" i="7"/>
  <c r="F140" i="7" s="1"/>
  <c r="E139" i="7"/>
  <c r="F139" i="7" s="1"/>
  <c r="F138" i="7"/>
  <c r="E138" i="7"/>
  <c r="F137" i="7"/>
  <c r="E137" i="7"/>
  <c r="F136" i="7"/>
  <c r="E136" i="7"/>
  <c r="E135" i="7"/>
  <c r="F135" i="7" s="1"/>
  <c r="F134" i="7"/>
  <c r="E134" i="7"/>
  <c r="F133" i="7"/>
  <c r="E133" i="7"/>
  <c r="D130" i="7"/>
  <c r="C130" i="7"/>
  <c r="E129" i="7"/>
  <c r="F129" i="7" s="1"/>
  <c r="F128" i="7"/>
  <c r="E128" i="7"/>
  <c r="F127" i="7"/>
  <c r="E127" i="7"/>
  <c r="E126" i="7"/>
  <c r="F126" i="7" s="1"/>
  <c r="F125" i="7"/>
  <c r="E125" i="7"/>
  <c r="E124" i="7"/>
  <c r="F124" i="7" s="1"/>
  <c r="D121" i="7"/>
  <c r="E121" i="7" s="1"/>
  <c r="C121" i="7"/>
  <c r="F120" i="7"/>
  <c r="E120" i="7"/>
  <c r="E119" i="7"/>
  <c r="F119" i="7" s="1"/>
  <c r="E118" i="7"/>
  <c r="F118" i="7" s="1"/>
  <c r="F117" i="7"/>
  <c r="E117" i="7"/>
  <c r="E116" i="7"/>
  <c r="F116" i="7" s="1"/>
  <c r="E115" i="7"/>
  <c r="F115" i="7" s="1"/>
  <c r="E114" i="7"/>
  <c r="F114" i="7" s="1"/>
  <c r="F113" i="7"/>
  <c r="E113" i="7"/>
  <c r="E112" i="7"/>
  <c r="F112" i="7" s="1"/>
  <c r="E111" i="7"/>
  <c r="F111" i="7" s="1"/>
  <c r="E110" i="7"/>
  <c r="F110" i="7" s="1"/>
  <c r="F109" i="7"/>
  <c r="E109" i="7"/>
  <c r="F108" i="7"/>
  <c r="E108" i="7"/>
  <c r="E107" i="7"/>
  <c r="F107" i="7" s="1"/>
  <c r="E106" i="7"/>
  <c r="F106" i="7" s="1"/>
  <c r="F105" i="7"/>
  <c r="E105" i="7"/>
  <c r="E104" i="7"/>
  <c r="F104" i="7" s="1"/>
  <c r="E103" i="7"/>
  <c r="F103" i="7" s="1"/>
  <c r="F93" i="7"/>
  <c r="E93" i="7"/>
  <c r="D90" i="7"/>
  <c r="C90" i="7"/>
  <c r="C95" i="7"/>
  <c r="E89" i="7"/>
  <c r="F89" i="7" s="1"/>
  <c r="F88" i="7"/>
  <c r="E88" i="7"/>
  <c r="E87" i="7"/>
  <c r="F87" i="7" s="1"/>
  <c r="F86" i="7"/>
  <c r="E86" i="7"/>
  <c r="F85" i="7"/>
  <c r="E85" i="7"/>
  <c r="F84" i="7"/>
  <c r="E84" i="7"/>
  <c r="E83" i="7"/>
  <c r="F83" i="7" s="1"/>
  <c r="E82" i="7"/>
  <c r="F82" i="7" s="1"/>
  <c r="E81" i="7"/>
  <c r="F81" i="7" s="1"/>
  <c r="F80" i="7"/>
  <c r="E80" i="7"/>
  <c r="E79" i="7"/>
  <c r="F79" i="7" s="1"/>
  <c r="F78" i="7"/>
  <c r="E78" i="7"/>
  <c r="F77" i="7"/>
  <c r="E77" i="7"/>
  <c r="F76" i="7"/>
  <c r="E76" i="7"/>
  <c r="E75" i="7"/>
  <c r="F75" i="7" s="1"/>
  <c r="E74" i="7"/>
  <c r="F74" i="7" s="1"/>
  <c r="E73" i="7"/>
  <c r="F73" i="7" s="1"/>
  <c r="F72" i="7"/>
  <c r="E72" i="7"/>
  <c r="E71" i="7"/>
  <c r="F71" i="7" s="1"/>
  <c r="E70" i="7"/>
  <c r="F70" i="7" s="1"/>
  <c r="F69" i="7"/>
  <c r="E69" i="7"/>
  <c r="F68" i="7"/>
  <c r="E68" i="7"/>
  <c r="E67" i="7"/>
  <c r="F67" i="7" s="1"/>
  <c r="E66" i="7"/>
  <c r="F66" i="7" s="1"/>
  <c r="F65" i="7"/>
  <c r="E65" i="7"/>
  <c r="F64" i="7"/>
  <c r="E64" i="7"/>
  <c r="E63" i="7"/>
  <c r="F63" i="7" s="1"/>
  <c r="F62" i="7"/>
  <c r="E62" i="7"/>
  <c r="D59" i="7"/>
  <c r="E59" i="7"/>
  <c r="F59" i="7" s="1"/>
  <c r="C59" i="7"/>
  <c r="E58" i="7"/>
  <c r="F58" i="7" s="1"/>
  <c r="E57" i="7"/>
  <c r="F57" i="7" s="1"/>
  <c r="F56" i="7"/>
  <c r="E56" i="7"/>
  <c r="F55" i="7"/>
  <c r="E55" i="7"/>
  <c r="E54" i="7"/>
  <c r="F54" i="7" s="1"/>
  <c r="F53" i="7"/>
  <c r="E53" i="7"/>
  <c r="E50" i="7"/>
  <c r="F50" i="7" s="1"/>
  <c r="F47" i="7"/>
  <c r="E47" i="7"/>
  <c r="F44" i="7"/>
  <c r="E44" i="7"/>
  <c r="D41" i="7"/>
  <c r="C41" i="7"/>
  <c r="F40" i="7"/>
  <c r="E40" i="7"/>
  <c r="E39" i="7"/>
  <c r="F39" i="7" s="1"/>
  <c r="E38" i="7"/>
  <c r="F38" i="7" s="1"/>
  <c r="D35" i="7"/>
  <c r="E35" i="7"/>
  <c r="F35" i="7"/>
  <c r="C35" i="7"/>
  <c r="E34" i="7"/>
  <c r="F34" i="7" s="1"/>
  <c r="F33" i="7"/>
  <c r="E33" i="7"/>
  <c r="D30" i="7"/>
  <c r="E30" i="7" s="1"/>
  <c r="F30" i="7" s="1"/>
  <c r="C30" i="7"/>
  <c r="E29" i="7"/>
  <c r="F29" i="7" s="1"/>
  <c r="F28" i="7"/>
  <c r="E28" i="7"/>
  <c r="E27" i="7"/>
  <c r="F27" i="7" s="1"/>
  <c r="D24" i="7"/>
  <c r="C24" i="7"/>
  <c r="E23" i="7"/>
  <c r="F23" i="7" s="1"/>
  <c r="E22" i="7"/>
  <c r="F22" i="7" s="1"/>
  <c r="F21" i="7"/>
  <c r="E21" i="7"/>
  <c r="D18" i="7"/>
  <c r="E18" i="7"/>
  <c r="C18" i="7"/>
  <c r="E17" i="7"/>
  <c r="F17" i="7" s="1"/>
  <c r="F16" i="7"/>
  <c r="E16" i="7"/>
  <c r="E15" i="7"/>
  <c r="F15" i="7" s="1"/>
  <c r="D179" i="6"/>
  <c r="E179" i="6" s="1"/>
  <c r="C179" i="6"/>
  <c r="F178" i="6"/>
  <c r="E178" i="6"/>
  <c r="F177" i="6"/>
  <c r="E177" i="6"/>
  <c r="F176" i="6"/>
  <c r="E176" i="6"/>
  <c r="E175" i="6"/>
  <c r="F175" i="6" s="1"/>
  <c r="F174" i="6"/>
  <c r="E174" i="6"/>
  <c r="E173" i="6"/>
  <c r="F173" i="6" s="1"/>
  <c r="E172" i="6"/>
  <c r="F172" i="6" s="1"/>
  <c r="F171" i="6"/>
  <c r="E171" i="6"/>
  <c r="F170" i="6"/>
  <c r="E170" i="6"/>
  <c r="E169" i="6"/>
  <c r="F169" i="6" s="1"/>
  <c r="F168" i="6"/>
  <c r="E168" i="6"/>
  <c r="D166" i="6"/>
  <c r="E166" i="6"/>
  <c r="F166" i="6" s="1"/>
  <c r="C166" i="6"/>
  <c r="E165" i="6"/>
  <c r="F165" i="6" s="1"/>
  <c r="F164" i="6"/>
  <c r="E164" i="6"/>
  <c r="E163" i="6"/>
  <c r="F163" i="6" s="1"/>
  <c r="F162" i="6"/>
  <c r="E162" i="6"/>
  <c r="E161" i="6"/>
  <c r="F161" i="6" s="1"/>
  <c r="F160" i="6"/>
  <c r="E160" i="6"/>
  <c r="F159" i="6"/>
  <c r="E159" i="6"/>
  <c r="F158" i="6"/>
  <c r="E158" i="6"/>
  <c r="E157" i="6"/>
  <c r="F157" i="6" s="1"/>
  <c r="E156" i="6"/>
  <c r="F156" i="6" s="1"/>
  <c r="E155" i="6"/>
  <c r="F155" i="6" s="1"/>
  <c r="D153" i="6"/>
  <c r="C153" i="6"/>
  <c r="F152" i="6"/>
  <c r="E152" i="6"/>
  <c r="F151" i="6"/>
  <c r="E151" i="6"/>
  <c r="F150" i="6"/>
  <c r="E150" i="6"/>
  <c r="E149" i="6"/>
  <c r="F149" i="6" s="1"/>
  <c r="F148" i="6"/>
  <c r="E148" i="6"/>
  <c r="E147" i="6"/>
  <c r="F147" i="6" s="1"/>
  <c r="F146" i="6"/>
  <c r="E146" i="6"/>
  <c r="F145" i="6"/>
  <c r="E145" i="6"/>
  <c r="F144" i="6"/>
  <c r="E144" i="6"/>
  <c r="E143" i="6"/>
  <c r="F143" i="6" s="1"/>
  <c r="F142" i="6"/>
  <c r="E142" i="6"/>
  <c r="D137" i="6"/>
  <c r="C137" i="6"/>
  <c r="F136" i="6"/>
  <c r="E136" i="6"/>
  <c r="F135" i="6"/>
  <c r="E135" i="6"/>
  <c r="E134" i="6"/>
  <c r="F134" i="6" s="1"/>
  <c r="E133" i="6"/>
  <c r="F133" i="6" s="1"/>
  <c r="E132" i="6"/>
  <c r="F132" i="6" s="1"/>
  <c r="F131" i="6"/>
  <c r="E131" i="6"/>
  <c r="E130" i="6"/>
  <c r="F130" i="6" s="1"/>
  <c r="F129" i="6"/>
  <c r="E129" i="6"/>
  <c r="E128" i="6"/>
  <c r="F128" i="6" s="1"/>
  <c r="F127" i="6"/>
  <c r="E127" i="6"/>
  <c r="E126" i="6"/>
  <c r="F126" i="6" s="1"/>
  <c r="D124" i="6"/>
  <c r="C124" i="6"/>
  <c r="E124" i="6" s="1"/>
  <c r="F123" i="6"/>
  <c r="E123" i="6"/>
  <c r="F122" i="6"/>
  <c r="E122" i="6"/>
  <c r="E121" i="6"/>
  <c r="F121" i="6" s="1"/>
  <c r="E120" i="6"/>
  <c r="F120" i="6" s="1"/>
  <c r="F119" i="6"/>
  <c r="E119" i="6"/>
  <c r="E118" i="6"/>
  <c r="F118" i="6" s="1"/>
  <c r="F117" i="6"/>
  <c r="E117" i="6"/>
  <c r="F116" i="6"/>
  <c r="E116" i="6"/>
  <c r="F115" i="6"/>
  <c r="E115" i="6"/>
  <c r="E114" i="6"/>
  <c r="F114" i="6" s="1"/>
  <c r="F113" i="6"/>
  <c r="E113" i="6"/>
  <c r="D111" i="6"/>
  <c r="E111" i="6"/>
  <c r="F111" i="6" s="1"/>
  <c r="C111" i="6"/>
  <c r="E110" i="6"/>
  <c r="F110" i="6" s="1"/>
  <c r="F109" i="6"/>
  <c r="E109" i="6"/>
  <c r="F108" i="6"/>
  <c r="E108" i="6"/>
  <c r="F107" i="6"/>
  <c r="E107" i="6"/>
  <c r="E106" i="6"/>
  <c r="F106" i="6" s="1"/>
  <c r="F105" i="6"/>
  <c r="E105" i="6"/>
  <c r="E104" i="6"/>
  <c r="F104" i="6" s="1"/>
  <c r="F103" i="6"/>
  <c r="E103" i="6"/>
  <c r="E102" i="6"/>
  <c r="F102" i="6" s="1"/>
  <c r="F101" i="6"/>
  <c r="E101" i="6"/>
  <c r="E100" i="6"/>
  <c r="F100" i="6" s="1"/>
  <c r="D94" i="6"/>
  <c r="E94" i="6" s="1"/>
  <c r="C94" i="6"/>
  <c r="D93" i="6"/>
  <c r="C93" i="6"/>
  <c r="D92" i="6"/>
  <c r="C92" i="6"/>
  <c r="D91" i="6"/>
  <c r="E91" i="6" s="1"/>
  <c r="F91" i="6"/>
  <c r="C91" i="6"/>
  <c r="D90" i="6"/>
  <c r="C90" i="6"/>
  <c r="D89" i="6"/>
  <c r="E89" i="6" s="1"/>
  <c r="F89" i="6" s="1"/>
  <c r="C89" i="6"/>
  <c r="D88" i="6"/>
  <c r="E88" i="6" s="1"/>
  <c r="C88" i="6"/>
  <c r="F87" i="6"/>
  <c r="D87" i="6"/>
  <c r="E87" i="6" s="1"/>
  <c r="C87" i="6"/>
  <c r="D86" i="6"/>
  <c r="E86" i="6" s="1"/>
  <c r="C86" i="6"/>
  <c r="D85" i="6"/>
  <c r="C85" i="6"/>
  <c r="D84" i="6"/>
  <c r="C84" i="6"/>
  <c r="D81" i="6"/>
  <c r="E81" i="6"/>
  <c r="C81" i="6"/>
  <c r="F80" i="6"/>
  <c r="E80" i="6"/>
  <c r="F79" i="6"/>
  <c r="E79" i="6"/>
  <c r="E78" i="6"/>
  <c r="F78" i="6" s="1"/>
  <c r="E77" i="6"/>
  <c r="F77" i="6" s="1"/>
  <c r="F76" i="6"/>
  <c r="E76" i="6"/>
  <c r="E75" i="6"/>
  <c r="F75" i="6" s="1"/>
  <c r="E74" i="6"/>
  <c r="F74" i="6" s="1"/>
  <c r="F73" i="6"/>
  <c r="E73" i="6"/>
  <c r="F72" i="6"/>
  <c r="E72" i="6"/>
  <c r="F71" i="6"/>
  <c r="E71" i="6"/>
  <c r="E70" i="6"/>
  <c r="F70" i="6" s="1"/>
  <c r="D68" i="6"/>
  <c r="E68" i="6"/>
  <c r="F68" i="6" s="1"/>
  <c r="C68" i="6"/>
  <c r="E67" i="6"/>
  <c r="F67" i="6" s="1"/>
  <c r="F66" i="6"/>
  <c r="E66" i="6"/>
  <c r="F65" i="6"/>
  <c r="E65" i="6"/>
  <c r="F64" i="6"/>
  <c r="E64" i="6"/>
  <c r="E63" i="6"/>
  <c r="F63" i="6" s="1"/>
  <c r="F62" i="6"/>
  <c r="E62" i="6"/>
  <c r="F61" i="6"/>
  <c r="E61" i="6"/>
  <c r="F60" i="6"/>
  <c r="E60" i="6"/>
  <c r="E59" i="6"/>
  <c r="F59" i="6" s="1"/>
  <c r="F58" i="6"/>
  <c r="E58" i="6"/>
  <c r="F57" i="6"/>
  <c r="E57" i="6"/>
  <c r="D51" i="6"/>
  <c r="E51" i="6" s="1"/>
  <c r="C51" i="6"/>
  <c r="F51" i="6" s="1"/>
  <c r="D50" i="6"/>
  <c r="E50" i="6" s="1"/>
  <c r="C50" i="6"/>
  <c r="F50" i="6" s="1"/>
  <c r="D49" i="6"/>
  <c r="C49" i="6"/>
  <c r="D48" i="6"/>
  <c r="E48" i="6"/>
  <c r="F48" i="6"/>
  <c r="C48" i="6"/>
  <c r="D47" i="6"/>
  <c r="C47" i="6"/>
  <c r="D46" i="6"/>
  <c r="E46" i="6" s="1"/>
  <c r="C46" i="6"/>
  <c r="D45" i="6"/>
  <c r="E45" i="6" s="1"/>
  <c r="F45" i="6"/>
  <c r="C45" i="6"/>
  <c r="F44" i="6"/>
  <c r="D44" i="6"/>
  <c r="E44" i="6"/>
  <c r="C44" i="6"/>
  <c r="D43" i="6"/>
  <c r="C43" i="6"/>
  <c r="D42" i="6"/>
  <c r="E42" i="6"/>
  <c r="F42" i="6"/>
  <c r="C42" i="6"/>
  <c r="D41" i="6"/>
  <c r="C41" i="6"/>
  <c r="E41" i="6" s="1"/>
  <c r="D38" i="6"/>
  <c r="E38" i="6"/>
  <c r="F38" i="6"/>
  <c r="C38" i="6"/>
  <c r="E37" i="6"/>
  <c r="F37" i="6" s="1"/>
  <c r="F36" i="6"/>
  <c r="E36" i="6"/>
  <c r="F35" i="6"/>
  <c r="E35" i="6"/>
  <c r="F34" i="6"/>
  <c r="E34" i="6"/>
  <c r="E33" i="6"/>
  <c r="F33" i="6" s="1"/>
  <c r="F32" i="6"/>
  <c r="E32" i="6"/>
  <c r="E31" i="6"/>
  <c r="F31" i="6" s="1"/>
  <c r="F30" i="6"/>
  <c r="E30" i="6"/>
  <c r="E29" i="6"/>
  <c r="F29" i="6" s="1"/>
  <c r="E28" i="6"/>
  <c r="F28" i="6" s="1"/>
  <c r="F27" i="6"/>
  <c r="E27" i="6"/>
  <c r="D25" i="6"/>
  <c r="E25" i="6" s="1"/>
  <c r="C25" i="6"/>
  <c r="E24" i="6"/>
  <c r="F24" i="6" s="1"/>
  <c r="F23" i="6"/>
  <c r="E23" i="6"/>
  <c r="F22" i="6"/>
  <c r="E22" i="6"/>
  <c r="E21" i="6"/>
  <c r="F21" i="6" s="1"/>
  <c r="E20" i="6"/>
  <c r="F20" i="6" s="1"/>
  <c r="E19" i="6"/>
  <c r="F19" i="6" s="1"/>
  <c r="F18" i="6"/>
  <c r="E18" i="6"/>
  <c r="F17" i="6"/>
  <c r="E17" i="6"/>
  <c r="E16" i="6"/>
  <c r="F16" i="6" s="1"/>
  <c r="E15" i="6"/>
  <c r="F15" i="6" s="1"/>
  <c r="F14" i="6"/>
  <c r="E14" i="6"/>
  <c r="E51" i="5"/>
  <c r="F51" i="5" s="1"/>
  <c r="D48" i="5"/>
  <c r="E48" i="5" s="1"/>
  <c r="C48" i="5"/>
  <c r="F48" i="5" s="1"/>
  <c r="F47" i="5"/>
  <c r="E47" i="5"/>
  <c r="E46" i="5"/>
  <c r="F46" i="5" s="1"/>
  <c r="D41" i="5"/>
  <c r="E41" i="5"/>
  <c r="C41" i="5"/>
  <c r="F40" i="5"/>
  <c r="E40" i="5"/>
  <c r="E39" i="5"/>
  <c r="F39" i="5" s="1"/>
  <c r="F38" i="5"/>
  <c r="E38" i="5"/>
  <c r="D33" i="5"/>
  <c r="E33" i="5" s="1"/>
  <c r="F33" i="5"/>
  <c r="C33" i="5"/>
  <c r="E32" i="5"/>
  <c r="F32" i="5" s="1"/>
  <c r="E31" i="5"/>
  <c r="F31" i="5" s="1"/>
  <c r="E30" i="5"/>
  <c r="F30" i="5" s="1"/>
  <c r="F29" i="5"/>
  <c r="E29" i="5"/>
  <c r="E28" i="5"/>
  <c r="F28" i="5" s="1"/>
  <c r="F27" i="5"/>
  <c r="E27" i="5"/>
  <c r="F26" i="5"/>
  <c r="E26" i="5"/>
  <c r="F25" i="5"/>
  <c r="E25" i="5"/>
  <c r="E24" i="5"/>
  <c r="F24" i="5" s="1"/>
  <c r="E20" i="5"/>
  <c r="F20" i="5" s="1"/>
  <c r="E19" i="5"/>
  <c r="F19" i="5" s="1"/>
  <c r="F17" i="5"/>
  <c r="E17" i="5"/>
  <c r="D16" i="5"/>
  <c r="D18" i="5"/>
  <c r="D21" i="5" s="1"/>
  <c r="C16" i="5"/>
  <c r="E16" i="5" s="1"/>
  <c r="C18" i="5"/>
  <c r="F15" i="5"/>
  <c r="E15" i="5"/>
  <c r="F14" i="5"/>
  <c r="E14" i="5"/>
  <c r="E13" i="5"/>
  <c r="F13" i="5" s="1"/>
  <c r="E12" i="5"/>
  <c r="F12" i="5" s="1"/>
  <c r="D73" i="4"/>
  <c r="C73" i="4"/>
  <c r="E72" i="4"/>
  <c r="F72" i="4" s="1"/>
  <c r="E71" i="4"/>
  <c r="F71" i="4"/>
  <c r="E70" i="4"/>
  <c r="F70" i="4"/>
  <c r="F67" i="4"/>
  <c r="E67" i="4"/>
  <c r="E64" i="4"/>
  <c r="F64" i="4" s="1"/>
  <c r="E63" i="4"/>
  <c r="F63" i="4"/>
  <c r="D61" i="4"/>
  <c r="C61" i="4"/>
  <c r="C65" i="4" s="1"/>
  <c r="E60" i="4"/>
  <c r="F60" i="4"/>
  <c r="E59" i="4"/>
  <c r="F59" i="4" s="1"/>
  <c r="D56" i="4"/>
  <c r="C56" i="4"/>
  <c r="E55" i="4"/>
  <c r="F55" i="4"/>
  <c r="F54" i="4"/>
  <c r="E54" i="4"/>
  <c r="F53" i="4"/>
  <c r="E53" i="4"/>
  <c r="E52" i="4"/>
  <c r="F52" i="4" s="1"/>
  <c r="E51" i="4"/>
  <c r="F51" i="4"/>
  <c r="F50" i="4"/>
  <c r="E50" i="4"/>
  <c r="A50" i="4"/>
  <c r="A51" i="4"/>
  <c r="A52" i="4" s="1"/>
  <c r="A53" i="4"/>
  <c r="A54" i="4" s="1"/>
  <c r="A55" i="4" s="1"/>
  <c r="E49" i="4"/>
  <c r="F49" i="4" s="1"/>
  <c r="E40" i="4"/>
  <c r="F40" i="4"/>
  <c r="D38" i="4"/>
  <c r="C38" i="4"/>
  <c r="E37" i="4"/>
  <c r="F37" i="4"/>
  <c r="E36" i="4"/>
  <c r="F36" i="4" s="1"/>
  <c r="E33" i="4"/>
  <c r="F33" i="4"/>
  <c r="F32" i="4"/>
  <c r="E32" i="4"/>
  <c r="F31" i="4"/>
  <c r="E31" i="4"/>
  <c r="D29" i="4"/>
  <c r="C29" i="4"/>
  <c r="F28" i="4"/>
  <c r="E28" i="4"/>
  <c r="F27" i="4"/>
  <c r="E27" i="4"/>
  <c r="E26" i="4"/>
  <c r="F26" i="4" s="1"/>
  <c r="E25" i="4"/>
  <c r="F25" i="4" s="1"/>
  <c r="D22" i="4"/>
  <c r="C22" i="4"/>
  <c r="E21" i="4"/>
  <c r="F21" i="4" s="1"/>
  <c r="E20" i="4"/>
  <c r="F20" i="4" s="1"/>
  <c r="E19" i="4"/>
  <c r="F19" i="4"/>
  <c r="F18" i="4"/>
  <c r="E18" i="4"/>
  <c r="E17" i="4"/>
  <c r="F17" i="4"/>
  <c r="E16" i="4"/>
  <c r="F16" i="4" s="1"/>
  <c r="E15" i="4"/>
  <c r="F15" i="4"/>
  <c r="F14" i="4"/>
  <c r="E14" i="4"/>
  <c r="E13" i="4"/>
  <c r="F13" i="4" s="1"/>
  <c r="D108" i="22"/>
  <c r="C108" i="22"/>
  <c r="D22" i="22"/>
  <c r="D39" i="22" s="1"/>
  <c r="C23" i="22"/>
  <c r="C34" i="22"/>
  <c r="E34" i="22"/>
  <c r="C102" i="22"/>
  <c r="C22" i="22"/>
  <c r="E22" i="22"/>
  <c r="E29" i="22" s="1"/>
  <c r="E37" i="22" s="1"/>
  <c r="D41" i="20"/>
  <c r="E19" i="20"/>
  <c r="F19" i="20" s="1"/>
  <c r="E43" i="20"/>
  <c r="C22" i="19"/>
  <c r="E238" i="17"/>
  <c r="E52" i="17"/>
  <c r="F52" i="17"/>
  <c r="E53" i="17"/>
  <c r="E58" i="17"/>
  <c r="F58" i="17" s="1"/>
  <c r="E67" i="17"/>
  <c r="E223" i="17"/>
  <c r="F223" i="17" s="1"/>
  <c r="E283" i="18"/>
  <c r="E21" i="18"/>
  <c r="D22" i="18"/>
  <c r="C55" i="18"/>
  <c r="D71" i="18"/>
  <c r="E175" i="18"/>
  <c r="C284" i="18"/>
  <c r="E32" i="18"/>
  <c r="E36" i="18"/>
  <c r="C289" i="18"/>
  <c r="C71" i="18"/>
  <c r="C65" i="18"/>
  <c r="C66" i="18"/>
  <c r="C295" i="18"/>
  <c r="E60" i="18"/>
  <c r="E70" i="18"/>
  <c r="C144" i="18"/>
  <c r="E144" i="18"/>
  <c r="D145" i="18"/>
  <c r="E151" i="18"/>
  <c r="D163" i="18"/>
  <c r="E163" i="18"/>
  <c r="C261" i="18"/>
  <c r="E261" i="18" s="1"/>
  <c r="C189" i="18"/>
  <c r="E188" i="18"/>
  <c r="D234" i="18"/>
  <c r="D239" i="18"/>
  <c r="E239" i="18"/>
  <c r="E215" i="18"/>
  <c r="C303" i="18"/>
  <c r="C306" i="18"/>
  <c r="C310" i="18" s="1"/>
  <c r="E139" i="18"/>
  <c r="C229" i="18"/>
  <c r="E229" i="18"/>
  <c r="C210" i="18"/>
  <c r="C211" i="18" s="1"/>
  <c r="E205" i="18"/>
  <c r="D330" i="18"/>
  <c r="E218" i="18"/>
  <c r="E301" i="18"/>
  <c r="E31" i="17"/>
  <c r="F31" i="17"/>
  <c r="D32" i="17"/>
  <c r="D140" i="17" s="1"/>
  <c r="C61" i="17"/>
  <c r="E61" i="17" s="1"/>
  <c r="C103" i="17"/>
  <c r="F146" i="17"/>
  <c r="C173" i="17"/>
  <c r="C32" i="17"/>
  <c r="C160" i="17"/>
  <c r="D61" i="17"/>
  <c r="D103" i="17"/>
  <c r="E103" i="17"/>
  <c r="F103" i="17" s="1"/>
  <c r="E102" i="17"/>
  <c r="F102" i="17"/>
  <c r="D138" i="17"/>
  <c r="E137" i="17"/>
  <c r="F137" i="17" s="1"/>
  <c r="D21" i="17"/>
  <c r="F29" i="17"/>
  <c r="F36" i="17"/>
  <c r="F53" i="17"/>
  <c r="E101" i="17"/>
  <c r="F101" i="17"/>
  <c r="E109" i="17"/>
  <c r="F109" i="17"/>
  <c r="C193" i="17"/>
  <c r="C192" i="17"/>
  <c r="F123" i="17"/>
  <c r="C124" i="17"/>
  <c r="C125" i="17" s="1"/>
  <c r="E136" i="17"/>
  <c r="F136" i="17" s="1"/>
  <c r="E144" i="17"/>
  <c r="F144" i="17" s="1"/>
  <c r="E158" i="17"/>
  <c r="F158" i="17"/>
  <c r="F179" i="17"/>
  <c r="E20" i="17"/>
  <c r="F20" i="17"/>
  <c r="C21" i="17"/>
  <c r="E30" i="17"/>
  <c r="F30" i="17" s="1"/>
  <c r="F35" i="17"/>
  <c r="C37" i="17"/>
  <c r="E59" i="17"/>
  <c r="F59" i="17" s="1"/>
  <c r="F76" i="17"/>
  <c r="D124" i="17"/>
  <c r="E278" i="17"/>
  <c r="F278" i="17"/>
  <c r="D190" i="17"/>
  <c r="D193" i="17"/>
  <c r="D290" i="17"/>
  <c r="D274" i="17"/>
  <c r="D199" i="17"/>
  <c r="D200" i="17"/>
  <c r="D283" i="17"/>
  <c r="D267" i="17"/>
  <c r="D285" i="17"/>
  <c r="D269" i="17"/>
  <c r="D205" i="17"/>
  <c r="D206" i="17"/>
  <c r="D214" i="17"/>
  <c r="D215" i="17"/>
  <c r="F229" i="17"/>
  <c r="F238" i="17"/>
  <c r="D261" i="17"/>
  <c r="D262" i="17"/>
  <c r="D264" i="17"/>
  <c r="E189" i="17"/>
  <c r="F189" i="17" s="1"/>
  <c r="E191" i="17"/>
  <c r="C290" i="17"/>
  <c r="E290" i="17" s="1"/>
  <c r="C274" i="17"/>
  <c r="E198" i="17"/>
  <c r="F198" i="17" s="1"/>
  <c r="C199" i="17"/>
  <c r="E203" i="17"/>
  <c r="F203" i="17"/>
  <c r="E204" i="17"/>
  <c r="C255" i="17"/>
  <c r="C262" i="17"/>
  <c r="C267" i="17"/>
  <c r="F297" i="17"/>
  <c r="F298" i="17"/>
  <c r="F299" i="17"/>
  <c r="I17" i="14"/>
  <c r="D31" i="14"/>
  <c r="F31" i="14"/>
  <c r="C33" i="14"/>
  <c r="C36" i="14" s="1"/>
  <c r="C38" i="14" s="1"/>
  <c r="C40" i="14"/>
  <c r="G33" i="14"/>
  <c r="I33" i="14" s="1"/>
  <c r="I36" i="14" s="1"/>
  <c r="I38" i="14" s="1"/>
  <c r="I40" i="14" s="1"/>
  <c r="E20" i="13"/>
  <c r="C22" i="13"/>
  <c r="C20" i="13"/>
  <c r="C21" i="13"/>
  <c r="C17" i="13"/>
  <c r="C28" i="13" s="1"/>
  <c r="C70" i="13" s="1"/>
  <c r="C72" i="13" s="1"/>
  <c r="E17" i="13"/>
  <c r="E28" i="13"/>
  <c r="E70" i="13"/>
  <c r="E72" i="13" s="1"/>
  <c r="E69" i="13"/>
  <c r="D48" i="13"/>
  <c r="D42" i="13"/>
  <c r="C20" i="12"/>
  <c r="C34" i="12" s="1"/>
  <c r="E15" i="12"/>
  <c r="F15" i="12"/>
  <c r="E22" i="11"/>
  <c r="F22" i="11"/>
  <c r="E112" i="10"/>
  <c r="E113" i="10"/>
  <c r="F208" i="9"/>
  <c r="E198" i="9"/>
  <c r="F198" i="9" s="1"/>
  <c r="E199" i="9"/>
  <c r="F199" i="9"/>
  <c r="D21" i="8"/>
  <c r="C20" i="8"/>
  <c r="C21" i="8"/>
  <c r="C138" i="8"/>
  <c r="E140" i="8"/>
  <c r="E136" i="8"/>
  <c r="D15" i="8"/>
  <c r="C17" i="8"/>
  <c r="C43" i="8"/>
  <c r="E43" i="8"/>
  <c r="D49" i="8"/>
  <c r="E53" i="8"/>
  <c r="D77" i="8"/>
  <c r="C49" i="8"/>
  <c r="E49" i="8"/>
  <c r="E90" i="7"/>
  <c r="F90" i="7" s="1"/>
  <c r="E183" i="7"/>
  <c r="F183" i="7" s="1"/>
  <c r="F41" i="6"/>
  <c r="F16" i="5"/>
  <c r="F29" i="4"/>
  <c r="F56" i="4"/>
  <c r="E22" i="4"/>
  <c r="E29" i="4"/>
  <c r="E56" i="4"/>
  <c r="E73" i="4"/>
  <c r="E53" i="22"/>
  <c r="E35" i="22"/>
  <c r="E54" i="22"/>
  <c r="E46" i="22"/>
  <c r="E40" i="22"/>
  <c r="E36" i="22"/>
  <c r="E30" i="22"/>
  <c r="C53" i="22"/>
  <c r="C45" i="22"/>
  <c r="C39" i="22"/>
  <c r="C35" i="22"/>
  <c r="C29" i="22"/>
  <c r="C54" i="22"/>
  <c r="C46" i="22"/>
  <c r="C40" i="22"/>
  <c r="C36" i="22"/>
  <c r="C30" i="22"/>
  <c r="C234" i="18"/>
  <c r="C235" i="18"/>
  <c r="E210" i="18"/>
  <c r="C294" i="18"/>
  <c r="E211" i="18"/>
  <c r="D181" i="18"/>
  <c r="E181" i="18" s="1"/>
  <c r="E145" i="18"/>
  <c r="C180" i="18"/>
  <c r="C145" i="18"/>
  <c r="C168" i="18"/>
  <c r="E22" i="18"/>
  <c r="D272" i="17"/>
  <c r="D273" i="17" s="1"/>
  <c r="E262" i="17"/>
  <c r="F262" i="17" s="1"/>
  <c r="D254" i="17"/>
  <c r="D216" i="17"/>
  <c r="E199" i="17"/>
  <c r="F199" i="17" s="1"/>
  <c r="F290" i="17"/>
  <c r="D139" i="17"/>
  <c r="F61" i="17"/>
  <c r="C174" i="17"/>
  <c r="C104" i="17"/>
  <c r="D300" i="17"/>
  <c r="D271" i="17"/>
  <c r="D268" i="17"/>
  <c r="D263" i="17"/>
  <c r="D255" i="17"/>
  <c r="E255" i="17"/>
  <c r="D270" i="17"/>
  <c r="E267" i="17"/>
  <c r="F267" i="17" s="1"/>
  <c r="D194" i="17"/>
  <c r="D196" i="17" s="1"/>
  <c r="D197" i="17" s="1"/>
  <c r="D288" i="17"/>
  <c r="C126" i="17"/>
  <c r="D126" i="17"/>
  <c r="D91" i="17"/>
  <c r="D282" i="17"/>
  <c r="C175" i="17"/>
  <c r="C105" i="17"/>
  <c r="C106" i="17" s="1"/>
  <c r="E32" i="17"/>
  <c r="F32" i="17" s="1"/>
  <c r="D62" i="17"/>
  <c r="G36" i="14"/>
  <c r="G38" i="14"/>
  <c r="G40" i="14"/>
  <c r="E22" i="13"/>
  <c r="C112" i="8"/>
  <c r="C111" i="8" s="1"/>
  <c r="C28" i="8"/>
  <c r="D24" i="8"/>
  <c r="D20" i="8"/>
  <c r="D17" i="8"/>
  <c r="C113" i="22"/>
  <c r="C56" i="22"/>
  <c r="C48" i="22"/>
  <c r="C38" i="22"/>
  <c r="E56" i="22"/>
  <c r="E48" i="22"/>
  <c r="E38" i="22"/>
  <c r="C55" i="22"/>
  <c r="C169" i="18"/>
  <c r="C181" i="18"/>
  <c r="C125" i="18"/>
  <c r="C123" i="18"/>
  <c r="C128" i="18" s="1"/>
  <c r="C121" i="18"/>
  <c r="C114" i="18"/>
  <c r="C116" i="18" s="1"/>
  <c r="C117" i="18" s="1"/>
  <c r="C112" i="18"/>
  <c r="C110" i="18"/>
  <c r="C126" i="18"/>
  <c r="C122" i="18"/>
  <c r="C115" i="18"/>
  <c r="C113" i="18"/>
  <c r="C111" i="18"/>
  <c r="C109" i="18"/>
  <c r="D141" i="17"/>
  <c r="C176" i="17"/>
  <c r="D281" i="17"/>
  <c r="D127" i="17"/>
  <c r="E126" i="17"/>
  <c r="F126" i="17"/>
  <c r="C127" i="17"/>
  <c r="D92" i="17"/>
  <c r="D304" i="17"/>
  <c r="C42" i="12"/>
  <c r="D28" i="8"/>
  <c r="D112" i="8"/>
  <c r="D111" i="8" s="1"/>
  <c r="C99" i="8"/>
  <c r="C101" i="8"/>
  <c r="C49" i="12"/>
  <c r="E283" i="17" l="1"/>
  <c r="F283" i="17" s="1"/>
  <c r="D287" i="17"/>
  <c r="C227" i="17"/>
  <c r="F226" i="17"/>
  <c r="F46" i="20"/>
  <c r="D286" i="17"/>
  <c r="E226" i="17"/>
  <c r="D156" i="8"/>
  <c r="D153" i="8"/>
  <c r="D155" i="8"/>
  <c r="D154" i="8"/>
  <c r="D152" i="8"/>
  <c r="E203" i="9"/>
  <c r="F203" i="9"/>
  <c r="D68" i="17"/>
  <c r="E68" i="17" s="1"/>
  <c r="E66" i="17"/>
  <c r="F66" i="17" s="1"/>
  <c r="E120" i="17"/>
  <c r="F120" i="17" s="1"/>
  <c r="D207" i="17"/>
  <c r="D173" i="17"/>
  <c r="E172" i="17"/>
  <c r="F172" i="17" s="1"/>
  <c r="D148" i="17"/>
  <c r="F192" i="17"/>
  <c r="F153" i="6"/>
  <c r="C282" i="17"/>
  <c r="C266" i="17"/>
  <c r="C194" i="17"/>
  <c r="D20" i="12"/>
  <c r="E17" i="12"/>
  <c r="E274" i="17"/>
  <c r="F274" i="17"/>
  <c r="E137" i="6"/>
  <c r="F137" i="6"/>
  <c r="D322" i="17"/>
  <c r="E21" i="8"/>
  <c r="E20" i="8"/>
  <c r="D22" i="8"/>
  <c r="D99" i="8"/>
  <c r="D101" i="8" s="1"/>
  <c r="C153" i="8"/>
  <c r="C154" i="8"/>
  <c r="C152" i="8"/>
  <c r="C157" i="8"/>
  <c r="C156" i="8"/>
  <c r="D43" i="11"/>
  <c r="E41" i="11"/>
  <c r="F41" i="11" s="1"/>
  <c r="C261" i="17"/>
  <c r="E188" i="17"/>
  <c r="F188" i="17" s="1"/>
  <c r="C254" i="17"/>
  <c r="C190" i="17"/>
  <c r="C277" i="17"/>
  <c r="C206" i="17"/>
  <c r="C214" i="17"/>
  <c r="F104" i="17"/>
  <c r="D45" i="22"/>
  <c r="D29" i="22"/>
  <c r="D110" i="22"/>
  <c r="D53" i="22"/>
  <c r="D35" i="22"/>
  <c r="E152" i="8"/>
  <c r="E156" i="8"/>
  <c r="E157" i="8"/>
  <c r="E153" i="8"/>
  <c r="E154" i="8"/>
  <c r="E155" i="8"/>
  <c r="F23" i="9"/>
  <c r="E23" i="9"/>
  <c r="E193" i="9"/>
  <c r="F193" i="9" s="1"/>
  <c r="E47" i="22"/>
  <c r="E55" i="22"/>
  <c r="E112" i="22"/>
  <c r="D266" i="17"/>
  <c r="D48" i="17"/>
  <c r="C68" i="17"/>
  <c r="F67" i="17"/>
  <c r="C155" i="8"/>
  <c r="F93" i="6"/>
  <c r="E93" i="6"/>
  <c r="E47" i="17"/>
  <c r="F47" i="17" s="1"/>
  <c r="D104" i="17"/>
  <c r="E104" i="17" s="1"/>
  <c r="D105" i="17"/>
  <c r="F23" i="15"/>
  <c r="E171" i="17"/>
  <c r="F171" i="17" s="1"/>
  <c r="E42" i="13"/>
  <c r="E28" i="8"/>
  <c r="E99" i="8" s="1"/>
  <c r="E101" i="8" s="1"/>
  <c r="E98" i="8" s="1"/>
  <c r="D63" i="17"/>
  <c r="D157" i="8"/>
  <c r="E46" i="20"/>
  <c r="F43" i="20"/>
  <c r="C65" i="11"/>
  <c r="E65" i="11" s="1"/>
  <c r="E61" i="11"/>
  <c r="F61" i="11" s="1"/>
  <c r="F191" i="17"/>
  <c r="I31" i="14"/>
  <c r="H31" i="14"/>
  <c r="D245" i="18"/>
  <c r="E245" i="18" s="1"/>
  <c r="E221" i="18"/>
  <c r="E233" i="18"/>
  <c r="D253" i="18"/>
  <c r="D303" i="18"/>
  <c r="E302" i="18"/>
  <c r="E127" i="17"/>
  <c r="F127" i="17" s="1"/>
  <c r="E130" i="7"/>
  <c r="F130" i="7" s="1"/>
  <c r="D15" i="13"/>
  <c r="D25" i="13"/>
  <c r="D27" i="13" s="1"/>
  <c r="D243" i="18"/>
  <c r="D222" i="18"/>
  <c r="D217" i="18"/>
  <c r="D76" i="18"/>
  <c r="E71" i="18"/>
  <c r="D41" i="4"/>
  <c r="E38" i="4"/>
  <c r="F38" i="4" s="1"/>
  <c r="D65" i="4"/>
  <c r="E65" i="4" s="1"/>
  <c r="F65" i="4" s="1"/>
  <c r="E61" i="4"/>
  <c r="F61" i="4" s="1"/>
  <c r="F41" i="5"/>
  <c r="E90" i="6"/>
  <c r="F90" i="6" s="1"/>
  <c r="E156" i="18"/>
  <c r="D168" i="18"/>
  <c r="E168" i="18" s="1"/>
  <c r="D157" i="18"/>
  <c r="E195" i="18"/>
  <c r="D260" i="18"/>
  <c r="C222" i="18"/>
  <c r="E216" i="18"/>
  <c r="C240" i="18"/>
  <c r="D316" i="18"/>
  <c r="E314" i="18"/>
  <c r="F84" i="6"/>
  <c r="C95" i="6"/>
  <c r="C139" i="8"/>
  <c r="C140" i="8"/>
  <c r="C136" i="8"/>
  <c r="C135" i="8"/>
  <c r="C141" i="8" s="1"/>
  <c r="E138" i="8"/>
  <c r="E137" i="8"/>
  <c r="E139" i="8"/>
  <c r="E135" i="8"/>
  <c r="E141" i="8" s="1"/>
  <c r="E250" i="17"/>
  <c r="D306" i="17"/>
  <c r="E110" i="22"/>
  <c r="E39" i="22"/>
  <c r="E45" i="22"/>
  <c r="D52" i="6"/>
  <c r="E52" i="6" s="1"/>
  <c r="D95" i="6"/>
  <c r="E84" i="6"/>
  <c r="C98" i="8"/>
  <c r="E84" i="10"/>
  <c r="C280" i="17"/>
  <c r="C200" i="17"/>
  <c r="E294" i="17"/>
  <c r="F294" i="17" s="1"/>
  <c r="C263" i="18"/>
  <c r="C129" i="18"/>
  <c r="C131" i="18" s="1"/>
  <c r="C47" i="22"/>
  <c r="C112" i="22"/>
  <c r="C37" i="22"/>
  <c r="C264" i="17"/>
  <c r="E219" i="18"/>
  <c r="C52" i="6"/>
  <c r="E47" i="6"/>
  <c r="F47" i="6" s="1"/>
  <c r="F85" i="6"/>
  <c r="C188" i="7"/>
  <c r="D98" i="8"/>
  <c r="D149" i="8"/>
  <c r="E23" i="10"/>
  <c r="E88" i="17"/>
  <c r="F88" i="17" s="1"/>
  <c r="C89" i="17"/>
  <c r="E40" i="18"/>
  <c r="E76" i="9"/>
  <c r="F76" i="9" s="1"/>
  <c r="E44" i="17"/>
  <c r="F44" i="17" s="1"/>
  <c r="E244" i="18"/>
  <c r="D103" i="22"/>
  <c r="C62" i="17"/>
  <c r="E62" i="17" s="1"/>
  <c r="C110" i="22"/>
  <c r="C41" i="4"/>
  <c r="F81" i="6"/>
  <c r="F179" i="6"/>
  <c r="E31" i="14"/>
  <c r="E33" i="14"/>
  <c r="E36" i="14" s="1"/>
  <c r="E38" i="14" s="1"/>
  <c r="E40" i="14" s="1"/>
  <c r="F73" i="15"/>
  <c r="E75" i="15"/>
  <c r="F75" i="15" s="1"/>
  <c r="F107" i="15"/>
  <c r="F60" i="17"/>
  <c r="E100" i="17"/>
  <c r="E110" i="17"/>
  <c r="E192" i="17"/>
  <c r="C205" i="17"/>
  <c r="C269" i="17"/>
  <c r="F204" i="17"/>
  <c r="C285" i="17"/>
  <c r="C215" i="17"/>
  <c r="D289" i="18"/>
  <c r="E289" i="18" s="1"/>
  <c r="D65" i="18"/>
  <c r="C127" i="18"/>
  <c r="C124" i="18"/>
  <c r="C196" i="17"/>
  <c r="D122" i="10"/>
  <c r="E122" i="10" s="1"/>
  <c r="D75" i="11"/>
  <c r="E56" i="11"/>
  <c r="F56" i="11" s="1"/>
  <c r="C239" i="17"/>
  <c r="F237" i="17"/>
  <c r="E237" i="17"/>
  <c r="D35" i="5"/>
  <c r="C161" i="17"/>
  <c r="E18" i="5"/>
  <c r="F18" i="5" s="1"/>
  <c r="E234" i="18"/>
  <c r="E181" i="17"/>
  <c r="F181" i="17" s="1"/>
  <c r="D43" i="18"/>
  <c r="E37" i="18"/>
  <c r="C242" i="18"/>
  <c r="E242" i="18" s="1"/>
  <c r="C217" i="18"/>
  <c r="C241" i="18" s="1"/>
  <c r="E194" i="17"/>
  <c r="E21" i="17"/>
  <c r="F21" i="17" s="1"/>
  <c r="C49" i="17"/>
  <c r="C111" i="22"/>
  <c r="C21" i="5"/>
  <c r="F255" i="17"/>
  <c r="E193" i="17"/>
  <c r="F193" i="17" s="1"/>
  <c r="E21" i="5"/>
  <c r="F46" i="6"/>
  <c r="E85" i="6"/>
  <c r="F18" i="7"/>
  <c r="F24" i="7"/>
  <c r="D109" i="8"/>
  <c r="D106" i="8" s="1"/>
  <c r="E179" i="9"/>
  <c r="C69" i="13"/>
  <c r="F45" i="15"/>
  <c r="E70" i="15"/>
  <c r="F70" i="15" s="1"/>
  <c r="E17" i="17"/>
  <c r="F17" i="17" s="1"/>
  <c r="D37" i="17"/>
  <c r="E37" i="17" s="1"/>
  <c r="F37" i="17" s="1"/>
  <c r="F100" i="17"/>
  <c r="F110" i="17"/>
  <c r="C306" i="17"/>
  <c r="F250" i="17"/>
  <c r="D235" i="18"/>
  <c r="E235" i="18" s="1"/>
  <c r="C326" i="18"/>
  <c r="E324" i="18"/>
  <c r="E124" i="17"/>
  <c r="F124" i="17" s="1"/>
  <c r="F73" i="4"/>
  <c r="E92" i="6"/>
  <c r="F92" i="6" s="1"/>
  <c r="D90" i="8"/>
  <c r="D86" i="8" s="1"/>
  <c r="F50" i="9"/>
  <c r="E117" i="10"/>
  <c r="E29" i="11"/>
  <c r="F29" i="11" s="1"/>
  <c r="C43" i="11"/>
  <c r="F17" i="12"/>
  <c r="F155" i="17"/>
  <c r="D284" i="18"/>
  <c r="E284" i="18" s="1"/>
  <c r="F22" i="4"/>
  <c r="C75" i="4"/>
  <c r="E43" i="6"/>
  <c r="F43" i="6" s="1"/>
  <c r="F124" i="6"/>
  <c r="E41" i="7"/>
  <c r="F41" i="7" s="1"/>
  <c r="C53" i="8"/>
  <c r="C57" i="8"/>
  <c r="C62" i="8" s="1"/>
  <c r="E166" i="9"/>
  <c r="E23" i="15"/>
  <c r="F55" i="15"/>
  <c r="E55" i="15"/>
  <c r="E60" i="17"/>
  <c r="E111" i="17"/>
  <c r="F111" i="17" s="1"/>
  <c r="E159" i="17"/>
  <c r="F159" i="17" s="1"/>
  <c r="D161" i="17"/>
  <c r="D279" i="17"/>
  <c r="D284" i="17"/>
  <c r="F33" i="20"/>
  <c r="E36" i="20"/>
  <c r="F36" i="20" s="1"/>
  <c r="F25" i="6"/>
  <c r="E49" i="6"/>
  <c r="F49" i="6" s="1"/>
  <c r="F88" i="6"/>
  <c r="E153" i="6"/>
  <c r="E24" i="7"/>
  <c r="E36" i="9"/>
  <c r="D207" i="9"/>
  <c r="E207" i="9" s="1"/>
  <c r="F207" i="9" s="1"/>
  <c r="E201" i="9"/>
  <c r="F201" i="9" s="1"/>
  <c r="C121" i="10"/>
  <c r="F121" i="10" s="1"/>
  <c r="E114" i="10"/>
  <c r="E60" i="15"/>
  <c r="F60" i="15" s="1"/>
  <c r="F92" i="15"/>
  <c r="C44" i="18"/>
  <c r="E293" i="18"/>
  <c r="C37" i="19"/>
  <c r="C38" i="19" s="1"/>
  <c r="C127" i="19" s="1"/>
  <c r="C129" i="19" s="1"/>
  <c r="C133" i="19" s="1"/>
  <c r="C39" i="20"/>
  <c r="F25" i="20"/>
  <c r="D34" i="22"/>
  <c r="D23" i="22"/>
  <c r="C101" i="22"/>
  <c r="C103" i="22" s="1"/>
  <c r="F86" i="6"/>
  <c r="F94" i="6"/>
  <c r="D95" i="7"/>
  <c r="E95" i="7" s="1"/>
  <c r="F95" i="7" s="1"/>
  <c r="E79" i="8"/>
  <c r="F102" i="9"/>
  <c r="E115" i="9"/>
  <c r="F128" i="9"/>
  <c r="E154" i="9"/>
  <c r="F202" i="9"/>
  <c r="F33" i="14"/>
  <c r="H17" i="14"/>
  <c r="E45" i="15"/>
  <c r="C90" i="17"/>
  <c r="C138" i="17"/>
  <c r="C207" i="17"/>
  <c r="D239" i="17"/>
  <c r="E239" i="17" s="1"/>
  <c r="E54" i="18"/>
  <c r="D180" i="18"/>
  <c r="E180" i="18" s="1"/>
  <c r="E161" i="18"/>
  <c r="F45" i="20"/>
  <c r="E111" i="22"/>
  <c r="F32" i="12"/>
  <c r="E170" i="17"/>
  <c r="F170" i="17" s="1"/>
  <c r="F180" i="17"/>
  <c r="F121" i="7"/>
  <c r="F167" i="7"/>
  <c r="D188" i="7"/>
  <c r="E188" i="7" s="1"/>
  <c r="E88" i="8"/>
  <c r="E90" i="8" s="1"/>
  <c r="E86" i="8" s="1"/>
  <c r="E88" i="9"/>
  <c r="F101" i="9"/>
  <c r="E59" i="10"/>
  <c r="E47" i="12"/>
  <c r="F47" i="12" s="1"/>
  <c r="E80" i="13"/>
  <c r="E77" i="13" s="1"/>
  <c r="E24" i="17"/>
  <c r="F24" i="17" s="1"/>
  <c r="F85" i="17"/>
  <c r="E77" i="22"/>
  <c r="E101" i="22"/>
  <c r="E103" i="22" s="1"/>
  <c r="E180" i="9"/>
  <c r="F204" i="9"/>
  <c r="E206" i="9"/>
  <c r="F206" i="9" s="1"/>
  <c r="F40" i="12"/>
  <c r="E65" i="15"/>
  <c r="F65" i="15" s="1"/>
  <c r="F145" i="17"/>
  <c r="E292" i="18"/>
  <c r="E63" i="9"/>
  <c r="F192" i="9"/>
  <c r="F200" i="9"/>
  <c r="F19" i="21"/>
  <c r="E260" i="18" l="1"/>
  <c r="E253" i="18"/>
  <c r="E266" i="17"/>
  <c r="F266" i="17" s="1"/>
  <c r="D265" i="17"/>
  <c r="E265" i="17" s="1"/>
  <c r="E282" i="17"/>
  <c r="F282" i="17" s="1"/>
  <c r="D137" i="8"/>
  <c r="D135" i="8"/>
  <c r="D140" i="8"/>
  <c r="D138" i="8"/>
  <c r="D139" i="8"/>
  <c r="D136" i="8"/>
  <c r="C281" i="17"/>
  <c r="D21" i="13"/>
  <c r="D20" i="13"/>
  <c r="D22" i="13"/>
  <c r="E22" i="8"/>
  <c r="F43" i="11"/>
  <c r="D75" i="4"/>
  <c r="E75" i="4" s="1"/>
  <c r="F75" i="4" s="1"/>
  <c r="E41" i="4"/>
  <c r="D55" i="22"/>
  <c r="D47" i="22"/>
  <c r="D37" i="22"/>
  <c r="D112" i="22"/>
  <c r="E43" i="18"/>
  <c r="D44" i="18"/>
  <c r="D259" i="18"/>
  <c r="C270" i="17"/>
  <c r="C272" i="17"/>
  <c r="E269" i="17"/>
  <c r="F269" i="17" s="1"/>
  <c r="C100" i="18"/>
  <c r="C97" i="18"/>
  <c r="C258" i="18"/>
  <c r="C99" i="18"/>
  <c r="C95" i="18"/>
  <c r="C98" i="18"/>
  <c r="C86" i="18"/>
  <c r="C89" i="18"/>
  <c r="C96" i="18"/>
  <c r="C83" i="18"/>
  <c r="C84" i="18"/>
  <c r="C88" i="18"/>
  <c r="C85" i="18"/>
  <c r="C101" i="18"/>
  <c r="C87" i="18"/>
  <c r="C271" i="17"/>
  <c r="E261" i="17"/>
  <c r="C263" i="17"/>
  <c r="C268" i="17"/>
  <c r="F261" i="17"/>
  <c r="C50" i="17"/>
  <c r="C91" i="17"/>
  <c r="E89" i="17"/>
  <c r="F89" i="17" s="1"/>
  <c r="E240" i="18"/>
  <c r="C253" i="18"/>
  <c r="C252" i="18"/>
  <c r="C254" i="18" s="1"/>
  <c r="D106" i="17"/>
  <c r="E105" i="17"/>
  <c r="F105" i="17" s="1"/>
  <c r="F194" i="17"/>
  <c r="C195" i="17"/>
  <c r="D289" i="17"/>
  <c r="D291" i="17"/>
  <c r="E287" i="17"/>
  <c r="F90" i="17"/>
  <c r="E215" i="17"/>
  <c r="F215" i="17"/>
  <c r="F200" i="17"/>
  <c r="C287" i="17"/>
  <c r="C284" i="17"/>
  <c r="E277" i="17"/>
  <c r="F277" i="17"/>
  <c r="C279" i="17"/>
  <c r="C286" i="17"/>
  <c r="C288" i="17"/>
  <c r="F285" i="17"/>
  <c r="D24" i="13"/>
  <c r="D17" i="13"/>
  <c r="D28" i="13" s="1"/>
  <c r="D70" i="13" s="1"/>
  <c r="D72" i="13" s="1"/>
  <c r="D69" i="13" s="1"/>
  <c r="E254" i="17"/>
  <c r="F254" i="17"/>
  <c r="F36" i="14"/>
  <c r="F38" i="14" s="1"/>
  <c r="F40" i="14" s="1"/>
  <c r="H33" i="14"/>
  <c r="H36" i="14" s="1"/>
  <c r="H38" i="14" s="1"/>
  <c r="H40" i="14" s="1"/>
  <c r="C162" i="17"/>
  <c r="F188" i="7"/>
  <c r="E227" i="17"/>
  <c r="F227" i="17" s="1"/>
  <c r="E35" i="5"/>
  <c r="D43" i="5"/>
  <c r="F205" i="17"/>
  <c r="E205" i="17"/>
  <c r="E280" i="17"/>
  <c r="F280" i="17" s="1"/>
  <c r="D77" i="18"/>
  <c r="E76" i="18"/>
  <c r="F207" i="17"/>
  <c r="C208" i="17"/>
  <c r="D54" i="22"/>
  <c r="D36" i="22"/>
  <c r="D46" i="22"/>
  <c r="D40" i="22"/>
  <c r="D111" i="22"/>
  <c r="D30" i="22"/>
  <c r="E279" i="17"/>
  <c r="C330" i="18"/>
  <c r="E330" i="18" s="1"/>
  <c r="E326" i="18"/>
  <c r="D66" i="18"/>
  <c r="E65" i="18"/>
  <c r="D294" i="18"/>
  <c r="E294" i="18" s="1"/>
  <c r="E121" i="10"/>
  <c r="F52" i="6"/>
  <c r="E95" i="6"/>
  <c r="F95" i="6" s="1"/>
  <c r="E306" i="17"/>
  <c r="E217" i="18"/>
  <c r="D241" i="18"/>
  <c r="E241" i="18" s="1"/>
  <c r="E190" i="17"/>
  <c r="F190" i="17" s="1"/>
  <c r="F68" i="17"/>
  <c r="E158" i="8"/>
  <c r="C304" i="17"/>
  <c r="C216" i="17"/>
  <c r="E214" i="17"/>
  <c r="F214" i="17" s="1"/>
  <c r="C265" i="17"/>
  <c r="E264" i="17"/>
  <c r="C300" i="17"/>
  <c r="F264" i="17"/>
  <c r="E243" i="18"/>
  <c r="D252" i="18"/>
  <c r="D208" i="17"/>
  <c r="E207" i="17"/>
  <c r="C41" i="20"/>
  <c r="E39" i="20"/>
  <c r="E41" i="20" s="1"/>
  <c r="F39" i="20"/>
  <c r="C43" i="4"/>
  <c r="F41" i="4"/>
  <c r="F65" i="11"/>
  <c r="C75" i="11"/>
  <c r="E75" i="11" s="1"/>
  <c r="E157" i="18"/>
  <c r="D169" i="18"/>
  <c r="E169" i="18" s="1"/>
  <c r="C158" i="8"/>
  <c r="F21" i="5"/>
  <c r="C35" i="5"/>
  <c r="E196" i="17"/>
  <c r="F196" i="17"/>
  <c r="E316" i="18"/>
  <c r="D320" i="18"/>
  <c r="E320" i="18" s="1"/>
  <c r="C63" i="17"/>
  <c r="F62" i="17"/>
  <c r="E200" i="17"/>
  <c r="E20" i="12"/>
  <c r="F20" i="12" s="1"/>
  <c r="D34" i="12"/>
  <c r="E109" i="22"/>
  <c r="E113" i="22"/>
  <c r="E108" i="22"/>
  <c r="C140" i="17"/>
  <c r="E138" i="17"/>
  <c r="F138" i="17" s="1"/>
  <c r="C139" i="17"/>
  <c r="E161" i="17"/>
  <c r="F161" i="17" s="1"/>
  <c r="D162" i="17"/>
  <c r="D43" i="4"/>
  <c r="E43" i="4" s="1"/>
  <c r="F239" i="17"/>
  <c r="C246" i="18"/>
  <c r="C223" i="18"/>
  <c r="C247" i="18" s="1"/>
  <c r="E222" i="18"/>
  <c r="D223" i="18"/>
  <c r="D246" i="18"/>
  <c r="E246" i="18" s="1"/>
  <c r="E285" i="17"/>
  <c r="E303" i="18"/>
  <c r="D306" i="18"/>
  <c r="E63" i="17"/>
  <c r="E48" i="17"/>
  <c r="F48" i="17" s="1"/>
  <c r="D90" i="17"/>
  <c r="E90" i="17" s="1"/>
  <c r="D160" i="17"/>
  <c r="E160" i="17" s="1"/>
  <c r="F160" i="17" s="1"/>
  <c r="D195" i="17"/>
  <c r="D49" i="17"/>
  <c r="D125" i="17"/>
  <c r="E125" i="17" s="1"/>
  <c r="F125" i="17" s="1"/>
  <c r="E206" i="17"/>
  <c r="F206" i="17"/>
  <c r="E43" i="11"/>
  <c r="D174" i="17"/>
  <c r="E174" i="17" s="1"/>
  <c r="F174" i="17" s="1"/>
  <c r="D175" i="17"/>
  <c r="E173" i="17"/>
  <c r="F173" i="17" s="1"/>
  <c r="D158" i="8"/>
  <c r="D209" i="17" l="1"/>
  <c r="D210" i="17"/>
  <c r="E208" i="17"/>
  <c r="E66" i="18"/>
  <c r="D295" i="18"/>
  <c r="E295" i="18" s="1"/>
  <c r="D263" i="18"/>
  <c r="E263" i="18" s="1"/>
  <c r="E259" i="18"/>
  <c r="D323" i="17"/>
  <c r="E323" i="17" s="1"/>
  <c r="E162" i="17"/>
  <c r="E252" i="18"/>
  <c r="D254" i="18"/>
  <c r="E254" i="18" s="1"/>
  <c r="E268" i="17"/>
  <c r="F268" i="17" s="1"/>
  <c r="D95" i="18"/>
  <c r="D89" i="18"/>
  <c r="E89" i="18" s="1"/>
  <c r="D97" i="18"/>
  <c r="E97" i="18" s="1"/>
  <c r="D96" i="18"/>
  <c r="D258" i="18"/>
  <c r="D100" i="18"/>
  <c r="E100" i="18" s="1"/>
  <c r="D84" i="18"/>
  <c r="D86" i="18"/>
  <c r="E86" i="18" s="1"/>
  <c r="D83" i="18"/>
  <c r="D85" i="18"/>
  <c r="E85" i="18" s="1"/>
  <c r="D101" i="18"/>
  <c r="E101" i="18" s="1"/>
  <c r="E44" i="18"/>
  <c r="D99" i="18"/>
  <c r="E99" i="18" s="1"/>
  <c r="D98" i="18"/>
  <c r="E98" i="18" s="1"/>
  <c r="D87" i="18"/>
  <c r="E87" i="18" s="1"/>
  <c r="D88" i="18"/>
  <c r="E88" i="18" s="1"/>
  <c r="E195" i="17"/>
  <c r="F195" i="17" s="1"/>
  <c r="D247" i="18"/>
  <c r="E247" i="18" s="1"/>
  <c r="E223" i="18"/>
  <c r="F35" i="5"/>
  <c r="C43" i="5"/>
  <c r="C70" i="17"/>
  <c r="E300" i="17"/>
  <c r="F300" i="17" s="1"/>
  <c r="D113" i="22"/>
  <c r="D48" i="22"/>
  <c r="D38" i="22"/>
  <c r="D56" i="22"/>
  <c r="E106" i="17"/>
  <c r="F106" i="17" s="1"/>
  <c r="D324" i="17"/>
  <c r="D113" i="17"/>
  <c r="D109" i="18"/>
  <c r="E77" i="18"/>
  <c r="D124" i="18"/>
  <c r="E124" i="18" s="1"/>
  <c r="D121" i="18"/>
  <c r="D122" i="18"/>
  <c r="D115" i="18"/>
  <c r="E115" i="18" s="1"/>
  <c r="D126" i="18"/>
  <c r="E126" i="18" s="1"/>
  <c r="D123" i="18"/>
  <c r="E123" i="18" s="1"/>
  <c r="D114" i="18"/>
  <c r="E114" i="18" s="1"/>
  <c r="D112" i="18"/>
  <c r="E112" i="18" s="1"/>
  <c r="D127" i="18"/>
  <c r="E127" i="18" s="1"/>
  <c r="D125" i="18"/>
  <c r="E125" i="18" s="1"/>
  <c r="D111" i="18"/>
  <c r="E111" i="18" s="1"/>
  <c r="D110" i="18"/>
  <c r="D113" i="18"/>
  <c r="E113" i="18" s="1"/>
  <c r="D305" i="17"/>
  <c r="E272" i="17"/>
  <c r="F272" i="17" s="1"/>
  <c r="D50" i="5"/>
  <c r="E43" i="5"/>
  <c r="C92" i="17"/>
  <c r="F91" i="17"/>
  <c r="E91" i="17"/>
  <c r="C264" i="18"/>
  <c r="C266" i="18" s="1"/>
  <c r="C267" i="18"/>
  <c r="E216" i="17"/>
  <c r="F216" i="17" s="1"/>
  <c r="C210" i="17"/>
  <c r="F208" i="17"/>
  <c r="C209" i="17"/>
  <c r="F43" i="4"/>
  <c r="C273" i="17"/>
  <c r="E271" i="17"/>
  <c r="F271" i="17" s="1"/>
  <c r="D141" i="8"/>
  <c r="C141" i="17"/>
  <c r="E140" i="17"/>
  <c r="F140" i="17" s="1"/>
  <c r="F41" i="20"/>
  <c r="F265" i="17"/>
  <c r="F162" i="17"/>
  <c r="C323" i="17"/>
  <c r="C183" i="17"/>
  <c r="C197" i="17"/>
  <c r="F284" i="17"/>
  <c r="E289" i="17"/>
  <c r="E284" i="17"/>
  <c r="E270" i="17"/>
  <c r="F270" i="17" s="1"/>
  <c r="E281" i="17"/>
  <c r="F281" i="17" s="1"/>
  <c r="F75" i="11"/>
  <c r="E49" i="17"/>
  <c r="F49" i="17" s="1"/>
  <c r="D50" i="17"/>
  <c r="E288" i="17"/>
  <c r="F288" i="17"/>
  <c r="C90" i="18"/>
  <c r="C91" i="18" s="1"/>
  <c r="C105" i="18" s="1"/>
  <c r="E34" i="12"/>
  <c r="F34" i="12" s="1"/>
  <c r="D42" i="12"/>
  <c r="E263" i="17"/>
  <c r="F263" i="17" s="1"/>
  <c r="E175" i="17"/>
  <c r="F175" i="17" s="1"/>
  <c r="D176" i="17"/>
  <c r="E176" i="17" s="1"/>
  <c r="F176" i="17" s="1"/>
  <c r="E139" i="17"/>
  <c r="F139" i="17" s="1"/>
  <c r="E304" i="17"/>
  <c r="F304" i="17" s="1"/>
  <c r="F279" i="17"/>
  <c r="C102" i="18"/>
  <c r="F63" i="17"/>
  <c r="E306" i="18"/>
  <c r="D310" i="18"/>
  <c r="E310" i="18" s="1"/>
  <c r="C291" i="17"/>
  <c r="C289" i="17"/>
  <c r="F287" i="17"/>
  <c r="E286" i="17"/>
  <c r="F286" i="17" s="1"/>
  <c r="C103" i="18"/>
  <c r="E50" i="17" l="1"/>
  <c r="F50" i="17" s="1"/>
  <c r="D70" i="17"/>
  <c r="E70" i="17" s="1"/>
  <c r="C324" i="17"/>
  <c r="C113" i="17"/>
  <c r="E92" i="17"/>
  <c r="F92" i="17" s="1"/>
  <c r="F289" i="17"/>
  <c r="E42" i="12"/>
  <c r="F42" i="12" s="1"/>
  <c r="D49" i="12"/>
  <c r="E49" i="12" s="1"/>
  <c r="F49" i="12" s="1"/>
  <c r="D264" i="18"/>
  <c r="E258" i="18"/>
  <c r="E273" i="17"/>
  <c r="F273" i="17" s="1"/>
  <c r="C268" i="18"/>
  <c r="C271" i="18" s="1"/>
  <c r="C269" i="18"/>
  <c r="E96" i="18"/>
  <c r="D102" i="18"/>
  <c r="E102" i="18" s="1"/>
  <c r="D325" i="17"/>
  <c r="E324" i="17"/>
  <c r="D103" i="18"/>
  <c r="E103" i="18" s="1"/>
  <c r="E95" i="18"/>
  <c r="F141" i="17"/>
  <c r="C211" i="17"/>
  <c r="C322" i="17"/>
  <c r="C148" i="17"/>
  <c r="E141" i="17"/>
  <c r="D116" i="18"/>
  <c r="E116" i="18" s="1"/>
  <c r="E110" i="18"/>
  <c r="E197" i="17"/>
  <c r="F197" i="17" s="1"/>
  <c r="D309" i="17"/>
  <c r="E109" i="18"/>
  <c r="D211" i="17"/>
  <c r="E211" i="17" s="1"/>
  <c r="E210" i="17"/>
  <c r="F210" i="17" s="1"/>
  <c r="F209" i="17"/>
  <c r="E83" i="18"/>
  <c r="F70" i="17"/>
  <c r="E122" i="18"/>
  <c r="D128" i="18"/>
  <c r="E128" i="18" s="1"/>
  <c r="C50" i="5"/>
  <c r="F43" i="5"/>
  <c r="D90" i="18"/>
  <c r="E90" i="18" s="1"/>
  <c r="E84" i="18"/>
  <c r="C305" i="17"/>
  <c r="E121" i="18"/>
  <c r="D129" i="18"/>
  <c r="E129" i="18" s="1"/>
  <c r="F323" i="17"/>
  <c r="E291" i="17"/>
  <c r="F291" i="17" s="1"/>
  <c r="D183" i="17"/>
  <c r="E183" i="17" s="1"/>
  <c r="F183" i="17" s="1"/>
  <c r="E209" i="17"/>
  <c r="E309" i="17" l="1"/>
  <c r="D310" i="17"/>
  <c r="C325" i="17"/>
  <c r="E325" i="17" s="1"/>
  <c r="F324" i="17"/>
  <c r="F113" i="17"/>
  <c r="E264" i="18"/>
  <c r="D266" i="18"/>
  <c r="C309" i="17"/>
  <c r="E148" i="17"/>
  <c r="F148" i="17" s="1"/>
  <c r="E305" i="17"/>
  <c r="F305" i="17" s="1"/>
  <c r="E322" i="17"/>
  <c r="F322" i="17" s="1"/>
  <c r="E50" i="5"/>
  <c r="F50" i="5" s="1"/>
  <c r="D117" i="18"/>
  <c r="E113" i="17"/>
  <c r="D91" i="18"/>
  <c r="F211" i="17"/>
  <c r="D105" i="18" l="1"/>
  <c r="E105" i="18" s="1"/>
  <c r="E91" i="18"/>
  <c r="F309" i="17"/>
  <c r="C310" i="17"/>
  <c r="F325" i="17"/>
  <c r="E310" i="17"/>
  <c r="D312" i="17"/>
  <c r="D131" i="18"/>
  <c r="E131" i="18" s="1"/>
  <c r="E117" i="18"/>
  <c r="E266" i="18"/>
  <c r="D267" i="18"/>
  <c r="D313" i="17" l="1"/>
  <c r="C312" i="17"/>
  <c r="F310" i="17"/>
  <c r="D269" i="18"/>
  <c r="E269" i="18" s="1"/>
  <c r="E267" i="18"/>
  <c r="D268" i="18"/>
  <c r="D314" i="17" l="1"/>
  <c r="D256" i="17"/>
  <c r="D315" i="17"/>
  <c r="D251" i="17"/>
  <c r="D271" i="18"/>
  <c r="E271" i="18" s="1"/>
  <c r="E268" i="18"/>
  <c r="F312" i="17"/>
  <c r="C313" i="17"/>
  <c r="E313" i="17" s="1"/>
  <c r="E312" i="17"/>
  <c r="D257" i="17" l="1"/>
  <c r="E315" i="17"/>
  <c r="C251" i="17"/>
  <c r="F313" i="17"/>
  <c r="C314" i="17"/>
  <c r="C256" i="17"/>
  <c r="C315" i="17"/>
  <c r="D318" i="17"/>
  <c r="C318" i="17" l="1"/>
  <c r="E318" i="17"/>
  <c r="C257" i="17"/>
  <c r="E257" i="17" s="1"/>
  <c r="F256" i="17"/>
  <c r="E314" i="17"/>
  <c r="F314" i="17" s="1"/>
  <c r="E256" i="17"/>
  <c r="F315" i="17"/>
  <c r="E251" i="17"/>
  <c r="F251" i="17" s="1"/>
  <c r="F318" i="17" l="1"/>
  <c r="F257" i="17"/>
</calcChain>
</file>

<file path=xl/sharedStrings.xml><?xml version="1.0" encoding="utf-8"?>
<sst xmlns="http://schemas.openxmlformats.org/spreadsheetml/2006/main" count="2334" uniqueCount="1009">
  <si>
    <t>WILLIAM W. BACKUS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</si>
  <si>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</si>
  <si>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</si>
  <si>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</si>
  <si>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</si>
  <si>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</si>
  <si>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</si>
  <si>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</si>
  <si>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</si>
  <si>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</si>
  <si>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</si>
  <si>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</si>
  <si>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</si>
  <si>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</si>
  <si>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</si>
  <si>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</si>
  <si>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</si>
  <si>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</si>
  <si>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</si>
  <si>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</si>
  <si>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</si>
  <si>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</si>
  <si>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</si>
  <si>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</si>
  <si>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</si>
  <si>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</si>
  <si>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</si>
  <si>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</si>
  <si>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</si>
  <si>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</si>
  <si>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</si>
  <si>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</si>
  <si>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</si>
  <si>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</si>
  <si>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</si>
  <si>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</si>
  <si>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</si>
  <si>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</si>
  <si>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</si>
  <si>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</si>
  <si>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</si>
  <si>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</si>
  <si>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</si>
  <si>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</si>
  <si>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</si>
  <si>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</si>
  <si>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</si>
  <si>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</si>
  <si>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</si>
  <si>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</si>
  <si>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</si>
  <si>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</si>
  <si>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</si>
  <si>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</si>
  <si>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</si>
  <si>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</si>
  <si>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</si>
  <si>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</si>
  <si>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</si>
  <si>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</si>
  <si>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</si>
  <si>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</si>
  <si>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</si>
  <si>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</si>
  <si>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</si>
  <si>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</si>
  <si>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</si>
  <si>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</si>
  <si>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</si>
  <si>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</si>
  <si>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</si>
  <si>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</si>
  <si>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</si>
  <si>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</si>
  <si>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</si>
  <si>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</si>
  <si>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</si>
  <si>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</si>
  <si>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</si>
  <si>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</si>
  <si>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</si>
  <si>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</si>
  <si>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</si>
  <si>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</si>
  <si>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</si>
  <si>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</si>
  <si>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</si>
  <si>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</si>
  <si>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</si>
  <si>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</si>
  <si>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</si>
  <si>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</si>
  <si>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</si>
  <si>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</si>
  <si>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</si>
  <si>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</si>
  <si>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</si>
  <si>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</si>
  <si>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</si>
  <si>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</si>
  <si>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</si>
  <si>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</si>
  <si>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</si>
  <si>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</si>
  <si>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</si>
  <si>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</si>
  <si>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</si>
  <si>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</si>
  <si>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</si>
  <si>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</si>
  <si>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</si>
  <si>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</si>
  <si>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</si>
  <si>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</si>
  <si>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</si>
  <si>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</si>
  <si>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</si>
  <si>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</si>
  <si>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</si>
  <si>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</si>
  <si>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</si>
  <si>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</si>
  <si>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</si>
  <si>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</si>
  <si>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</si>
  <si>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</si>
  <si>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</si>
  <si>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</si>
  <si>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</si>
  <si>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</si>
  <si>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</si>
  <si>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</si>
  <si>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</si>
  <si>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</si>
  <si>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</si>
  <si>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</si>
  <si>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</si>
  <si>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</si>
  <si>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</si>
  <si>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</si>
  <si>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</si>
  <si>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</si>
  <si>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</si>
  <si>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</si>
  <si>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</si>
  <si>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</si>
  <si>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</si>
  <si>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</si>
  <si>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</si>
  <si>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</si>
  <si>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</si>
  <si>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</si>
  <si>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</si>
  <si>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</si>
  <si>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</si>
  <si>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</si>
  <si>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</si>
  <si>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</si>
  <si>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</si>
  <si>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</si>
  <si>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</si>
  <si>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</si>
  <si>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</si>
  <si>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</si>
  <si>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</si>
  <si>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</si>
  <si>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</si>
  <si>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</si>
  <si>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</si>
  <si>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</si>
  <si>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</si>
  <si>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</si>
  <si>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</si>
  <si>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</si>
  <si>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</si>
  <si>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</si>
  <si>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</si>
  <si>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</si>
  <si>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</si>
  <si>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</si>
  <si>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</si>
  <si>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</si>
  <si>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</si>
  <si>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</si>
  <si>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</si>
  <si>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</si>
  <si>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</si>
  <si>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</si>
  <si>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</si>
  <si>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</si>
  <si>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</si>
  <si>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</si>
  <si>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</si>
  <si>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</si>
  <si>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</si>
  <si>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</si>
  <si>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</si>
  <si>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</si>
  <si>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</si>
  <si>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</si>
  <si>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</si>
  <si>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</si>
  <si>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</si>
  <si>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</si>
  <si>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</si>
  <si>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</si>
  <si>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</si>
  <si>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</si>
  <si>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</si>
  <si>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</si>
  <si>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</si>
  <si>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</si>
  <si>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</si>
  <si>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</si>
  <si>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</si>
  <si>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</si>
  <si>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</si>
  <si>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</si>
  <si>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</si>
  <si>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</si>
  <si>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</si>
  <si>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</si>
  <si>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</si>
  <si>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</si>
  <si>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</si>
  <si>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</si>
  <si>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</si>
  <si>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</si>
  <si>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</si>
  <si>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</si>
  <si>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</si>
  <si>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</si>
  <si>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</si>
  <si>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</si>
  <si>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</si>
  <si>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</si>
  <si>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</si>
  <si>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</si>
  <si>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</si>
  <si>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</si>
  <si>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</si>
  <si>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</si>
  <si>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</si>
  <si>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</si>
  <si>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</si>
  <si>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</si>
  <si>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</si>
  <si>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</si>
  <si>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</si>
  <si>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</si>
  <si>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</si>
  <si>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</si>
  <si>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</si>
  <si>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</si>
  <si>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</si>
  <si>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</si>
  <si>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</si>
  <si>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</si>
  <si>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</si>
  <si>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</si>
  <si>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</si>
  <si>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</si>
  <si>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</si>
  <si>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</si>
  <si>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</si>
  <si>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</si>
  <si>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</si>
  <si>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</si>
  <si>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</si>
  <si>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</si>
  <si>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</si>
  <si>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</si>
  <si>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</si>
  <si>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</si>
  <si>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</si>
  <si>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</si>
  <si>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</si>
  <si>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</si>
  <si>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</si>
  <si>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</si>
  <si>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</si>
  <si>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</si>
  <si>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</si>
  <si>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</si>
  <si>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</si>
  <si>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</si>
  <si>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</si>
  <si>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</si>
  <si>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</si>
  <si>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</si>
  <si>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</si>
  <si>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</si>
  <si>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</si>
  <si>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</si>
  <si>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</si>
  <si>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</si>
  <si>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</si>
  <si>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</si>
  <si>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</si>
  <si>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</si>
  <si>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</si>
  <si>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</si>
  <si>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</si>
  <si>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</si>
  <si>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</si>
  <si>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</si>
  <si>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</si>
  <si>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</si>
  <si>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</si>
  <si>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</si>
  <si>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</si>
  <si>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</si>
  <si>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</si>
  <si>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</si>
  <si>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</si>
  <si>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</si>
  <si>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</si>
  <si>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</si>
  <si>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</si>
  <si>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</si>
  <si>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</si>
  <si>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</si>
  <si>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</si>
  <si>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</si>
  <si>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</si>
  <si>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</si>
  <si>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</si>
  <si>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</si>
  <si>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</si>
  <si>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</si>
  <si>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</si>
  <si>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</si>
  <si>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</si>
  <si>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</si>
  <si>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</si>
  <si>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</si>
  <si>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</si>
  <si>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</si>
  <si>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</si>
  <si>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</si>
  <si>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</si>
  <si>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</si>
  <si>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</si>
  <si>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</si>
  <si>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</si>
  <si>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</si>
  <si>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</si>
  <si>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</si>
  <si>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</si>
  <si>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</si>
  <si>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</si>
  <si>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</si>
  <si>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</si>
  <si>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</si>
  <si>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</si>
  <si>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</si>
  <si>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</si>
  <si>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</si>
  <si>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</si>
  <si>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</si>
  <si>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</si>
  <si>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</si>
  <si>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</si>
  <si>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</si>
  <si>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</si>
  <si>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</si>
  <si>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</si>
  <si>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</si>
  <si>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</si>
  <si>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</si>
  <si>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</si>
  <si>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</si>
  <si>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</si>
  <si>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</si>
  <si>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</si>
  <si>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</si>
  <si>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</si>
  <si>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</si>
  <si>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</si>
  <si>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</si>
  <si>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</si>
  <si>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</si>
  <si>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</si>
  <si>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</si>
  <si>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</si>
  <si>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</si>
  <si>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</si>
  <si>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</si>
  <si>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</si>
  <si>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</si>
  <si>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</si>
  <si>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</si>
  <si>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</si>
  <si>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</si>
  <si>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</si>
  <si>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</si>
  <si>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</si>
  <si>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</si>
  <si>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</si>
  <si>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</si>
  <si>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</si>
  <si>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</si>
  <si>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</si>
  <si>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</si>
  <si>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</si>
  <si>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</si>
  <si>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</si>
  <si>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</si>
  <si>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</si>
  <si>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</si>
  <si>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</si>
  <si>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</si>
  <si>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</si>
  <si>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</si>
  <si>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</si>
  <si>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</si>
  <si>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</si>
  <si>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</si>
  <si>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</si>
  <si>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</si>
  <si>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</si>
  <si>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</si>
  <si>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</si>
  <si>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</si>
  <si>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</si>
  <si>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</si>
  <si>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</si>
  <si>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</si>
  <si>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</si>
  <si>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</si>
  <si>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</si>
  <si>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</si>
  <si>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</si>
  <si>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</si>
  <si>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</si>
  <si>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</si>
  <si>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</si>
  <si>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</si>
  <si>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</si>
  <si>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</si>
  <si>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</si>
  <si>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</si>
  <si>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</si>
  <si>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</si>
  <si>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</si>
  <si>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</si>
  <si>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</si>
  <si>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</si>
  <si>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</si>
  <si>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</si>
  <si>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</si>
  <si>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</si>
  <si>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</si>
  <si>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</si>
  <si>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</si>
  <si>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</si>
  <si>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</si>
  <si>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</si>
  <si>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</si>
  <si>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</si>
  <si>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</si>
  <si>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</si>
  <si>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</si>
  <si>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</si>
  <si>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</si>
  <si>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</si>
  <si>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</si>
  <si>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</si>
  <si>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</si>
  <si>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</si>
  <si>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</si>
  <si>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</si>
  <si>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</si>
  <si>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</si>
  <si>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</si>
  <si>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</si>
  <si>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</si>
  <si>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</si>
  <si>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</si>
  <si>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</si>
  <si>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</si>
  <si>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</si>
  <si>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</si>
  <si>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</si>
  <si>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</si>
  <si>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</si>
  <si>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</si>
  <si>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</si>
  <si>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</si>
  <si>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</si>
  <si>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</si>
  <si>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</si>
  <si>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</si>
  <si>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</si>
  <si>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</si>
  <si>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</si>
  <si>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</si>
  <si>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</si>
  <si>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</si>
  <si>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</si>
  <si>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BACKUS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</si>
  <si>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</si>
  <si>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</si>
  <si>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</si>
  <si>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</si>
  <si>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</si>
  <si>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</si>
  <si>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</si>
  <si>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</si>
  <si>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</si>
  <si>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</si>
  <si>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</si>
  <si>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</si>
  <si>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</si>
  <si>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</si>
  <si>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</si>
  <si>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</si>
  <si>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</si>
  <si>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</si>
  <si>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</si>
  <si>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</si>
  <si>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</si>
  <si>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</si>
  <si>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</si>
  <si>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</si>
  <si>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</si>
  <si>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</si>
  <si>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</si>
  <si>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</si>
  <si>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</si>
  <si>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</si>
  <si>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</si>
  <si>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</si>
  <si>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</si>
  <si>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</si>
  <si>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</si>
  <si>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</si>
  <si>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</si>
  <si>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</si>
  <si>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</si>
  <si>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</si>
  <si>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</si>
  <si>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</si>
  <si>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</si>
  <si>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</si>
  <si>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</si>
  <si>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</si>
  <si>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</si>
  <si>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</si>
  <si>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</si>
  <si>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</si>
  <si>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</si>
  <si>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</si>
  <si>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</si>
  <si>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</si>
  <si>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</si>
  <si>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</si>
  <si>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</si>
  <si>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</si>
  <si>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</si>
  <si>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</si>
  <si>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</si>
  <si>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</si>
  <si>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</si>
  <si>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</si>
  <si>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</si>
  <si>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</si>
  <si>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</si>
  <si>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</si>
  <si>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</si>
  <si>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</si>
  <si>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</si>
  <si>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</si>
  <si>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</si>
  <si>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</si>
  <si>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</si>
  <si>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</si>
  <si>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</si>
  <si>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</si>
  <si>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</si>
  <si>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</si>
  <si>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</si>
  <si>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</si>
  <si>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</si>
  <si>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</si>
  <si>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</si>
  <si>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</si>
  <si>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</si>
  <si>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</si>
  <si>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</si>
  <si>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</si>
  <si>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</si>
  <si>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</si>
  <si>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</si>
  <si>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</si>
  <si>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</si>
  <si>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</si>
  <si>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</si>
  <si>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</si>
  <si>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</si>
  <si>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</si>
  <si>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</si>
  <si>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</si>
  <si>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</si>
  <si>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</si>
  <si>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</si>
  <si>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</si>
  <si>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</si>
  <si>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</si>
  <si>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</si>
  <si>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</si>
  <si>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</si>
  <si>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</si>
  <si>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</si>
  <si>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</si>
  <si>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</si>
  <si>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</si>
  <si>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</si>
  <si>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</si>
  <si>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</si>
  <si>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</si>
  <si>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BACKUS HOSPITAL</t>
  </si>
  <si>
    <t>Total Outpatient Surgical Procedures(A)</t>
  </si>
  <si>
    <t>Total Outpatient Endoscopy Procedures(B)</t>
  </si>
  <si>
    <t>Outpatient Hospital Emergency Room Visits</t>
  </si>
  <si>
    <t>BACKUS PLAINFIELD EMERGENCY DPT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</si>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</sst>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4" fillId="0" borderId="14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SheetLayoutView="75" workbookViewId="0">
      <selection activeCell="I5" sqref="I5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187018905</v>
      </c>
      <c r="D13" s="22">
        <v>192740131</v>
      </c>
      <c r="E13" s="22">
        <f t="shared" ref="E13:E22" si="0">D13-C13</f>
        <v>5721226</v>
      </c>
      <c r="F13" s="23">
        <f t="shared" ref="F13:F22" si="1">IF(C13=0,0,E13/C13)</f>
        <v>3.0591698737622273E-2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36980052</v>
      </c>
      <c r="D15" s="22">
        <v>36077266</v>
      </c>
      <c r="E15" s="22">
        <f t="shared" si="0"/>
        <v>-902786</v>
      </c>
      <c r="F15" s="23">
        <f t="shared" si="1"/>
        <v>-2.4412783410904883E-2</v>
      </c>
    </row>
    <row r="16" spans="1:8" ht="24" customHeight="1" x14ac:dyDescent="0.2">
      <c r="A16" s="20">
        <v>4</v>
      </c>
      <c r="B16" s="21" t="s">
        <v>19</v>
      </c>
      <c r="C16" s="22">
        <v>3285815</v>
      </c>
      <c r="D16" s="22">
        <v>5448010</v>
      </c>
      <c r="E16" s="22">
        <f t="shared" si="0"/>
        <v>2162195</v>
      </c>
      <c r="F16" s="23">
        <f t="shared" si="1"/>
        <v>0.65803917749477681</v>
      </c>
    </row>
    <row r="17" spans="1:11" ht="24" customHeight="1" x14ac:dyDescent="0.2">
      <c r="A17" s="20">
        <v>5</v>
      </c>
      <c r="B17" s="21" t="s">
        <v>20</v>
      </c>
      <c r="C17" s="22">
        <v>2037361</v>
      </c>
      <c r="D17" s="22">
        <v>2036239</v>
      </c>
      <c r="E17" s="22">
        <f t="shared" si="0"/>
        <v>-1122</v>
      </c>
      <c r="F17" s="23">
        <f t="shared" si="1"/>
        <v>-5.5071241669983867E-4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3771462</v>
      </c>
      <c r="D19" s="22">
        <v>3621065</v>
      </c>
      <c r="E19" s="22">
        <f t="shared" si="0"/>
        <v>-150397</v>
      </c>
      <c r="F19" s="23">
        <f t="shared" si="1"/>
        <v>-3.9877638963351614E-2</v>
      </c>
    </row>
    <row r="20" spans="1:11" ht="24" customHeight="1" x14ac:dyDescent="0.2">
      <c r="A20" s="20">
        <v>8</v>
      </c>
      <c r="B20" s="21" t="s">
        <v>23</v>
      </c>
      <c r="C20" s="22">
        <v>1643561</v>
      </c>
      <c r="D20" s="22">
        <v>3040704</v>
      </c>
      <c r="E20" s="22">
        <f t="shared" si="0"/>
        <v>1397143</v>
      </c>
      <c r="F20" s="23">
        <f t="shared" si="1"/>
        <v>0.85007066972263279</v>
      </c>
    </row>
    <row r="21" spans="1:11" ht="24" customHeight="1" x14ac:dyDescent="0.2">
      <c r="A21" s="20">
        <v>9</v>
      </c>
      <c r="B21" s="21" t="s">
        <v>24</v>
      </c>
      <c r="C21" s="22">
        <v>1317632</v>
      </c>
      <c r="D21" s="22">
        <v>958264</v>
      </c>
      <c r="E21" s="22">
        <f t="shared" si="0"/>
        <v>-359368</v>
      </c>
      <c r="F21" s="23">
        <f t="shared" si="1"/>
        <v>-0.27273775986011267</v>
      </c>
    </row>
    <row r="22" spans="1:11" ht="24" customHeight="1" x14ac:dyDescent="0.25">
      <c r="A22" s="24"/>
      <c r="B22" s="25" t="s">
        <v>25</v>
      </c>
      <c r="C22" s="26">
        <f>SUM(C13:C21)</f>
        <v>236054788</v>
      </c>
      <c r="D22" s="26">
        <f>SUM(D13:D21)</f>
        <v>243921679</v>
      </c>
      <c r="E22" s="26">
        <f t="shared" si="0"/>
        <v>7866891</v>
      </c>
      <c r="F22" s="27">
        <f t="shared" si="1"/>
        <v>3.3326547055677599E-2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29273515</v>
      </c>
      <c r="D25" s="22">
        <v>21400841</v>
      </c>
      <c r="E25" s="22">
        <f>D25-C25</f>
        <v>-7872674</v>
      </c>
      <c r="F25" s="23">
        <f>IF(C25=0,0,E25/C25)</f>
        <v>-0.26893504247781658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113055613</v>
      </c>
      <c r="D26" s="22">
        <v>134705505</v>
      </c>
      <c r="E26" s="22">
        <f>D26-C26</f>
        <v>21649892</v>
      </c>
      <c r="F26" s="23">
        <f>IF(C26=0,0,E26/C26)</f>
        <v>0.19149771891467254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142329128</v>
      </c>
      <c r="D29" s="26">
        <f>SUM(D25:D28)</f>
        <v>156106346</v>
      </c>
      <c r="E29" s="26">
        <f>D29-C29</f>
        <v>13777218</v>
      </c>
      <c r="F29" s="27">
        <f>IF(C29=0,0,E29/C29)</f>
        <v>9.6798302593408714E-2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7214261</v>
      </c>
      <c r="D33" s="22">
        <v>13785077</v>
      </c>
      <c r="E33" s="22">
        <f>D33-C33</f>
        <v>6570816</v>
      </c>
      <c r="F33" s="23">
        <f>IF(C33=0,0,E33/C33)</f>
        <v>0.91080929841601244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302912199</v>
      </c>
      <c r="D36" s="22">
        <v>306818887</v>
      </c>
      <c r="E36" s="22">
        <f>D36-C36</f>
        <v>3906688</v>
      </c>
      <c r="F36" s="23">
        <f>IF(C36=0,0,E36/C36)</f>
        <v>1.2897096957128491E-2</v>
      </c>
    </row>
    <row r="37" spans="1:8" ht="24" customHeight="1" x14ac:dyDescent="0.2">
      <c r="A37" s="20">
        <v>2</v>
      </c>
      <c r="B37" s="21" t="s">
        <v>39</v>
      </c>
      <c r="C37" s="22">
        <v>175263190</v>
      </c>
      <c r="D37" s="22">
        <v>188485953</v>
      </c>
      <c r="E37" s="22">
        <f>D37-C37</f>
        <v>13222763</v>
      </c>
      <c r="F37" s="23">
        <f>IF(C37=0,0,E37/C37)</f>
        <v>7.5445180474005974E-2</v>
      </c>
    </row>
    <row r="38" spans="1:8" ht="24" customHeight="1" x14ac:dyDescent="0.25">
      <c r="A38" s="24"/>
      <c r="B38" s="25" t="s">
        <v>40</v>
      </c>
      <c r="C38" s="26">
        <f>C36-C37</f>
        <v>127649009</v>
      </c>
      <c r="D38" s="26">
        <f>D36-D37</f>
        <v>118332934</v>
      </c>
      <c r="E38" s="26">
        <f>D38-C38</f>
        <v>-9316075</v>
      </c>
      <c r="F38" s="27">
        <f>IF(C38=0,0,E38/C38)</f>
        <v>-7.2981961027210163E-2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185693</v>
      </c>
      <c r="D40" s="22">
        <v>1246289</v>
      </c>
      <c r="E40" s="22">
        <f>D40-C40</f>
        <v>1060596</v>
      </c>
      <c r="F40" s="23">
        <f>IF(C40=0,0,E40/C40)</f>
        <v>5.7115561706687918</v>
      </c>
    </row>
    <row r="41" spans="1:8" ht="24" customHeight="1" x14ac:dyDescent="0.25">
      <c r="A41" s="24"/>
      <c r="B41" s="25" t="s">
        <v>42</v>
      </c>
      <c r="C41" s="26">
        <f>+C38+C40</f>
        <v>127834702</v>
      </c>
      <c r="D41" s="26">
        <f>+D38+D40</f>
        <v>119579223</v>
      </c>
      <c r="E41" s="26">
        <f>D41-C41</f>
        <v>-8255479</v>
      </c>
      <c r="F41" s="27">
        <f>IF(C41=0,0,E41/C41)</f>
        <v>-6.4579326824730263E-2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513432879</v>
      </c>
      <c r="D43" s="26">
        <f>D22+D29+D31+D32+D33+D41</f>
        <v>533392325</v>
      </c>
      <c r="E43" s="26">
        <f>D43-C43</f>
        <v>19959446</v>
      </c>
      <c r="F43" s="27">
        <f>IF(C43=0,0,E43/C43)</f>
        <v>3.8874499114420757E-2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8403938</v>
      </c>
      <c r="D49" s="22">
        <v>6815141</v>
      </c>
      <c r="E49" s="22">
        <f t="shared" ref="E49:E56" si="2">D49-C49</f>
        <v>-1588797</v>
      </c>
      <c r="F49" s="23">
        <f t="shared" ref="F49:F56" si="3">IF(C49=0,0,E49/C49)</f>
        <v>-0.18905386974535032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7611745</v>
      </c>
      <c r="D50" s="22">
        <v>6080822</v>
      </c>
      <c r="E50" s="22">
        <f t="shared" si="2"/>
        <v>-1530923</v>
      </c>
      <c r="F50" s="23">
        <f t="shared" si="3"/>
        <v>-0.20112641713562396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8036715</v>
      </c>
      <c r="D51" s="22">
        <v>9211505</v>
      </c>
      <c r="E51" s="22">
        <f t="shared" si="2"/>
        <v>1174790</v>
      </c>
      <c r="F51" s="23">
        <f t="shared" si="3"/>
        <v>0.14617788486962646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2841766</v>
      </c>
      <c r="D52" s="22">
        <v>1676365</v>
      </c>
      <c r="E52" s="22">
        <f t="shared" si="2"/>
        <v>-1165401</v>
      </c>
      <c r="F52" s="23">
        <f t="shared" si="3"/>
        <v>-0.41009745348491045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399818</v>
      </c>
      <c r="D54" s="22">
        <v>399931</v>
      </c>
      <c r="E54" s="22">
        <f t="shared" si="2"/>
        <v>113</v>
      </c>
      <c r="F54" s="23">
        <f t="shared" si="3"/>
        <v>2.8262859601118511E-4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11815087</v>
      </c>
      <c r="D55" s="22">
        <v>11943373</v>
      </c>
      <c r="E55" s="22">
        <f t="shared" si="2"/>
        <v>128286</v>
      </c>
      <c r="F55" s="23">
        <f t="shared" si="3"/>
        <v>1.0857812557791576E-2</v>
      </c>
    </row>
    <row r="56" spans="1:6" ht="24" customHeight="1" x14ac:dyDescent="0.25">
      <c r="A56" s="24"/>
      <c r="B56" s="25" t="s">
        <v>54</v>
      </c>
      <c r="C56" s="26">
        <f>SUM(C49:C55)</f>
        <v>39109069</v>
      </c>
      <c r="D56" s="26">
        <f>SUM(D49:D55)</f>
        <v>36127137</v>
      </c>
      <c r="E56" s="26">
        <f t="shared" si="2"/>
        <v>-2981932</v>
      </c>
      <c r="F56" s="27">
        <f t="shared" si="3"/>
        <v>-7.624656061232242E-2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58784343</v>
      </c>
      <c r="D59" s="22">
        <v>58700068</v>
      </c>
      <c r="E59" s="22">
        <f>D59-C59</f>
        <v>-84275</v>
      </c>
      <c r="F59" s="23">
        <f>IF(C59=0,0,E59/C59)</f>
        <v>-1.4336300398900435E-3</v>
      </c>
    </row>
    <row r="60" spans="1:6" ht="24" customHeight="1" x14ac:dyDescent="0.2">
      <c r="A60" s="20">
        <v>2</v>
      </c>
      <c r="B60" s="21" t="s">
        <v>57</v>
      </c>
      <c r="C60" s="22">
        <v>9415367</v>
      </c>
      <c r="D60" s="22">
        <v>9672504</v>
      </c>
      <c r="E60" s="22">
        <f>D60-C60</f>
        <v>257137</v>
      </c>
      <c r="F60" s="23">
        <f>IF(C60=0,0,E60/C60)</f>
        <v>2.731035338293239E-2</v>
      </c>
    </row>
    <row r="61" spans="1:6" ht="24" customHeight="1" x14ac:dyDescent="0.25">
      <c r="A61" s="24"/>
      <c r="B61" s="25" t="s">
        <v>58</v>
      </c>
      <c r="C61" s="26">
        <f>SUM(C59:C60)</f>
        <v>68199710</v>
      </c>
      <c r="D61" s="26">
        <f>SUM(D59:D60)</f>
        <v>68372572</v>
      </c>
      <c r="E61" s="26">
        <f>D61-C61</f>
        <v>172862</v>
      </c>
      <c r="F61" s="27">
        <f>IF(C61=0,0,E61/C61)</f>
        <v>2.5346442088976626E-3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38600633</v>
      </c>
      <c r="D63" s="22">
        <v>49998130</v>
      </c>
      <c r="E63" s="22">
        <f>D63-C63</f>
        <v>11397497</v>
      </c>
      <c r="F63" s="23">
        <f>IF(C63=0,0,E63/C63)</f>
        <v>0.29526710093070235</v>
      </c>
    </row>
    <row r="64" spans="1:6" ht="24" customHeight="1" x14ac:dyDescent="0.2">
      <c r="A64" s="20">
        <v>4</v>
      </c>
      <c r="B64" s="21" t="s">
        <v>60</v>
      </c>
      <c r="C64" s="22">
        <v>13059973</v>
      </c>
      <c r="D64" s="22">
        <v>11817599</v>
      </c>
      <c r="E64" s="22">
        <f>D64-C64</f>
        <v>-1242374</v>
      </c>
      <c r="F64" s="23">
        <f>IF(C64=0,0,E64/C64)</f>
        <v>-9.5128374308277669E-2</v>
      </c>
    </row>
    <row r="65" spans="1:6" ht="24" customHeight="1" x14ac:dyDescent="0.25">
      <c r="A65" s="24"/>
      <c r="B65" s="25" t="s">
        <v>61</v>
      </c>
      <c r="C65" s="26">
        <f>SUM(C61:C64)</f>
        <v>119860316</v>
      </c>
      <c r="D65" s="26">
        <f>SUM(D61:D64)</f>
        <v>130188301</v>
      </c>
      <c r="E65" s="26">
        <f>D65-C65</f>
        <v>10327985</v>
      </c>
      <c r="F65" s="27">
        <f>IF(C65=0,0,E65/C65)</f>
        <v>8.6166842743848601E-2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342576048</v>
      </c>
      <c r="D70" s="22">
        <v>355064529</v>
      </c>
      <c r="E70" s="22">
        <f>D70-C70</f>
        <v>12488481</v>
      </c>
      <c r="F70" s="23">
        <f>IF(C70=0,0,E70/C70)</f>
        <v>3.6454623937981795E-2</v>
      </c>
    </row>
    <row r="71" spans="1:6" ht="24" customHeight="1" x14ac:dyDescent="0.2">
      <c r="A71" s="20">
        <v>2</v>
      </c>
      <c r="B71" s="21" t="s">
        <v>65</v>
      </c>
      <c r="C71" s="22">
        <v>3534497</v>
      </c>
      <c r="D71" s="22">
        <v>3907265</v>
      </c>
      <c r="E71" s="22">
        <f>D71-C71</f>
        <v>372768</v>
      </c>
      <c r="F71" s="23">
        <f>IF(C71=0,0,E71/C71)</f>
        <v>0.10546564334331024</v>
      </c>
    </row>
    <row r="72" spans="1:6" ht="24" customHeight="1" x14ac:dyDescent="0.2">
      <c r="A72" s="20">
        <v>3</v>
      </c>
      <c r="B72" s="21" t="s">
        <v>66</v>
      </c>
      <c r="C72" s="22">
        <v>8352949</v>
      </c>
      <c r="D72" s="22">
        <v>8105093</v>
      </c>
      <c r="E72" s="22">
        <f>D72-C72</f>
        <v>-247856</v>
      </c>
      <c r="F72" s="23">
        <f>IF(C72=0,0,E72/C72)</f>
        <v>-2.9672873616252177E-2</v>
      </c>
    </row>
    <row r="73" spans="1:6" ht="24" customHeight="1" x14ac:dyDescent="0.25">
      <c r="A73" s="20"/>
      <c r="B73" s="25" t="s">
        <v>67</v>
      </c>
      <c r="C73" s="26">
        <f>SUM(C70:C72)</f>
        <v>354463494</v>
      </c>
      <c r="D73" s="26">
        <f>SUM(D70:D72)</f>
        <v>367076887</v>
      </c>
      <c r="E73" s="26">
        <f>D73-C73</f>
        <v>12613393</v>
      </c>
      <c r="F73" s="27">
        <f>IF(C73=0,0,E73/C73)</f>
        <v>3.5584462754294242E-2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513432879</v>
      </c>
      <c r="D75" s="26">
        <f>D56+D65+D67+D73</f>
        <v>533392325</v>
      </c>
      <c r="E75" s="26">
        <f>D75-C75</f>
        <v>19959446</v>
      </c>
      <c r="F75" s="27">
        <f>IF(C75=0,0,E75/C75)</f>
        <v>3.8874499114420757E-2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4" fitToHeight="2" orientation="portrait" horizontalDpi="1200" verticalDpi="1200"/>
  <headerFooter>
    <oddHeader>&amp;LOFFICE OF HEALTH CARE ACCESS&amp;CTWELVE MONTHS ACTUAL FILING&amp;RWILLIAM W. BACKUS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283823086</v>
      </c>
      <c r="D11" s="76">
        <v>309278921</v>
      </c>
      <c r="E11" s="76">
        <v>296518625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7178445</v>
      </c>
      <c r="D12" s="185">
        <v>9066949</v>
      </c>
      <c r="E12" s="185">
        <v>8526463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291001531</v>
      </c>
      <c r="D13" s="76">
        <f>+D11+D12</f>
        <v>318345870</v>
      </c>
      <c r="E13" s="76">
        <f>+E11+E12</f>
        <v>305045088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267959722</v>
      </c>
      <c r="D14" s="185">
        <v>273896036</v>
      </c>
      <c r="E14" s="185">
        <v>270284269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23041809</v>
      </c>
      <c r="D15" s="76">
        <f>+D13-D14</f>
        <v>44449834</v>
      </c>
      <c r="E15" s="76">
        <f>+E13-E14</f>
        <v>34760819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11496207</v>
      </c>
      <c r="D16" s="185">
        <v>11211547</v>
      </c>
      <c r="E16" s="185">
        <v>1852031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34538016</v>
      </c>
      <c r="D17" s="76">
        <f>D15+D16</f>
        <v>55661381</v>
      </c>
      <c r="E17" s="76">
        <f>E15+E16</f>
        <v>36612850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7.6171839010577988E-2</v>
      </c>
      <c r="D20" s="189">
        <f>IF(+D27=0,0,+D24/+D27)</f>
        <v>0.13487735886702862</v>
      </c>
      <c r="E20" s="189">
        <f>IF(+E27=0,0,+E24/+E27)</f>
        <v>0.11326538063721608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3.8004274266672369E-2</v>
      </c>
      <c r="D21" s="189">
        <f>IF(+D27=0,0,+D26/+D27)</f>
        <v>3.4020011147253289E-2</v>
      </c>
      <c r="E21" s="189">
        <f>IF(+E27=0,0,+E26/+E27)</f>
        <v>6.0346965981130634E-3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0.11417611327725036</v>
      </c>
      <c r="D22" s="189">
        <f>IF(+D27=0,0,+D28/+D27)</f>
        <v>0.1688973700142819</v>
      </c>
      <c r="E22" s="189">
        <f>IF(+E27=0,0,+E28/+E27)</f>
        <v>0.11930007723532915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23041809</v>
      </c>
      <c r="D24" s="76">
        <f>+D15</f>
        <v>44449834</v>
      </c>
      <c r="E24" s="76">
        <f>+E15</f>
        <v>34760819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291001531</v>
      </c>
      <c r="D25" s="76">
        <f>+D13</f>
        <v>318345870</v>
      </c>
      <c r="E25" s="76">
        <f>+E13</f>
        <v>305045088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11496207</v>
      </c>
      <c r="D26" s="76">
        <f>+D16</f>
        <v>11211547</v>
      </c>
      <c r="E26" s="76">
        <f>+E16</f>
        <v>1852031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302497738</v>
      </c>
      <c r="D27" s="76">
        <f>SUM(D25:D26)</f>
        <v>329557417</v>
      </c>
      <c r="E27" s="76">
        <f>SUM(E25:E26)</f>
        <v>306897119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34538016</v>
      </c>
      <c r="D28" s="76">
        <f>+D17</f>
        <v>55661381</v>
      </c>
      <c r="E28" s="76">
        <f>+E17</f>
        <v>36612850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315932503</v>
      </c>
      <c r="D31" s="76">
        <v>344915268</v>
      </c>
      <c r="E31" s="76">
        <v>357187808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327305561</v>
      </c>
      <c r="D32" s="76">
        <v>356802714</v>
      </c>
      <c r="E32" s="76">
        <v>369200166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129281259</v>
      </c>
      <c r="D33" s="76">
        <f>+D32-C32</f>
        <v>29497153</v>
      </c>
      <c r="E33" s="76">
        <f>+E32-D32</f>
        <v>12397452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1.6528</v>
      </c>
      <c r="D34" s="193">
        <f>IF(C32=0,0,+D33/C32)</f>
        <v>9.0121148292986078E-2</v>
      </c>
      <c r="E34" s="193">
        <f>IF(D32=0,0,+E33/D32)</f>
        <v>3.474595767788919E-2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5.7538196243769875</v>
      </c>
      <c r="D38" s="338">
        <f>IF(+D40=0,0,+D39/+D40)</f>
        <v>5.7846249415445152</v>
      </c>
      <c r="E38" s="338">
        <f>IF(+E40=0,0,+E39/+E40)</f>
        <v>6.5549319579192451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180240684</v>
      </c>
      <c r="D39" s="341">
        <v>238871708</v>
      </c>
      <c r="E39" s="341">
        <v>245974392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31325397</v>
      </c>
      <c r="D40" s="341">
        <v>41294243</v>
      </c>
      <c r="E40" s="341">
        <v>37525087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194.6287849215293</v>
      </c>
      <c r="D42" s="343">
        <f>IF((D48/365)=0,0,+D45/(D48/365))</f>
        <v>265.6662588689486</v>
      </c>
      <c r="E42" s="343">
        <f>IF((E48/365)=0,0,+E45/(E48/365))</f>
        <v>276.70830762915654</v>
      </c>
    </row>
    <row r="43" spans="1:14" ht="24" customHeight="1" x14ac:dyDescent="0.2">
      <c r="A43" s="339">
        <v>5</v>
      </c>
      <c r="B43" s="344" t="s">
        <v>16</v>
      </c>
      <c r="C43" s="345">
        <v>134555183</v>
      </c>
      <c r="D43" s="345">
        <v>187885111</v>
      </c>
      <c r="E43" s="345">
        <v>193329590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134555183</v>
      </c>
      <c r="D45" s="341">
        <f>+D43+D44</f>
        <v>187885111</v>
      </c>
      <c r="E45" s="341">
        <f>+E43+E44</f>
        <v>193329590</v>
      </c>
    </row>
    <row r="46" spans="1:14" ht="24" customHeight="1" x14ac:dyDescent="0.2">
      <c r="A46" s="339">
        <v>8</v>
      </c>
      <c r="B46" s="340" t="s">
        <v>334</v>
      </c>
      <c r="C46" s="341">
        <f>+C14</f>
        <v>267959722</v>
      </c>
      <c r="D46" s="341">
        <f>+D14</f>
        <v>273896036</v>
      </c>
      <c r="E46" s="341">
        <f>+E14</f>
        <v>270284269</v>
      </c>
    </row>
    <row r="47" spans="1:14" ht="24" customHeight="1" x14ac:dyDescent="0.2">
      <c r="A47" s="339">
        <v>9</v>
      </c>
      <c r="B47" s="340" t="s">
        <v>356</v>
      </c>
      <c r="C47" s="341">
        <v>15619649</v>
      </c>
      <c r="D47" s="341">
        <v>15759885</v>
      </c>
      <c r="E47" s="341">
        <v>15267349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252340073</v>
      </c>
      <c r="D48" s="341">
        <f>+D46-D47</f>
        <v>258136151</v>
      </c>
      <c r="E48" s="341">
        <f>+E46-E47</f>
        <v>255016920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38.992093159046263</v>
      </c>
      <c r="D50" s="350">
        <f>IF((D55/365)=0,0,+D54/(D55/365))</f>
        <v>35.279415938598675</v>
      </c>
      <c r="E50" s="350">
        <f>IF((E55/365)=0,0,+E54/(E55/365))</f>
        <v>33.737121706941679</v>
      </c>
    </row>
    <row r="51" spans="1:5" ht="24" customHeight="1" x14ac:dyDescent="0.2">
      <c r="A51" s="339">
        <v>12</v>
      </c>
      <c r="B51" s="344" t="s">
        <v>359</v>
      </c>
      <c r="C51" s="351">
        <v>32394182</v>
      </c>
      <c r="D51" s="351">
        <v>38557357</v>
      </c>
      <c r="E51" s="351">
        <v>37156767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2074028</v>
      </c>
      <c r="D53" s="341">
        <v>8663714</v>
      </c>
      <c r="E53" s="341">
        <v>9749411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30320154</v>
      </c>
      <c r="D54" s="352">
        <f>+D51+D52-D53</f>
        <v>29893643</v>
      </c>
      <c r="E54" s="352">
        <f>+E51+E52-E53</f>
        <v>27407356</v>
      </c>
    </row>
    <row r="55" spans="1:5" ht="24" customHeight="1" x14ac:dyDescent="0.2">
      <c r="A55" s="339">
        <v>16</v>
      </c>
      <c r="B55" s="340" t="s">
        <v>75</v>
      </c>
      <c r="C55" s="341">
        <f>+C11</f>
        <v>283823086</v>
      </c>
      <c r="D55" s="341">
        <f>+D11</f>
        <v>309278921</v>
      </c>
      <c r="E55" s="341">
        <f>+E11</f>
        <v>296518625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45.310955842514957</v>
      </c>
      <c r="D57" s="355">
        <f>IF((D61/365)=0,0,+D58/(D61/365))</f>
        <v>58.389336931734142</v>
      </c>
      <c r="E57" s="355">
        <f>IF((E61/365)=0,0,+E58/(E61/365))</f>
        <v>53.708815693484176</v>
      </c>
    </row>
    <row r="58" spans="1:5" ht="24" customHeight="1" x14ac:dyDescent="0.2">
      <c r="A58" s="339">
        <v>18</v>
      </c>
      <c r="B58" s="340" t="s">
        <v>54</v>
      </c>
      <c r="C58" s="353">
        <f>+C40</f>
        <v>31325397</v>
      </c>
      <c r="D58" s="353">
        <f>+D40</f>
        <v>41294243</v>
      </c>
      <c r="E58" s="353">
        <f>+E40</f>
        <v>37525087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267959722</v>
      </c>
      <c r="D59" s="353">
        <f t="shared" si="0"/>
        <v>273896036</v>
      </c>
      <c r="E59" s="353">
        <f t="shared" si="0"/>
        <v>270284269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15619649</v>
      </c>
      <c r="D60" s="356">
        <f t="shared" si="0"/>
        <v>15759885</v>
      </c>
      <c r="E60" s="356">
        <f t="shared" si="0"/>
        <v>15267349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252340073</v>
      </c>
      <c r="D61" s="353">
        <f>+D59-D60</f>
        <v>258136151</v>
      </c>
      <c r="E61" s="353">
        <f>+E59-E60</f>
        <v>255016920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67.991968542069486</v>
      </c>
      <c r="D65" s="357">
        <f>IF(D67=0,0,(D66/D67)*100)</f>
        <v>68.844193088386547</v>
      </c>
      <c r="E65" s="357">
        <f>IF(E67=0,0,(E66/E67)*100)</f>
        <v>68.737751439025672</v>
      </c>
    </row>
    <row r="66" spans="1:5" ht="24" customHeight="1" x14ac:dyDescent="0.2">
      <c r="A66" s="339">
        <v>2</v>
      </c>
      <c r="B66" s="340" t="s">
        <v>67</v>
      </c>
      <c r="C66" s="353">
        <f>+C32</f>
        <v>327305561</v>
      </c>
      <c r="D66" s="353">
        <f>+D32</f>
        <v>356802714</v>
      </c>
      <c r="E66" s="353">
        <f>+E32</f>
        <v>369200166</v>
      </c>
    </row>
    <row r="67" spans="1:5" ht="24" customHeight="1" x14ac:dyDescent="0.2">
      <c r="A67" s="339">
        <v>3</v>
      </c>
      <c r="B67" s="340" t="s">
        <v>43</v>
      </c>
      <c r="C67" s="353">
        <v>481388564</v>
      </c>
      <c r="D67" s="353">
        <v>518275686</v>
      </c>
      <c r="E67" s="353">
        <v>537114116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50.911703475785849</v>
      </c>
      <c r="D69" s="357">
        <f>IF(D75=0,0,(D72/D75)*100)</f>
        <v>65.228502618770193</v>
      </c>
      <c r="E69" s="357">
        <f>IF(E75=0,0,(E72/E75)*100)</f>
        <v>48.990883736155112</v>
      </c>
    </row>
    <row r="70" spans="1:5" ht="24" customHeight="1" x14ac:dyDescent="0.2">
      <c r="A70" s="339">
        <v>5</v>
      </c>
      <c r="B70" s="340" t="s">
        <v>366</v>
      </c>
      <c r="C70" s="353">
        <f>+C28</f>
        <v>34538016</v>
      </c>
      <c r="D70" s="353">
        <f>+D28</f>
        <v>55661381</v>
      </c>
      <c r="E70" s="353">
        <f>+E28</f>
        <v>36612850</v>
      </c>
    </row>
    <row r="71" spans="1:5" ht="24" customHeight="1" x14ac:dyDescent="0.2">
      <c r="A71" s="339">
        <v>6</v>
      </c>
      <c r="B71" s="340" t="s">
        <v>356</v>
      </c>
      <c r="C71" s="356">
        <f>+C47</f>
        <v>15619649</v>
      </c>
      <c r="D71" s="356">
        <f>+D47</f>
        <v>15759885</v>
      </c>
      <c r="E71" s="356">
        <f>+E47</f>
        <v>15267349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50157665</v>
      </c>
      <c r="D72" s="353">
        <f>+D70+D71</f>
        <v>71421266</v>
      </c>
      <c r="E72" s="353">
        <f>+E70+E71</f>
        <v>51880199</v>
      </c>
    </row>
    <row r="73" spans="1:5" ht="24" customHeight="1" x14ac:dyDescent="0.2">
      <c r="A73" s="339">
        <v>8</v>
      </c>
      <c r="B73" s="340" t="s">
        <v>54</v>
      </c>
      <c r="C73" s="341">
        <f>+C40</f>
        <v>31325397</v>
      </c>
      <c r="D73" s="341">
        <f>+D40</f>
        <v>41294243</v>
      </c>
      <c r="E73" s="341">
        <f>+E40</f>
        <v>37525087</v>
      </c>
    </row>
    <row r="74" spans="1:5" ht="24" customHeight="1" x14ac:dyDescent="0.2">
      <c r="A74" s="339">
        <v>9</v>
      </c>
      <c r="B74" s="340" t="s">
        <v>58</v>
      </c>
      <c r="C74" s="353">
        <v>67193532</v>
      </c>
      <c r="D74" s="353">
        <v>68199710</v>
      </c>
      <c r="E74" s="353">
        <v>68372572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98518929</v>
      </c>
      <c r="D75" s="341">
        <f>+D73+D74</f>
        <v>109493953</v>
      </c>
      <c r="E75" s="341">
        <f>+E73+E74</f>
        <v>105897659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17.032620148508173</v>
      </c>
      <c r="D77" s="359">
        <f>IF(D80=0,0,(D78/D80)*100)</f>
        <v>16.046899064274513</v>
      </c>
      <c r="E77" s="359">
        <f>IF(E80=0,0,(E78/E80)*100)</f>
        <v>15.62541860183255</v>
      </c>
    </row>
    <row r="78" spans="1:5" ht="24" customHeight="1" x14ac:dyDescent="0.2">
      <c r="A78" s="339">
        <v>12</v>
      </c>
      <c r="B78" s="340" t="s">
        <v>58</v>
      </c>
      <c r="C78" s="341">
        <f>+C74</f>
        <v>67193532</v>
      </c>
      <c r="D78" s="341">
        <f>+D74</f>
        <v>68199710</v>
      </c>
      <c r="E78" s="341">
        <f>+E74</f>
        <v>68372572</v>
      </c>
    </row>
    <row r="79" spans="1:5" ht="24" customHeight="1" x14ac:dyDescent="0.2">
      <c r="A79" s="339">
        <v>13</v>
      </c>
      <c r="B79" s="340" t="s">
        <v>67</v>
      </c>
      <c r="C79" s="341">
        <f>+C32</f>
        <v>327305561</v>
      </c>
      <c r="D79" s="341">
        <f>+D32</f>
        <v>356802714</v>
      </c>
      <c r="E79" s="341">
        <f>+E32</f>
        <v>369200166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394499093</v>
      </c>
      <c r="D80" s="341">
        <f>+D78+D79</f>
        <v>425002424</v>
      </c>
      <c r="E80" s="341">
        <f>+E78+E79</f>
        <v>437572738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orientation="portrait" horizontalDpi="1200" verticalDpi="1200"/>
  <headerFooter>
    <oddHeader>_x000D_
                &amp;L&amp;8OFFICE OF HEALTH CARE ACCESS&amp;C&amp;8TWELVE MONTHS ACTUAL FILING&amp;R&amp;8BACKUS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35287</v>
      </c>
      <c r="D11" s="376">
        <v>8356</v>
      </c>
      <c r="E11" s="376">
        <v>8345</v>
      </c>
      <c r="F11" s="377">
        <v>138</v>
      </c>
      <c r="G11" s="377">
        <v>166</v>
      </c>
      <c r="H11" s="378">
        <f>IF(F11=0,0,$C11/(F11*365))</f>
        <v>0.7005558864403415</v>
      </c>
      <c r="I11" s="378">
        <f>IF(G11=0,0,$C11/(G11*365))</f>
        <v>0.58238983330582605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3418</v>
      </c>
      <c r="D13" s="376">
        <v>189</v>
      </c>
      <c r="E13" s="376">
        <v>0</v>
      </c>
      <c r="F13" s="377">
        <v>12</v>
      </c>
      <c r="G13" s="377">
        <v>12</v>
      </c>
      <c r="H13" s="378">
        <f>IF(F13=0,0,$C13/(F13*365))</f>
        <v>0.78036529680365296</v>
      </c>
      <c r="I13" s="378">
        <f>IF(G13=0,0,$C13/(G13*365))</f>
        <v>0.78036529680365296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4874</v>
      </c>
      <c r="D16" s="376">
        <v>636</v>
      </c>
      <c r="E16" s="376">
        <v>636</v>
      </c>
      <c r="F16" s="377">
        <v>18</v>
      </c>
      <c r="G16" s="377">
        <v>20</v>
      </c>
      <c r="H16" s="378">
        <f t="shared" si="0"/>
        <v>0.74185692541856929</v>
      </c>
      <c r="I16" s="378">
        <f t="shared" si="0"/>
        <v>0.66767123287671237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4874</v>
      </c>
      <c r="D17" s="381">
        <f>SUM(D15:D16)</f>
        <v>636</v>
      </c>
      <c r="E17" s="381">
        <f>SUM(E15:E16)</f>
        <v>636</v>
      </c>
      <c r="F17" s="381">
        <f>SUM(F15:F16)</f>
        <v>18</v>
      </c>
      <c r="G17" s="381">
        <f>SUM(G15:G16)</f>
        <v>20</v>
      </c>
      <c r="H17" s="382">
        <f t="shared" si="0"/>
        <v>0.74185692541856929</v>
      </c>
      <c r="I17" s="382">
        <f t="shared" si="0"/>
        <v>0.66767123287671237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2169</v>
      </c>
      <c r="D21" s="376">
        <v>909</v>
      </c>
      <c r="E21" s="376">
        <v>897</v>
      </c>
      <c r="F21" s="377">
        <v>15</v>
      </c>
      <c r="G21" s="377">
        <v>15</v>
      </c>
      <c r="H21" s="378">
        <f>IF(F21=0,0,$C21/(F21*365))</f>
        <v>0.39616438356164385</v>
      </c>
      <c r="I21" s="378">
        <f>IF(G21=0,0,$C21/(G21*365))</f>
        <v>0.39616438356164385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2171</v>
      </c>
      <c r="D23" s="376">
        <v>902</v>
      </c>
      <c r="E23" s="376">
        <v>903</v>
      </c>
      <c r="F23" s="377">
        <v>18</v>
      </c>
      <c r="G23" s="377">
        <v>20</v>
      </c>
      <c r="H23" s="378">
        <f>IF(F23=0,0,$C23/(F23*365))</f>
        <v>0.33044140030441399</v>
      </c>
      <c r="I23" s="378">
        <f>IF(G23=0,0,$C23/(G23*365))</f>
        <v>0.29739726027397262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45748</v>
      </c>
      <c r="D31" s="384">
        <f>SUM(D10:D29)-D13-D17-D23</f>
        <v>9901</v>
      </c>
      <c r="E31" s="384">
        <f>SUM(E10:E29)-E17-E23</f>
        <v>9878</v>
      </c>
      <c r="F31" s="384">
        <f>SUM(F10:F29)-F17-F23</f>
        <v>183</v>
      </c>
      <c r="G31" s="384">
        <f>SUM(G10:G29)-G17-G23</f>
        <v>213</v>
      </c>
      <c r="H31" s="385">
        <f>IF(F31=0,0,$C31/(F31*365))</f>
        <v>0.68490156448835993</v>
      </c>
      <c r="I31" s="385">
        <f>IF(G31=0,0,$C31/(G31*365))</f>
        <v>0.58843655540549233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47919</v>
      </c>
      <c r="D33" s="384">
        <f>SUM(D10:D29)-D13-D17</f>
        <v>10803</v>
      </c>
      <c r="E33" s="384">
        <f>SUM(E10:E29)-E17</f>
        <v>10781</v>
      </c>
      <c r="F33" s="384">
        <f>SUM(F10:F29)-F17</f>
        <v>201</v>
      </c>
      <c r="G33" s="384">
        <f>SUM(G10:G29)-G17</f>
        <v>233</v>
      </c>
      <c r="H33" s="385">
        <f>IF(F33=0,0,$C33/(F33*365))</f>
        <v>0.65315886321815575</v>
      </c>
      <c r="I33" s="385">
        <f>IF(G33=0,0,$C33/(G33*365))</f>
        <v>0.56345464166029746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47919</v>
      </c>
      <c r="D36" s="384">
        <f t="shared" si="1"/>
        <v>10803</v>
      </c>
      <c r="E36" s="384">
        <f t="shared" si="1"/>
        <v>10781</v>
      </c>
      <c r="F36" s="384">
        <f t="shared" si="1"/>
        <v>201</v>
      </c>
      <c r="G36" s="384">
        <f t="shared" si="1"/>
        <v>233</v>
      </c>
      <c r="H36" s="387">
        <f t="shared" si="1"/>
        <v>0.65315886321815575</v>
      </c>
      <c r="I36" s="387">
        <f t="shared" si="1"/>
        <v>0.56345464166029746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48840</v>
      </c>
      <c r="D37" s="384">
        <v>10690</v>
      </c>
      <c r="E37" s="384">
        <v>10697</v>
      </c>
      <c r="F37" s="386">
        <v>201</v>
      </c>
      <c r="G37" s="386">
        <v>233</v>
      </c>
      <c r="H37" s="385">
        <f>IF(F37=0,0,$C37/(F37*365))</f>
        <v>0.66571253322428947</v>
      </c>
      <c r="I37" s="385">
        <f>IF(G37=0,0,$C37/(G37*365))</f>
        <v>0.5742842024810394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-921</v>
      </c>
      <c r="D38" s="384">
        <f t="shared" si="2"/>
        <v>113</v>
      </c>
      <c r="E38" s="384">
        <f t="shared" si="2"/>
        <v>84</v>
      </c>
      <c r="F38" s="384">
        <f t="shared" si="2"/>
        <v>0</v>
      </c>
      <c r="G38" s="384">
        <f t="shared" si="2"/>
        <v>0</v>
      </c>
      <c r="H38" s="387">
        <f t="shared" si="2"/>
        <v>-1.2553670006133721E-2</v>
      </c>
      <c r="I38" s="387">
        <f t="shared" si="2"/>
        <v>-1.0829560820741935E-2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-1.8857493857493857E-2</v>
      </c>
      <c r="D40" s="389">
        <f t="shared" si="3"/>
        <v>1.0570626753975678E-2</v>
      </c>
      <c r="E40" s="389">
        <f t="shared" si="3"/>
        <v>7.8526689726091427E-3</v>
      </c>
      <c r="F40" s="389">
        <f t="shared" si="3"/>
        <v>0</v>
      </c>
      <c r="G40" s="389">
        <f t="shared" si="3"/>
        <v>0</v>
      </c>
      <c r="H40" s="389">
        <f t="shared" si="3"/>
        <v>-1.8857493857493867E-2</v>
      </c>
      <c r="I40" s="389">
        <f t="shared" si="3"/>
        <v>-1.8857493857493815E-2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233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6" orientation="landscape" horizontalDpi="1200" verticalDpi="1200"/>
  <headerFooter>
    <oddHeader>&amp;LOFFICE OF HEALTH CARE ACCESS&amp;CTWELVE MONTHS ACTUAL FILING&amp;RWILLIAM W. BACKUS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8272</v>
      </c>
      <c r="D12" s="409">
        <v>8127</v>
      </c>
      <c r="E12" s="409">
        <f>+D12-C12</f>
        <v>-145</v>
      </c>
      <c r="F12" s="410">
        <f>IF(C12=0,0,+E12/C12)</f>
        <v>-1.7529013539651837E-2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14329</v>
      </c>
      <c r="D13" s="409">
        <v>14982</v>
      </c>
      <c r="E13" s="409">
        <f>+D13-C13</f>
        <v>653</v>
      </c>
      <c r="F13" s="410">
        <f>IF(C13=0,0,+E13/C13)</f>
        <v>4.5571917091213623E-2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14887</v>
      </c>
      <c r="D14" s="409">
        <v>16157</v>
      </c>
      <c r="E14" s="409">
        <f>+D14-C14</f>
        <v>1270</v>
      </c>
      <c r="F14" s="410">
        <f>IF(C14=0,0,+E14/C14)</f>
        <v>8.5309330288170893E-2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37488</v>
      </c>
      <c r="D16" s="401">
        <f>SUM(D12:D15)</f>
        <v>39266</v>
      </c>
      <c r="E16" s="401">
        <f>+D16-C16</f>
        <v>1778</v>
      </c>
      <c r="F16" s="402">
        <f>IF(C16=0,0,+E16/C16)</f>
        <v>4.7428510456679472E-2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1065</v>
      </c>
      <c r="D19" s="409">
        <v>933</v>
      </c>
      <c r="E19" s="409">
        <f>+D19-C19</f>
        <v>-132</v>
      </c>
      <c r="F19" s="410">
        <f>IF(C19=0,0,+E19/C19)</f>
        <v>-0.12394366197183099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9684</v>
      </c>
      <c r="D20" s="409">
        <v>9830</v>
      </c>
      <c r="E20" s="409">
        <f>+D20-C20</f>
        <v>146</v>
      </c>
      <c r="F20" s="410">
        <f>IF(C20=0,0,+E20/C20)</f>
        <v>1.5076414704667493E-2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434</v>
      </c>
      <c r="D21" s="409">
        <v>504</v>
      </c>
      <c r="E21" s="409">
        <f>+D21-C21</f>
        <v>70</v>
      </c>
      <c r="F21" s="410">
        <f>IF(C21=0,0,+E21/C21)</f>
        <v>0.16129032258064516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11183</v>
      </c>
      <c r="D23" s="401">
        <f>SUM(D19:D22)</f>
        <v>11267</v>
      </c>
      <c r="E23" s="401">
        <f>+D23-C23</f>
        <v>84</v>
      </c>
      <c r="F23" s="402">
        <f>IF(C23=0,0,+E23/C23)</f>
        <v>7.5114012340159169E-3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10</v>
      </c>
      <c r="D33" s="409">
        <v>6</v>
      </c>
      <c r="E33" s="409">
        <f>+D33-C33</f>
        <v>-4</v>
      </c>
      <c r="F33" s="410">
        <f>IF(C33=0,0,+E33/C33)</f>
        <v>-0.4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698</v>
      </c>
      <c r="D34" s="409">
        <v>638</v>
      </c>
      <c r="E34" s="409">
        <f>+D34-C34</f>
        <v>-60</v>
      </c>
      <c r="F34" s="410">
        <f>IF(C34=0,0,+E34/C34)</f>
        <v>-8.5959885386819479E-2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708</v>
      </c>
      <c r="D37" s="401">
        <f>SUM(D33:D36)</f>
        <v>644</v>
      </c>
      <c r="E37" s="401">
        <f>+D37-C37</f>
        <v>-64</v>
      </c>
      <c r="F37" s="402">
        <f>IF(C37=0,0,+E37/C37)</f>
        <v>-9.03954802259887E-2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445</v>
      </c>
      <c r="D43" s="409">
        <v>383</v>
      </c>
      <c r="E43" s="409">
        <f>+D43-C43</f>
        <v>-62</v>
      </c>
      <c r="F43" s="410">
        <f>IF(C43=0,0,+E43/C43)</f>
        <v>-0.1393258426966292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9901</v>
      </c>
      <c r="D44" s="409">
        <v>11497</v>
      </c>
      <c r="E44" s="409">
        <f>+D44-C44</f>
        <v>1596</v>
      </c>
      <c r="F44" s="410">
        <f>IF(C44=0,0,+E44/C44)</f>
        <v>0.16119583880416119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10346</v>
      </c>
      <c r="D45" s="401">
        <f>SUM(D43:D44)</f>
        <v>11880</v>
      </c>
      <c r="E45" s="401">
        <f>+D45-C45</f>
        <v>1534</v>
      </c>
      <c r="F45" s="402">
        <f>IF(C45=0,0,+E45/C45)</f>
        <v>0.14826986274888845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78</v>
      </c>
      <c r="D48" s="409">
        <v>94</v>
      </c>
      <c r="E48" s="409">
        <f>+D48-C48</f>
        <v>16</v>
      </c>
      <c r="F48" s="410">
        <f>IF(C48=0,0,+E48/C48)</f>
        <v>0.20512820512820512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140</v>
      </c>
      <c r="D49" s="409">
        <v>143</v>
      </c>
      <c r="E49" s="409">
        <f>+D49-C49</f>
        <v>3</v>
      </c>
      <c r="F49" s="410">
        <f>IF(C49=0,0,+E49/C49)</f>
        <v>2.1428571428571429E-2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218</v>
      </c>
      <c r="D50" s="401">
        <f>SUM(D48:D49)</f>
        <v>237</v>
      </c>
      <c r="E50" s="401">
        <f>+D50-C50</f>
        <v>19</v>
      </c>
      <c r="F50" s="402">
        <f>IF(C50=0,0,+E50/C50)</f>
        <v>8.7155963302752298E-2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11</v>
      </c>
      <c r="D58" s="409">
        <v>30</v>
      </c>
      <c r="E58" s="409">
        <f>+D58-C58</f>
        <v>19</v>
      </c>
      <c r="F58" s="410">
        <f>IF(C58=0,0,+E58/C58)</f>
        <v>1.7272727272727273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68</v>
      </c>
      <c r="D59" s="409">
        <v>78</v>
      </c>
      <c r="E59" s="409">
        <f>+D59-C59</f>
        <v>10</v>
      </c>
      <c r="F59" s="410">
        <f>IF(C59=0,0,+E59/C59)</f>
        <v>0.14705882352941177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79</v>
      </c>
      <c r="D60" s="401">
        <f>SUM(D58:D59)</f>
        <v>108</v>
      </c>
      <c r="E60" s="401">
        <f>SUM(E58:E59)</f>
        <v>29</v>
      </c>
      <c r="F60" s="402">
        <f>IF(C60=0,0,+E60/C60)</f>
        <v>0.36708860759493672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2532</v>
      </c>
      <c r="D63" s="409">
        <v>2365</v>
      </c>
      <c r="E63" s="409">
        <f>+D63-C63</f>
        <v>-167</v>
      </c>
      <c r="F63" s="410">
        <f>IF(C63=0,0,+E63/C63)</f>
        <v>-6.5955766192733023E-2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6363</v>
      </c>
      <c r="D64" s="409">
        <v>6427</v>
      </c>
      <c r="E64" s="409">
        <f>+D64-C64</f>
        <v>64</v>
      </c>
      <c r="F64" s="410">
        <f>IF(C64=0,0,+E64/C64)</f>
        <v>1.0058148672010058E-2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8895</v>
      </c>
      <c r="D65" s="401">
        <f>SUM(D63:D64)</f>
        <v>8792</v>
      </c>
      <c r="E65" s="401">
        <f>+D65-C65</f>
        <v>-103</v>
      </c>
      <c r="F65" s="402">
        <f>IF(C65=0,0,+E65/C65)</f>
        <v>-1.1579539066891511E-2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548</v>
      </c>
      <c r="D68" s="409">
        <v>525</v>
      </c>
      <c r="E68" s="409">
        <f>+D68-C68</f>
        <v>-23</v>
      </c>
      <c r="F68" s="410">
        <f>IF(C68=0,0,+E68/C68)</f>
        <v>-4.1970802919708027E-2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2508</v>
      </c>
      <c r="D69" s="409">
        <v>2514</v>
      </c>
      <c r="E69" s="409">
        <f>+D69-C69</f>
        <v>6</v>
      </c>
      <c r="F69" s="412">
        <f>IF(C69=0,0,+E69/C69)</f>
        <v>2.3923444976076554E-3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3056</v>
      </c>
      <c r="D70" s="401">
        <f>SUM(D68:D69)</f>
        <v>3039</v>
      </c>
      <c r="E70" s="401">
        <f>+D70-C70</f>
        <v>-17</v>
      </c>
      <c r="F70" s="402">
        <f>IF(C70=0,0,+E70/C70)</f>
        <v>-5.5628272251308898E-3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6794</v>
      </c>
      <c r="D73" s="376">
        <v>6553</v>
      </c>
      <c r="E73" s="409">
        <f>+D73-C73</f>
        <v>-241</v>
      </c>
      <c r="F73" s="410">
        <f>IF(C73=0,0,+E73/C73)</f>
        <v>-3.5472475713865179E-2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72087</v>
      </c>
      <c r="D74" s="376">
        <v>73377</v>
      </c>
      <c r="E74" s="409">
        <f>+D74-C74</f>
        <v>1290</v>
      </c>
      <c r="F74" s="410">
        <f>IF(C74=0,0,+E74/C74)</f>
        <v>1.7895043489117315E-2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78881</v>
      </c>
      <c r="D75" s="401">
        <f>SUM(D73:D74)</f>
        <v>79930</v>
      </c>
      <c r="E75" s="401">
        <f>SUM(E73:E74)</f>
        <v>1049</v>
      </c>
      <c r="F75" s="402">
        <f>IF(C75=0,0,+E75/C75)</f>
        <v>1.3298512949886538E-2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16078</v>
      </c>
      <c r="D81" s="376">
        <v>15373</v>
      </c>
      <c r="E81" s="409">
        <f t="shared" si="0"/>
        <v>-705</v>
      </c>
      <c r="F81" s="410">
        <f t="shared" si="1"/>
        <v>-4.3848737405149892E-2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1851</v>
      </c>
      <c r="D89" s="376">
        <v>1877</v>
      </c>
      <c r="E89" s="409">
        <f t="shared" si="0"/>
        <v>26</v>
      </c>
      <c r="F89" s="410">
        <f t="shared" si="1"/>
        <v>1.4046461372231226E-2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44227</v>
      </c>
      <c r="D91" s="376">
        <v>45278</v>
      </c>
      <c r="E91" s="409">
        <f t="shared" si="0"/>
        <v>1051</v>
      </c>
      <c r="F91" s="410">
        <f t="shared" si="1"/>
        <v>2.3763764216428878E-2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62156</v>
      </c>
      <c r="D92" s="381">
        <f>SUM(D79:D91)</f>
        <v>62528</v>
      </c>
      <c r="E92" s="401">
        <f t="shared" si="0"/>
        <v>372</v>
      </c>
      <c r="F92" s="402">
        <f t="shared" si="1"/>
        <v>5.984941115901924E-3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19230</v>
      </c>
      <c r="D95" s="414">
        <v>25602</v>
      </c>
      <c r="E95" s="415">
        <f t="shared" ref="E95:E100" si="2">+D95-C95</f>
        <v>6372</v>
      </c>
      <c r="F95" s="412">
        <f t="shared" ref="F95:F100" si="3">IF(C95=0,0,+E95/C95)</f>
        <v>0.3313572542901716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4583</v>
      </c>
      <c r="D96" s="414">
        <v>5133</v>
      </c>
      <c r="E96" s="409">
        <f t="shared" si="2"/>
        <v>550</v>
      </c>
      <c r="F96" s="410">
        <f t="shared" si="3"/>
        <v>0.12000872790748418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2550</v>
      </c>
      <c r="D97" s="414">
        <v>2871</v>
      </c>
      <c r="E97" s="409">
        <f t="shared" si="2"/>
        <v>321</v>
      </c>
      <c r="F97" s="410">
        <f t="shared" si="3"/>
        <v>0.12588235294117647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193961</v>
      </c>
      <c r="D99" s="414">
        <v>198902</v>
      </c>
      <c r="E99" s="409">
        <f t="shared" si="2"/>
        <v>4941</v>
      </c>
      <c r="F99" s="410">
        <f t="shared" si="3"/>
        <v>2.5474193265656499E-2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220324</v>
      </c>
      <c r="D100" s="381">
        <f>SUM(D95:D99)</f>
        <v>232508</v>
      </c>
      <c r="E100" s="401">
        <f t="shared" si="2"/>
        <v>12184</v>
      </c>
      <c r="F100" s="402">
        <f t="shared" si="3"/>
        <v>5.5300375810170478E-2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423.1</v>
      </c>
      <c r="D104" s="416">
        <v>398</v>
      </c>
      <c r="E104" s="417">
        <f>+D104-C104</f>
        <v>-25.100000000000023</v>
      </c>
      <c r="F104" s="410">
        <f>IF(C104=0,0,+E104/C104)</f>
        <v>-5.932403687071619E-2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42.4</v>
      </c>
      <c r="D105" s="416">
        <v>44.3</v>
      </c>
      <c r="E105" s="417">
        <f>+D105-C105</f>
        <v>1.8999999999999986</v>
      </c>
      <c r="F105" s="410">
        <f>IF(C105=0,0,+E105/C105)</f>
        <v>4.481132075471695E-2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991.5</v>
      </c>
      <c r="D106" s="416">
        <v>981.2</v>
      </c>
      <c r="E106" s="417">
        <f>+D106-C106</f>
        <v>-10.299999999999955</v>
      </c>
      <c r="F106" s="410">
        <f>IF(C106=0,0,+E106/C106)</f>
        <v>-1.0388300554715032E-2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1457</v>
      </c>
      <c r="D107" s="418">
        <f>SUM(D104:D106)</f>
        <v>1423.5</v>
      </c>
      <c r="E107" s="418">
        <f>+D107-C107</f>
        <v>-33.5</v>
      </c>
      <c r="F107" s="402">
        <f>IF(C107=0,0,+E107/C107)</f>
        <v>-2.299245024021963E-2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/>
  <headerFooter>
    <oddHeader>&amp;LOFFICE OF HEALTH CARE ACCESS&amp;CTWELVE MONTHS ACTUAL FILING&amp;RWILLIAM W. BACKUS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6363</v>
      </c>
      <c r="D12" s="409">
        <v>6427</v>
      </c>
      <c r="E12" s="409">
        <f>+D12-C12</f>
        <v>64</v>
      </c>
      <c r="F12" s="410">
        <f>IF(C12=0,0,+E12/C12)</f>
        <v>1.0058148672010058E-2</v>
      </c>
    </row>
    <row r="13" spans="1:6" ht="15.75" customHeight="1" x14ac:dyDescent="0.25">
      <c r="A13" s="374"/>
      <c r="B13" s="399" t="s">
        <v>622</v>
      </c>
      <c r="C13" s="401">
        <f>SUM(C11:C12)</f>
        <v>6363</v>
      </c>
      <c r="D13" s="401">
        <f>SUM(D11:D12)</f>
        <v>6427</v>
      </c>
      <c r="E13" s="401">
        <f>+D13-C13</f>
        <v>64</v>
      </c>
      <c r="F13" s="402">
        <f>IF(C13=0,0,+E13/C13)</f>
        <v>1.0058148672010058E-2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2508</v>
      </c>
      <c r="D16" s="409">
        <v>2514</v>
      </c>
      <c r="E16" s="409">
        <f>+D16-C16</f>
        <v>6</v>
      </c>
      <c r="F16" s="410">
        <f>IF(C16=0,0,+E16/C16)</f>
        <v>2.3923444976076554E-3</v>
      </c>
    </row>
    <row r="17" spans="1:6" ht="15.75" customHeight="1" x14ac:dyDescent="0.25">
      <c r="A17" s="374"/>
      <c r="B17" s="399" t="s">
        <v>623</v>
      </c>
      <c r="C17" s="401">
        <f>SUM(C15:C16)</f>
        <v>2508</v>
      </c>
      <c r="D17" s="401">
        <f>SUM(D15:D16)</f>
        <v>2514</v>
      </c>
      <c r="E17" s="401">
        <f>+D17-C17</f>
        <v>6</v>
      </c>
      <c r="F17" s="402">
        <f>IF(C17=0,0,+E17/C17)</f>
        <v>2.3923444976076554E-3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51555</v>
      </c>
      <c r="D20" s="409">
        <v>51181</v>
      </c>
      <c r="E20" s="409">
        <f>+D20-C20</f>
        <v>-374</v>
      </c>
      <c r="F20" s="410">
        <f>IF(C20=0,0,+E20/C20)</f>
        <v>-7.2543885171176417E-3</v>
      </c>
    </row>
    <row r="21" spans="1:6" ht="15.75" customHeight="1" x14ac:dyDescent="0.2">
      <c r="A21" s="374">
        <v>2</v>
      </c>
      <c r="B21" s="408" t="s">
        <v>625</v>
      </c>
      <c r="C21" s="409">
        <v>20532</v>
      </c>
      <c r="D21" s="409">
        <v>22196</v>
      </c>
      <c r="E21" s="409">
        <f>+D21-C21</f>
        <v>1664</v>
      </c>
      <c r="F21" s="410">
        <f>IF(C21=0,0,+E21/C21)</f>
        <v>8.1044223650886427E-2</v>
      </c>
    </row>
    <row r="22" spans="1:6" ht="15.75" customHeight="1" x14ac:dyDescent="0.25">
      <c r="A22" s="374"/>
      <c r="B22" s="399" t="s">
        <v>626</v>
      </c>
      <c r="C22" s="401">
        <f>SUM(C19:C21)</f>
        <v>72087</v>
      </c>
      <c r="D22" s="401">
        <f>SUM(D19:D21)</f>
        <v>73377</v>
      </c>
      <c r="E22" s="401">
        <f>+D22-C22</f>
        <v>1290</v>
      </c>
      <c r="F22" s="402">
        <f>IF(C22=0,0,+E22/C22)</f>
        <v>1.7895043489117315E-2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0" t="s">
        <v>627</v>
      </c>
      <c r="C24" s="811"/>
      <c r="D24" s="811"/>
      <c r="E24" s="811"/>
      <c r="F24" s="812"/>
    </row>
    <row r="25" spans="1:6" ht="15.75" customHeight="1" x14ac:dyDescent="0.25">
      <c r="A25" s="392"/>
    </row>
    <row r="26" spans="1:6" ht="15.75" customHeight="1" x14ac:dyDescent="0.25">
      <c r="B26" s="810" t="s">
        <v>628</v>
      </c>
      <c r="C26" s="811"/>
      <c r="D26" s="811"/>
      <c r="E26" s="811"/>
      <c r="F26" s="812"/>
    </row>
    <row r="27" spans="1:6" ht="15.75" customHeight="1" x14ac:dyDescent="0.25">
      <c r="A27" s="392"/>
    </row>
    <row r="28" spans="1:6" ht="15.75" customHeight="1" x14ac:dyDescent="0.25">
      <c r="B28" s="810" t="s">
        <v>629</v>
      </c>
      <c r="C28" s="811"/>
      <c r="D28" s="811"/>
      <c r="E28" s="811"/>
      <c r="F28" s="812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80" orientation="portrait" horizontalDpi="1200" verticalDpi="1200"/>
  <headerFooter>
    <oddHeader>&amp;LOFFICE OF HEALTH CARE ACCESS&amp;CTWELVE MONTHS ACTUAL FILING&amp;RWILLIAM W. BACKUS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134661462</v>
      </c>
      <c r="D15" s="448">
        <v>134881347</v>
      </c>
      <c r="E15" s="448">
        <f t="shared" ref="E15:E24" si="0">D15-C15</f>
        <v>219885</v>
      </c>
      <c r="F15" s="449">
        <f t="shared" ref="F15:F24" si="1">IF(C15=0,0,E15/C15)</f>
        <v>1.6328725140382036E-3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60975522</v>
      </c>
      <c r="D16" s="448">
        <v>59500042</v>
      </c>
      <c r="E16" s="448">
        <f t="shared" si="0"/>
        <v>-1475480</v>
      </c>
      <c r="F16" s="449">
        <f t="shared" si="1"/>
        <v>-2.4197906825627502E-2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0.45280602998354497</v>
      </c>
      <c r="D17" s="453">
        <f>IF(LN_IA1=0,0,LN_IA2/LN_IA1)</f>
        <v>0.44112876482468699</v>
      </c>
      <c r="E17" s="454">
        <f t="shared" si="0"/>
        <v>-1.1677265158857975E-2</v>
      </c>
      <c r="F17" s="449">
        <f t="shared" si="1"/>
        <v>-2.5788669729690499E-2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4906</v>
      </c>
      <c r="D18" s="456">
        <v>5025</v>
      </c>
      <c r="E18" s="456">
        <f t="shared" si="0"/>
        <v>119</v>
      </c>
      <c r="F18" s="449">
        <f t="shared" si="1"/>
        <v>2.4256013045250713E-2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1.4553</v>
      </c>
      <c r="D19" s="459">
        <v>1.5431999999999999</v>
      </c>
      <c r="E19" s="460">
        <f t="shared" si="0"/>
        <v>8.7899999999999867E-2</v>
      </c>
      <c r="F19" s="449">
        <f t="shared" si="1"/>
        <v>6.0399917542774594E-2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7139.7017999999998</v>
      </c>
      <c r="D20" s="463">
        <f>LN_IA4*LN_IA5</f>
        <v>7754.58</v>
      </c>
      <c r="E20" s="463">
        <f t="shared" si="0"/>
        <v>614.87820000000011</v>
      </c>
      <c r="F20" s="449">
        <f t="shared" si="1"/>
        <v>8.6120991775875025E-2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8540.34576065908</v>
      </c>
      <c r="D21" s="465">
        <f>IF(LN_IA6=0,0,LN_IA2/LN_IA6)</f>
        <v>7672.8903435131242</v>
      </c>
      <c r="E21" s="465">
        <f t="shared" si="0"/>
        <v>-867.45541714595583</v>
      </c>
      <c r="F21" s="449">
        <f t="shared" si="1"/>
        <v>-0.10157146343440457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26606</v>
      </c>
      <c r="D22" s="456">
        <v>26068</v>
      </c>
      <c r="E22" s="456">
        <f t="shared" si="0"/>
        <v>-538</v>
      </c>
      <c r="F22" s="449">
        <f t="shared" si="1"/>
        <v>-2.0221002781327518E-2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2291.7959106968351</v>
      </c>
      <c r="D23" s="465">
        <f>IF(LN_IA8=0,0,LN_IA2/LN_IA8)</f>
        <v>2282.4935553168634</v>
      </c>
      <c r="E23" s="465">
        <f t="shared" si="0"/>
        <v>-9.3023553799716865</v>
      </c>
      <c r="F23" s="449">
        <f t="shared" si="1"/>
        <v>-4.0589807044132675E-3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5.4231553200163063</v>
      </c>
      <c r="D24" s="466">
        <f>IF(LN_IA4=0,0,LN_IA8/LN_IA4)</f>
        <v>5.1876616915422886</v>
      </c>
      <c r="E24" s="466">
        <f t="shared" si="0"/>
        <v>-0.23549362847401767</v>
      </c>
      <c r="F24" s="449">
        <f t="shared" si="1"/>
        <v>-4.3423729282625376E-2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153783721</v>
      </c>
      <c r="D27" s="448">
        <v>169816682</v>
      </c>
      <c r="E27" s="448">
        <f t="shared" ref="E27:E32" si="2">D27-C27</f>
        <v>16032961</v>
      </c>
      <c r="F27" s="449">
        <f t="shared" ref="F27:F32" si="3">IF(C27=0,0,E27/C27)</f>
        <v>0.10425655521757078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38182696</v>
      </c>
      <c r="D28" s="448">
        <v>38508936</v>
      </c>
      <c r="E28" s="448">
        <f t="shared" si="2"/>
        <v>326240</v>
      </c>
      <c r="F28" s="449">
        <f t="shared" si="3"/>
        <v>8.5441845175102359E-3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0.24828828273702649</v>
      </c>
      <c r="D29" s="453">
        <f>IF(LN_IA11=0,0,LN_IA12/LN_IA11)</f>
        <v>0.22676768587434773</v>
      </c>
      <c r="E29" s="454">
        <f t="shared" si="2"/>
        <v>-2.1520596862678765E-2</v>
      </c>
      <c r="F29" s="449">
        <f t="shared" si="3"/>
        <v>-8.6675845615607303E-2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1.1420024609564985</v>
      </c>
      <c r="D30" s="453">
        <f>IF(LN_IA1=0,0,LN_IA11/LN_IA1)</f>
        <v>1.2590079041841122</v>
      </c>
      <c r="E30" s="454">
        <f t="shared" si="2"/>
        <v>0.11700544322761375</v>
      </c>
      <c r="F30" s="449">
        <f t="shared" si="3"/>
        <v>0.10245638448941202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5602.6640734525818</v>
      </c>
      <c r="D31" s="463">
        <f>LN_IA14*LN_IA4</f>
        <v>6326.5147185251644</v>
      </c>
      <c r="E31" s="463">
        <f t="shared" si="2"/>
        <v>723.85064507258267</v>
      </c>
      <c r="F31" s="449">
        <f t="shared" si="3"/>
        <v>0.12919758093340716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6815.0964433015388</v>
      </c>
      <c r="D32" s="465">
        <f>IF(LN_IA15=0,0,LN_IA12/LN_IA15)</f>
        <v>6086.9116272248548</v>
      </c>
      <c r="E32" s="465">
        <f t="shared" si="2"/>
        <v>-728.184816076684</v>
      </c>
      <c r="F32" s="449">
        <f t="shared" si="3"/>
        <v>-0.10684879108239274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288445183</v>
      </c>
      <c r="D35" s="448">
        <f>LN_IA1+LN_IA11</f>
        <v>304698029</v>
      </c>
      <c r="E35" s="448">
        <f>D35-C35</f>
        <v>16252846</v>
      </c>
      <c r="F35" s="449">
        <f>IF(C35=0,0,E35/C35)</f>
        <v>5.6346394247117661E-2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99158218</v>
      </c>
      <c r="D36" s="448">
        <f>LN_IA2+LN_IA12</f>
        <v>98008978</v>
      </c>
      <c r="E36" s="448">
        <f>D36-C36</f>
        <v>-1149240</v>
      </c>
      <c r="F36" s="449">
        <f>IF(C36=0,0,E36/C36)</f>
        <v>-1.1589962215738891E-2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189286965</v>
      </c>
      <c r="D37" s="448">
        <f>LN_IA17-LN_IA18</f>
        <v>206689051</v>
      </c>
      <c r="E37" s="448">
        <f>D37-C37</f>
        <v>17402086</v>
      </c>
      <c r="F37" s="449">
        <f>IF(C37=0,0,E37/C37)</f>
        <v>9.1934941214784655E-2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66629894</v>
      </c>
      <c r="D42" s="448">
        <v>64371488</v>
      </c>
      <c r="E42" s="448">
        <f t="shared" ref="E42:E53" si="4">D42-C42</f>
        <v>-2258406</v>
      </c>
      <c r="F42" s="449">
        <f t="shared" ref="F42:F53" si="5">IF(C42=0,0,E42/C42)</f>
        <v>-3.3894786025023542E-2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49700199</v>
      </c>
      <c r="D43" s="448">
        <v>47994375</v>
      </c>
      <c r="E43" s="448">
        <f t="shared" si="4"/>
        <v>-1705824</v>
      </c>
      <c r="F43" s="449">
        <f t="shared" si="5"/>
        <v>-3.4322277059695476E-2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0.7459144239370995</v>
      </c>
      <c r="D44" s="453">
        <f>IF(LN_IB1=0,0,LN_IB2/LN_IB1)</f>
        <v>0.745584364928771</v>
      </c>
      <c r="E44" s="454">
        <f t="shared" si="4"/>
        <v>-3.3005900832849822E-4</v>
      </c>
      <c r="F44" s="449">
        <f t="shared" si="5"/>
        <v>-4.4248910831670821E-4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3221</v>
      </c>
      <c r="D45" s="456">
        <v>2940</v>
      </c>
      <c r="E45" s="456">
        <f t="shared" si="4"/>
        <v>-281</v>
      </c>
      <c r="F45" s="449">
        <f t="shared" si="5"/>
        <v>-8.7239987581496425E-2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1.2708999999999999</v>
      </c>
      <c r="D46" s="459">
        <v>1.3261000000000001</v>
      </c>
      <c r="E46" s="460">
        <f t="shared" si="4"/>
        <v>5.5200000000000138E-2</v>
      </c>
      <c r="F46" s="449">
        <f t="shared" si="5"/>
        <v>4.3433787080022143E-2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4093.5688999999998</v>
      </c>
      <c r="D47" s="463">
        <f>LN_IB4*LN_IB5</f>
        <v>3898.7340000000004</v>
      </c>
      <c r="E47" s="463">
        <f t="shared" si="4"/>
        <v>-194.83489999999938</v>
      </c>
      <c r="F47" s="449">
        <f t="shared" si="5"/>
        <v>-4.7595363546952735E-2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12141.043723485393</v>
      </c>
      <c r="D48" s="465">
        <f>IF(LN_IB6=0,0,LN_IB2/LN_IB6)</f>
        <v>12310.246095270924</v>
      </c>
      <c r="E48" s="465">
        <f t="shared" si="4"/>
        <v>169.2023717855318</v>
      </c>
      <c r="F48" s="449">
        <f t="shared" si="5"/>
        <v>1.3936394237525898E-2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-3600.6979628263125</v>
      </c>
      <c r="D49" s="465">
        <f>LN_IA7-LN_IB7</f>
        <v>-4637.3557517578001</v>
      </c>
      <c r="E49" s="465">
        <f t="shared" si="4"/>
        <v>-1036.6577889314876</v>
      </c>
      <c r="F49" s="449">
        <f t="shared" si="5"/>
        <v>0.2879046783801269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-14739705.198919147</v>
      </c>
      <c r="D50" s="479">
        <f>LN_IB8*LN_IB6</f>
        <v>-18079816.539473698</v>
      </c>
      <c r="E50" s="479">
        <f t="shared" si="4"/>
        <v>-3340111.3405545503</v>
      </c>
      <c r="F50" s="449">
        <f t="shared" si="5"/>
        <v>0.22660638699880364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11668</v>
      </c>
      <c r="D51" s="456">
        <v>10893</v>
      </c>
      <c r="E51" s="456">
        <f t="shared" si="4"/>
        <v>-775</v>
      </c>
      <c r="F51" s="449">
        <f t="shared" si="5"/>
        <v>-6.6420980459376069E-2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4259.5302536852932</v>
      </c>
      <c r="D52" s="465">
        <f>IF(LN_IB10=0,0,LN_IB2/LN_IB10)</f>
        <v>4405.9832002203248</v>
      </c>
      <c r="E52" s="465">
        <f t="shared" si="4"/>
        <v>146.45294653503151</v>
      </c>
      <c r="F52" s="449">
        <f t="shared" si="5"/>
        <v>3.4382417264984144E-2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3.6224774914622788</v>
      </c>
      <c r="D53" s="466">
        <f>IF(LN_IB4=0,0,LN_IB10/LN_IB4)</f>
        <v>3.7051020408163264</v>
      </c>
      <c r="E53" s="466">
        <f t="shared" si="4"/>
        <v>8.2624549354047616E-2</v>
      </c>
      <c r="F53" s="449">
        <f t="shared" si="5"/>
        <v>2.2808851000118903E-2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189577185</v>
      </c>
      <c r="D56" s="448">
        <v>194848471</v>
      </c>
      <c r="E56" s="448">
        <f t="shared" ref="E56:E63" si="6">D56-C56</f>
        <v>5271286</v>
      </c>
      <c r="F56" s="449">
        <f t="shared" ref="F56:F63" si="7">IF(C56=0,0,E56/C56)</f>
        <v>2.7805487247845779E-2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109150897</v>
      </c>
      <c r="D57" s="448">
        <v>113215967</v>
      </c>
      <c r="E57" s="448">
        <f t="shared" si="6"/>
        <v>4065070</v>
      </c>
      <c r="F57" s="449">
        <f t="shared" si="7"/>
        <v>3.7242662330113516E-2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0.57575966749374408</v>
      </c>
      <c r="D58" s="453">
        <f>IF(LN_IB13=0,0,LN_IB14/LN_IB13)</f>
        <v>0.58104621719099869</v>
      </c>
      <c r="E58" s="454">
        <f t="shared" si="6"/>
        <v>5.2865496972546167E-3</v>
      </c>
      <c r="F58" s="449">
        <f t="shared" si="7"/>
        <v>9.1818687478869947E-3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2.8452271738568276</v>
      </c>
      <c r="D59" s="453">
        <f>IF(LN_IB1=0,0,LN_IB13/LN_IB1)</f>
        <v>3.0269375006524628</v>
      </c>
      <c r="E59" s="454">
        <f t="shared" si="6"/>
        <v>0.18171032679563526</v>
      </c>
      <c r="F59" s="449">
        <f t="shared" si="7"/>
        <v>6.3864962511699583E-2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9164.4767269928416</v>
      </c>
      <c r="D60" s="463">
        <f>LN_IB16*LN_IB4</f>
        <v>8899.1962519182398</v>
      </c>
      <c r="E60" s="463">
        <f t="shared" si="6"/>
        <v>-265.28047507460178</v>
      </c>
      <c r="F60" s="449">
        <f t="shared" si="7"/>
        <v>-2.8946603606210347E-2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11910.215962304692</v>
      </c>
      <c r="D61" s="465">
        <f>IF(LN_IB17=0,0,LN_IB14/LN_IB17)</f>
        <v>12722.044080733254</v>
      </c>
      <c r="E61" s="465">
        <f t="shared" si="6"/>
        <v>811.82811842856245</v>
      </c>
      <c r="F61" s="449">
        <f t="shared" si="7"/>
        <v>6.8162333999481003E-2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-5095.1195190031531</v>
      </c>
      <c r="D62" s="465">
        <f>LN_IA16-LN_IB18</f>
        <v>-6635.1324535083995</v>
      </c>
      <c r="E62" s="465">
        <f t="shared" si="6"/>
        <v>-1540.0129345052464</v>
      </c>
      <c r="F62" s="449">
        <f t="shared" si="7"/>
        <v>0.30225256321495397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-46694104.253151357</v>
      </c>
      <c r="D63" s="448">
        <f>LN_IB19*LN_IB17</f>
        <v>-59047345.861243024</v>
      </c>
      <c r="E63" s="448">
        <f t="shared" si="6"/>
        <v>-12353241.608091667</v>
      </c>
      <c r="F63" s="449">
        <f t="shared" si="7"/>
        <v>0.26455677447239934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256207079</v>
      </c>
      <c r="D66" s="448">
        <f>LN_IB1+LN_IB13</f>
        <v>259219959</v>
      </c>
      <c r="E66" s="448">
        <f>D66-C66</f>
        <v>3012880</v>
      </c>
      <c r="F66" s="449">
        <f>IF(C66=0,0,E66/C66)</f>
        <v>1.1759550172304177E-2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158851096</v>
      </c>
      <c r="D67" s="448">
        <f>LN_IB2+LN_IB14</f>
        <v>161210342</v>
      </c>
      <c r="E67" s="448">
        <f>D67-C67</f>
        <v>2359246</v>
      </c>
      <c r="F67" s="449">
        <f>IF(C67=0,0,E67/C67)</f>
        <v>1.4851934040165514E-2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97355983</v>
      </c>
      <c r="D68" s="448">
        <f>LN_IB21-LN_IB22</f>
        <v>98009617</v>
      </c>
      <c r="E68" s="448">
        <f>D68-C68</f>
        <v>653634</v>
      </c>
      <c r="F68" s="449">
        <f>IF(C68=0,0,E68/C68)</f>
        <v>6.7138554802533296E-3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-61433809.452070504</v>
      </c>
      <c r="D70" s="441">
        <f>LN_IB9+LN_IB20</f>
        <v>-77127162.400716722</v>
      </c>
      <c r="E70" s="448">
        <f>D70-C70</f>
        <v>-15693352.948646218</v>
      </c>
      <c r="F70" s="449">
        <f>IF(C70=0,0,E70/C70)</f>
        <v>0.25545140515646964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232933513</v>
      </c>
      <c r="D73" s="488">
        <v>236897234</v>
      </c>
      <c r="E73" s="488">
        <f>D73-C73</f>
        <v>3963721</v>
      </c>
      <c r="F73" s="489">
        <f>IF(C73=0,0,E73/C73)</f>
        <v>1.7016533812375896E-2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155251338</v>
      </c>
      <c r="D74" s="488">
        <v>157937775</v>
      </c>
      <c r="E74" s="488">
        <f>D74-C74</f>
        <v>2686437</v>
      </c>
      <c r="F74" s="489">
        <f>IF(C74=0,0,E74/C74)</f>
        <v>1.7303792898712408E-2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77682175</v>
      </c>
      <c r="D76" s="441">
        <f>LN_IB32-LN_IB33</f>
        <v>78959459</v>
      </c>
      <c r="E76" s="488">
        <f>D76-C76</f>
        <v>1277284</v>
      </c>
      <c r="F76" s="489">
        <f>IF(E76=0,0,E76/C76)</f>
        <v>1.6442433544117424E-2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0.33349505616222774</v>
      </c>
      <c r="D77" s="453">
        <f>IF(LN_IB32=0,0,LN_IB34/LN_IB32)</f>
        <v>0.33330680002789731</v>
      </c>
      <c r="E77" s="493">
        <f>D77-C77</f>
        <v>-1.8825613433043342E-4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2221992</v>
      </c>
      <c r="D83" s="448">
        <v>2087344</v>
      </c>
      <c r="E83" s="448">
        <f t="shared" ref="E83:E95" si="8">D83-C83</f>
        <v>-134648</v>
      </c>
      <c r="F83" s="449">
        <f t="shared" ref="F83:F95" si="9">IF(C83=0,0,E83/C83)</f>
        <v>-6.0597877940154601E-2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392909</v>
      </c>
      <c r="D84" s="448">
        <v>364512</v>
      </c>
      <c r="E84" s="448">
        <f t="shared" si="8"/>
        <v>-28397</v>
      </c>
      <c r="F84" s="449">
        <f t="shared" si="9"/>
        <v>-7.2273732594570247E-2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0.17682736931546109</v>
      </c>
      <c r="D85" s="453">
        <f>IF(LN_IC1=0,0,LN_IC2/LN_IC1)</f>
        <v>0.17462957710851684</v>
      </c>
      <c r="E85" s="454">
        <f t="shared" si="8"/>
        <v>-2.1977922069442435E-3</v>
      </c>
      <c r="F85" s="449">
        <f t="shared" si="9"/>
        <v>-1.2429027335827007E-2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141</v>
      </c>
      <c r="D86" s="456">
        <v>89</v>
      </c>
      <c r="E86" s="456">
        <f t="shared" si="8"/>
        <v>-52</v>
      </c>
      <c r="F86" s="449">
        <f t="shared" si="9"/>
        <v>-0.36879432624113473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1.1024</v>
      </c>
      <c r="D87" s="459">
        <v>1.0854999999999999</v>
      </c>
      <c r="E87" s="460">
        <f t="shared" si="8"/>
        <v>-1.6900000000000137E-2</v>
      </c>
      <c r="F87" s="449">
        <f t="shared" si="9"/>
        <v>-1.5330188679245406E-2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155.4384</v>
      </c>
      <c r="D88" s="463">
        <f>LN_IC4*LN_IC5</f>
        <v>96.609499999999997</v>
      </c>
      <c r="E88" s="463">
        <f t="shared" si="8"/>
        <v>-58.828900000000004</v>
      </c>
      <c r="F88" s="449">
        <f t="shared" si="9"/>
        <v>-0.37847082831526835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2527.747326272015</v>
      </c>
      <c r="D89" s="465">
        <f>IF(LN_IC6=0,0,LN_IC2/LN_IC6)</f>
        <v>3773.0450939089842</v>
      </c>
      <c r="E89" s="465">
        <f t="shared" si="8"/>
        <v>1245.2977676369692</v>
      </c>
      <c r="F89" s="449">
        <f t="shared" si="9"/>
        <v>0.49265120555920655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9613.2963972133766</v>
      </c>
      <c r="D90" s="465">
        <f>LN_IB7-LN_IC7</f>
        <v>8537.2010013619401</v>
      </c>
      <c r="E90" s="465">
        <f t="shared" si="8"/>
        <v>-1076.0953958514365</v>
      </c>
      <c r="F90" s="449">
        <f t="shared" si="9"/>
        <v>-0.11193823131921389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6012.598434387065</v>
      </c>
      <c r="D91" s="465">
        <f>LN_IA7-LN_IC7</f>
        <v>3899.84524960414</v>
      </c>
      <c r="E91" s="465">
        <f t="shared" si="8"/>
        <v>-2112.753184782925</v>
      </c>
      <c r="F91" s="449">
        <f t="shared" si="9"/>
        <v>-0.35138770829924931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934588.68048363039</v>
      </c>
      <c r="D92" s="441">
        <f>LN_IC9*LN_IC6</f>
        <v>376762.09964163112</v>
      </c>
      <c r="E92" s="441">
        <f t="shared" si="8"/>
        <v>-557826.58084199927</v>
      </c>
      <c r="F92" s="449">
        <f t="shared" si="9"/>
        <v>-0.59686853959469688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546</v>
      </c>
      <c r="D93" s="456">
        <v>459</v>
      </c>
      <c r="E93" s="456">
        <f t="shared" si="8"/>
        <v>-87</v>
      </c>
      <c r="F93" s="449">
        <f t="shared" si="9"/>
        <v>-0.15934065934065933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719.61355311355317</v>
      </c>
      <c r="D94" s="499">
        <f>IF(LN_IC11=0,0,LN_IC2/LN_IC11)</f>
        <v>794.14379084967322</v>
      </c>
      <c r="E94" s="499">
        <f t="shared" si="8"/>
        <v>74.530237736120057</v>
      </c>
      <c r="F94" s="449">
        <f t="shared" si="9"/>
        <v>0.10356980828619744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3.8723404255319149</v>
      </c>
      <c r="D95" s="466">
        <f>IF(LN_IC4=0,0,LN_IC11/LN_IC4)</f>
        <v>5.1573033707865168</v>
      </c>
      <c r="E95" s="466">
        <f t="shared" si="8"/>
        <v>1.2849629452546019</v>
      </c>
      <c r="F95" s="449">
        <f t="shared" si="9"/>
        <v>0.33183109025805652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10795864</v>
      </c>
      <c r="D98" s="448">
        <v>8869175</v>
      </c>
      <c r="E98" s="448">
        <f t="shared" ref="E98:E106" si="10">D98-C98</f>
        <v>-1926689</v>
      </c>
      <c r="F98" s="449">
        <f t="shared" ref="F98:F106" si="11">IF(C98=0,0,E98/C98)</f>
        <v>-0.1784654752968359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1791848</v>
      </c>
      <c r="D99" s="448">
        <v>1431552</v>
      </c>
      <c r="E99" s="448">
        <f t="shared" si="10"/>
        <v>-360296</v>
      </c>
      <c r="F99" s="449">
        <f t="shared" si="11"/>
        <v>-0.20107509119077063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0.16597541428828669</v>
      </c>
      <c r="D100" s="453">
        <f>IF(LN_IC14=0,0,LN_IC15/LN_IC14)</f>
        <v>0.16140757173017783</v>
      </c>
      <c r="E100" s="454">
        <f t="shared" si="10"/>
        <v>-4.5678425581088533E-3</v>
      </c>
      <c r="F100" s="449">
        <f t="shared" si="11"/>
        <v>-2.7521199918048449E-2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4.858642155327292</v>
      </c>
      <c r="D101" s="453">
        <f>IF(LN_IC1=0,0,LN_IC14/LN_IC1)</f>
        <v>4.2490241186886299</v>
      </c>
      <c r="E101" s="454">
        <f t="shared" si="10"/>
        <v>-0.6096180366386621</v>
      </c>
      <c r="F101" s="449">
        <f t="shared" si="11"/>
        <v>-0.12547086555247583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685.06854390114813</v>
      </c>
      <c r="D102" s="463">
        <f>LN_IC17*LN_IC4</f>
        <v>378.16314656328808</v>
      </c>
      <c r="E102" s="463">
        <f t="shared" si="10"/>
        <v>-306.90539733786005</v>
      </c>
      <c r="F102" s="449">
        <f t="shared" si="11"/>
        <v>-0.4479922484692932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2615.5747712429697</v>
      </c>
      <c r="D103" s="465">
        <f>IF(LN_IC18=0,0,LN_IC15/LN_IC18)</f>
        <v>3785.5407461298464</v>
      </c>
      <c r="E103" s="465">
        <f t="shared" si="10"/>
        <v>1169.9659748868767</v>
      </c>
      <c r="F103" s="449">
        <f t="shared" si="11"/>
        <v>0.44730740935036895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9294.6411910617226</v>
      </c>
      <c r="D104" s="465">
        <f>LN_IB18-LN_IC19</f>
        <v>8936.503334603407</v>
      </c>
      <c r="E104" s="465">
        <f t="shared" si="10"/>
        <v>-358.13785645831558</v>
      </c>
      <c r="F104" s="449">
        <f t="shared" si="11"/>
        <v>-3.8531649484513951E-2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4199.5216720585686</v>
      </c>
      <c r="D105" s="465">
        <f>LN_IA16-LN_IC19</f>
        <v>2301.3708810950084</v>
      </c>
      <c r="E105" s="465">
        <f t="shared" si="10"/>
        <v>-1898.1507909635602</v>
      </c>
      <c r="F105" s="449">
        <f t="shared" si="11"/>
        <v>-0.45199214081757633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2876960.1969584785</v>
      </c>
      <c r="D106" s="448">
        <f>LN_IC21*LN_IC18</f>
        <v>870293.65380401502</v>
      </c>
      <c r="E106" s="448">
        <f t="shared" si="10"/>
        <v>-2006666.5431544636</v>
      </c>
      <c r="F106" s="449">
        <f t="shared" si="11"/>
        <v>-0.69749541383155422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13017856</v>
      </c>
      <c r="D109" s="448">
        <f>LN_IC1+LN_IC14</f>
        <v>10956519</v>
      </c>
      <c r="E109" s="448">
        <f>D109-C109</f>
        <v>-2061337</v>
      </c>
      <c r="F109" s="449">
        <f>IF(C109=0,0,E109/C109)</f>
        <v>-0.15834688907297792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2184757</v>
      </c>
      <c r="D110" s="448">
        <f>LN_IC2+LN_IC15</f>
        <v>1796064</v>
      </c>
      <c r="E110" s="448">
        <f>D110-C110</f>
        <v>-388693</v>
      </c>
      <c r="F110" s="449">
        <f>IF(C110=0,0,E110/C110)</f>
        <v>-0.17791131919934344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10833099</v>
      </c>
      <c r="D111" s="448">
        <f>LN_IC23-LN_IC24</f>
        <v>9160455</v>
      </c>
      <c r="E111" s="448">
        <f>D111-C111</f>
        <v>-1672644</v>
      </c>
      <c r="F111" s="449">
        <f>IF(C111=0,0,E111/C111)</f>
        <v>-0.15440124751006151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3811548.8774421089</v>
      </c>
      <c r="D113" s="448">
        <f>LN_IC10+LN_IC22</f>
        <v>1247055.7534456463</v>
      </c>
      <c r="E113" s="448">
        <f>D113-C113</f>
        <v>-2564493.1239964627</v>
      </c>
      <c r="F113" s="449">
        <f>IF(C113=0,0,E113/C113)</f>
        <v>-0.67282178622289301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41698751</v>
      </c>
      <c r="D118" s="448">
        <v>44691115</v>
      </c>
      <c r="E118" s="448">
        <f t="shared" ref="E118:E130" si="12">D118-C118</f>
        <v>2992364</v>
      </c>
      <c r="F118" s="449">
        <f t="shared" ref="F118:F130" si="13">IF(C118=0,0,E118/C118)</f>
        <v>7.1761477939710952E-2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12041319</v>
      </c>
      <c r="D119" s="448">
        <v>13444325</v>
      </c>
      <c r="E119" s="448">
        <f t="shared" si="12"/>
        <v>1403006</v>
      </c>
      <c r="F119" s="449">
        <f t="shared" si="13"/>
        <v>0.11651597304248812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0.28876929671106938</v>
      </c>
      <c r="D120" s="453">
        <f>IF(LN_ID1=0,0,LN_1D2/LN_ID1)</f>
        <v>0.30082769248428909</v>
      </c>
      <c r="E120" s="454">
        <f t="shared" si="12"/>
        <v>1.205839577321971E-2</v>
      </c>
      <c r="F120" s="449">
        <f t="shared" si="13"/>
        <v>4.1757887388162468E-2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2282</v>
      </c>
      <c r="D121" s="456">
        <v>2528</v>
      </c>
      <c r="E121" s="456">
        <f t="shared" si="12"/>
        <v>246</v>
      </c>
      <c r="F121" s="449">
        <f t="shared" si="13"/>
        <v>0.10780017528483786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1.0405</v>
      </c>
      <c r="D122" s="459">
        <v>1.0661</v>
      </c>
      <c r="E122" s="460">
        <f t="shared" si="12"/>
        <v>2.5600000000000067E-2</v>
      </c>
      <c r="F122" s="449">
        <f t="shared" si="13"/>
        <v>2.4603555982700691E-2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2374.4209999999998</v>
      </c>
      <c r="D123" s="463">
        <f>LN_ID4*LN_ID5</f>
        <v>2695.1008000000002</v>
      </c>
      <c r="E123" s="463">
        <f t="shared" si="12"/>
        <v>320.67980000000034</v>
      </c>
      <c r="F123" s="449">
        <f t="shared" si="13"/>
        <v>0.13505599891510409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5071.2653737479586</v>
      </c>
      <c r="D124" s="465">
        <f>IF(LN_ID6=0,0,LN_1D2/LN_ID6)</f>
        <v>4988.4312304756832</v>
      </c>
      <c r="E124" s="465">
        <f t="shared" si="12"/>
        <v>-82.834143272275469</v>
      </c>
      <c r="F124" s="449">
        <f t="shared" si="13"/>
        <v>-1.6334018665455134E-2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7069.7783497374339</v>
      </c>
      <c r="D125" s="465">
        <f>LN_IB7-LN_ID7</f>
        <v>7321.8148647952412</v>
      </c>
      <c r="E125" s="465">
        <f t="shared" si="12"/>
        <v>252.03651505780726</v>
      </c>
      <c r="F125" s="449">
        <f t="shared" si="13"/>
        <v>3.5649846797130166E-2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3469.0803869111214</v>
      </c>
      <c r="D126" s="465">
        <f>LN_IA7-LN_ID7</f>
        <v>2684.4591130374411</v>
      </c>
      <c r="E126" s="465">
        <f t="shared" si="12"/>
        <v>-784.62127387368037</v>
      </c>
      <c r="F126" s="449">
        <f t="shared" si="13"/>
        <v>-0.22617558152704248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8237057.3213698911</v>
      </c>
      <c r="D127" s="479">
        <f>LN_ID9*LN_ID6</f>
        <v>7234887.9031144986</v>
      </c>
      <c r="E127" s="479">
        <f t="shared" si="12"/>
        <v>-1002169.4182553925</v>
      </c>
      <c r="F127" s="449">
        <f t="shared" si="13"/>
        <v>-0.12166595170527761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9668</v>
      </c>
      <c r="D128" s="456">
        <v>9794</v>
      </c>
      <c r="E128" s="456">
        <f t="shared" si="12"/>
        <v>126</v>
      </c>
      <c r="F128" s="449">
        <f t="shared" si="13"/>
        <v>1.3032685146876293E-2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1245.4818990484071</v>
      </c>
      <c r="D129" s="465">
        <f>IF(LN_ID11=0,0,LN_1D2/LN_ID11)</f>
        <v>1372.7103328568512</v>
      </c>
      <c r="E129" s="465">
        <f t="shared" si="12"/>
        <v>127.22843380844415</v>
      </c>
      <c r="F129" s="449">
        <f t="shared" si="13"/>
        <v>0.10215197338929714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4.2366345311130589</v>
      </c>
      <c r="D130" s="466">
        <f>IF(LN_ID4=0,0,LN_ID11/LN_ID4)</f>
        <v>3.8742088607594938</v>
      </c>
      <c r="E130" s="466">
        <f t="shared" si="12"/>
        <v>-0.3624256703535651</v>
      </c>
      <c r="F130" s="449">
        <f t="shared" si="13"/>
        <v>-8.554565367675171E-2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100205817</v>
      </c>
      <c r="D133" s="448">
        <v>113692625</v>
      </c>
      <c r="E133" s="448">
        <f t="shared" ref="E133:E141" si="14">D133-C133</f>
        <v>13486808</v>
      </c>
      <c r="F133" s="449">
        <f t="shared" ref="F133:F141" si="15">IF(C133=0,0,E133/C133)</f>
        <v>0.13459106870013346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23382850</v>
      </c>
      <c r="D134" s="448">
        <v>19412267</v>
      </c>
      <c r="E134" s="448">
        <f t="shared" si="14"/>
        <v>-3970583</v>
      </c>
      <c r="F134" s="449">
        <f t="shared" si="15"/>
        <v>-0.16980748711128027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0.2333482296741316</v>
      </c>
      <c r="D135" s="453">
        <f>IF(LN_ID14=0,0,LN_ID15/LN_ID14)</f>
        <v>0.17074341453546349</v>
      </c>
      <c r="E135" s="454">
        <f t="shared" si="14"/>
        <v>-6.2604815138668113E-2</v>
      </c>
      <c r="F135" s="449">
        <f t="shared" si="15"/>
        <v>-0.26828922261846638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2.4030891716636789</v>
      </c>
      <c r="D136" s="453">
        <f>IF(LN_ID1=0,0,LN_ID14/LN_ID1)</f>
        <v>2.5439648350684472</v>
      </c>
      <c r="E136" s="454">
        <f t="shared" si="14"/>
        <v>0.14087566340476831</v>
      </c>
      <c r="F136" s="449">
        <f t="shared" si="15"/>
        <v>5.8622736545077478E-2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5483.8494897365154</v>
      </c>
      <c r="D137" s="463">
        <f>LN_ID17*LN_ID4</f>
        <v>6431.1431030530348</v>
      </c>
      <c r="E137" s="463">
        <f t="shared" si="14"/>
        <v>947.29361331651944</v>
      </c>
      <c r="F137" s="449">
        <f t="shared" si="15"/>
        <v>0.17274245310515157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4263.9481706715269</v>
      </c>
      <c r="D138" s="465">
        <f>IF(LN_ID18=0,0,LN_ID15/LN_ID18)</f>
        <v>3018.4784709244736</v>
      </c>
      <c r="E138" s="465">
        <f t="shared" si="14"/>
        <v>-1245.4696997470533</v>
      </c>
      <c r="F138" s="449">
        <f t="shared" si="15"/>
        <v>-0.29209306724544565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7646.267791633165</v>
      </c>
      <c r="D139" s="465">
        <f>LN_IB18-LN_ID19</f>
        <v>9703.5656098087802</v>
      </c>
      <c r="E139" s="465">
        <f t="shared" si="14"/>
        <v>2057.2978181756152</v>
      </c>
      <c r="F139" s="449">
        <f t="shared" si="15"/>
        <v>0.26905908532614936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2551.1482726300119</v>
      </c>
      <c r="D140" s="465">
        <f>LN_IA16-LN_ID19</f>
        <v>3068.4331563003811</v>
      </c>
      <c r="E140" s="465">
        <f t="shared" si="14"/>
        <v>517.28488367036925</v>
      </c>
      <c r="F140" s="449">
        <f t="shared" si="15"/>
        <v>0.20276551120923034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13990113.153104283</v>
      </c>
      <c r="D141" s="441">
        <f>LN_ID21*LN_ID18</f>
        <v>19733532.73032045</v>
      </c>
      <c r="E141" s="441">
        <f t="shared" si="14"/>
        <v>5743419.577216167</v>
      </c>
      <c r="F141" s="449">
        <f t="shared" si="15"/>
        <v>0.41053417612578441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141904568</v>
      </c>
      <c r="D144" s="448">
        <f>LN_ID1+LN_ID14</f>
        <v>158383740</v>
      </c>
      <c r="E144" s="448">
        <f>D144-C144</f>
        <v>16479172</v>
      </c>
      <c r="F144" s="449">
        <f>IF(C144=0,0,E144/C144)</f>
        <v>0.11612855197163209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35424169</v>
      </c>
      <c r="D145" s="448">
        <f>LN_1D2+LN_ID15</f>
        <v>32856592</v>
      </c>
      <c r="E145" s="448">
        <f>D145-C145</f>
        <v>-2567577</v>
      </c>
      <c r="F145" s="449">
        <f>IF(C145=0,0,E145/C145)</f>
        <v>-7.2480938084955496E-2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106480399</v>
      </c>
      <c r="D146" s="448">
        <f>LN_ID23-LN_ID24</f>
        <v>125527148</v>
      </c>
      <c r="E146" s="448">
        <f>D146-C146</f>
        <v>19046749</v>
      </c>
      <c r="F146" s="449">
        <f>IF(C146=0,0,E146/C146)</f>
        <v>0.17887563512980451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22227170.474474173</v>
      </c>
      <c r="D148" s="448">
        <f>LN_ID10+LN_ID22</f>
        <v>26968420.633434948</v>
      </c>
      <c r="E148" s="448">
        <f>D148-C148</f>
        <v>4741250.1589607745</v>
      </c>
      <c r="F148" s="503">
        <f>IF(C148=0,0,E148/C148)</f>
        <v>0.21330875940352628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1875059</v>
      </c>
      <c r="D153" s="448">
        <v>2302802</v>
      </c>
      <c r="E153" s="448">
        <f t="shared" ref="E153:E165" si="16">D153-C153</f>
        <v>427743</v>
      </c>
      <c r="F153" s="449">
        <f t="shared" ref="F153:F165" si="17">IF(C153=0,0,E153/C153)</f>
        <v>0.22812242174779568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1081767</v>
      </c>
      <c r="D154" s="448">
        <v>564828</v>
      </c>
      <c r="E154" s="448">
        <f t="shared" si="16"/>
        <v>-516939</v>
      </c>
      <c r="F154" s="449">
        <f t="shared" si="17"/>
        <v>-0.47786538136216022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0.57692424611705551</v>
      </c>
      <c r="D155" s="453">
        <f>IF(LN_IE1=0,0,LN_IE2/LN_IE1)</f>
        <v>0.24527857801061489</v>
      </c>
      <c r="E155" s="454">
        <f t="shared" si="16"/>
        <v>-0.33164566810644058</v>
      </c>
      <c r="F155" s="449">
        <f t="shared" si="17"/>
        <v>-0.57485132638913405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64</v>
      </c>
      <c r="D156" s="506">
        <v>98</v>
      </c>
      <c r="E156" s="506">
        <f t="shared" si="16"/>
        <v>34</v>
      </c>
      <c r="F156" s="449">
        <f t="shared" si="17"/>
        <v>0.53125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1.3767</v>
      </c>
      <c r="D157" s="459">
        <v>1.3478000000000001</v>
      </c>
      <c r="E157" s="460">
        <f t="shared" si="16"/>
        <v>-2.8899999999999926E-2</v>
      </c>
      <c r="F157" s="449">
        <f t="shared" si="17"/>
        <v>-2.0992227791094591E-2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88.108800000000002</v>
      </c>
      <c r="D158" s="463">
        <f>LN_IE4*LN_IE5</f>
        <v>132.08440000000002</v>
      </c>
      <c r="E158" s="463">
        <f t="shared" si="16"/>
        <v>43.975600000000014</v>
      </c>
      <c r="F158" s="449">
        <f t="shared" si="17"/>
        <v>0.49910565119488648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12277.627206363042</v>
      </c>
      <c r="D159" s="465">
        <f>IF(LN_IE6=0,0,LN_IE2/LN_IE6)</f>
        <v>4276.2657815760222</v>
      </c>
      <c r="E159" s="465">
        <f t="shared" si="16"/>
        <v>-8001.36142478702</v>
      </c>
      <c r="F159" s="449">
        <f t="shared" si="17"/>
        <v>-0.65170258799193781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-136.58348287764966</v>
      </c>
      <c r="D160" s="465">
        <f>LN_IB7-LN_IE7</f>
        <v>8033.9803136949022</v>
      </c>
      <c r="E160" s="465">
        <f t="shared" si="16"/>
        <v>8170.5637965725518</v>
      </c>
      <c r="F160" s="449">
        <f t="shared" si="17"/>
        <v>-59.821023921989706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-3737.2814457039622</v>
      </c>
      <c r="D161" s="465">
        <f>LN_IA7-LN_IE7</f>
        <v>3396.624561937102</v>
      </c>
      <c r="E161" s="465">
        <f t="shared" si="16"/>
        <v>7133.9060076410642</v>
      </c>
      <c r="F161" s="449">
        <f t="shared" si="17"/>
        <v>-1.9088490153294588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-329287.3834432413</v>
      </c>
      <c r="D162" s="479">
        <f>LN_IE9*LN_IE6</f>
        <v>448641.11728872504</v>
      </c>
      <c r="E162" s="479">
        <f t="shared" si="16"/>
        <v>777928.50073196634</v>
      </c>
      <c r="F162" s="449">
        <f t="shared" si="17"/>
        <v>-2.3624606949632994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312</v>
      </c>
      <c r="D163" s="456">
        <v>625</v>
      </c>
      <c r="E163" s="506">
        <f t="shared" si="16"/>
        <v>313</v>
      </c>
      <c r="F163" s="449">
        <f t="shared" si="17"/>
        <v>1.0032051282051282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3467.2019230769229</v>
      </c>
      <c r="D164" s="465">
        <f>IF(LN_IE11=0,0,LN_IE2/LN_IE11)</f>
        <v>903.72479999999996</v>
      </c>
      <c r="E164" s="465">
        <f t="shared" si="16"/>
        <v>-2563.4771230769229</v>
      </c>
      <c r="F164" s="449">
        <f t="shared" si="17"/>
        <v>-0.73935039837599037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4.875</v>
      </c>
      <c r="D165" s="466">
        <f>IF(LN_IE4=0,0,LN_IE11/LN_IE4)</f>
        <v>6.3775510204081636</v>
      </c>
      <c r="E165" s="466">
        <f t="shared" si="16"/>
        <v>1.5025510204081636</v>
      </c>
      <c r="F165" s="449">
        <f t="shared" si="17"/>
        <v>0.30821559392987968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2194550</v>
      </c>
      <c r="D168" s="511">
        <v>2956245</v>
      </c>
      <c r="E168" s="511">
        <f t="shared" ref="E168:E176" si="18">D168-C168</f>
        <v>761695</v>
      </c>
      <c r="F168" s="449">
        <f t="shared" ref="F168:F176" si="19">IF(C168=0,0,E168/C168)</f>
        <v>0.34708482376797067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386402</v>
      </c>
      <c r="D169" s="511">
        <v>735727</v>
      </c>
      <c r="E169" s="511">
        <f t="shared" si="18"/>
        <v>349325</v>
      </c>
      <c r="F169" s="449">
        <f t="shared" si="19"/>
        <v>0.90404552771465985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0.17607345469458432</v>
      </c>
      <c r="D170" s="453">
        <f>IF(LN_IE14=0,0,LN_IE15/LN_IE14)</f>
        <v>0.24887213339895711</v>
      </c>
      <c r="E170" s="454">
        <f t="shared" si="18"/>
        <v>7.2798678704372788E-2</v>
      </c>
      <c r="F170" s="449">
        <f t="shared" si="19"/>
        <v>0.4134562977176135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1.1703898383997517</v>
      </c>
      <c r="D171" s="453">
        <f>IF(LN_IE1=0,0,LN_IE14/LN_IE1)</f>
        <v>1.2837599585200985</v>
      </c>
      <c r="E171" s="454">
        <f t="shared" si="18"/>
        <v>0.11337012012034675</v>
      </c>
      <c r="F171" s="449">
        <f t="shared" si="19"/>
        <v>9.6865263522242492E-2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74.904949657584112</v>
      </c>
      <c r="D172" s="463">
        <f>LN_IE17*LN_IE4</f>
        <v>125.80847593496965</v>
      </c>
      <c r="E172" s="463">
        <f t="shared" si="18"/>
        <v>50.903526277385538</v>
      </c>
      <c r="F172" s="449">
        <f t="shared" si="19"/>
        <v>0.67957493476843378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5158.5643107214464</v>
      </c>
      <c r="D173" s="465">
        <f>IF(LN_IE18=0,0,LN_IE15/LN_IE18)</f>
        <v>5847.9923115855645</v>
      </c>
      <c r="E173" s="465">
        <f t="shared" si="18"/>
        <v>689.42800086411808</v>
      </c>
      <c r="F173" s="449">
        <f t="shared" si="19"/>
        <v>0.13364726294702309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6751.6516515832454</v>
      </c>
      <c r="D174" s="465">
        <f>LN_IB18-LN_IE19</f>
        <v>6874.0517691476898</v>
      </c>
      <c r="E174" s="465">
        <f t="shared" si="18"/>
        <v>122.40011756444437</v>
      </c>
      <c r="F174" s="449">
        <f t="shared" si="19"/>
        <v>1.8128914802016165E-2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1656.5321325800924</v>
      </c>
      <c r="D175" s="465">
        <f>LN_IA16-LN_IE19</f>
        <v>238.91931563929029</v>
      </c>
      <c r="E175" s="465">
        <f t="shared" si="18"/>
        <v>-1417.6128169408021</v>
      </c>
      <c r="F175" s="449">
        <f t="shared" si="19"/>
        <v>-0.85577139679918723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124082.45599708227</v>
      </c>
      <c r="D176" s="441">
        <f>LN_IE21*LN_IE18</f>
        <v>30058.07497200507</v>
      </c>
      <c r="E176" s="441">
        <f t="shared" si="18"/>
        <v>-94024.381025077208</v>
      </c>
      <c r="F176" s="449">
        <f t="shared" si="19"/>
        <v>-0.75775725318725262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4069609</v>
      </c>
      <c r="D179" s="448">
        <f>LN_IE1+LN_IE14</f>
        <v>5259047</v>
      </c>
      <c r="E179" s="448">
        <f>D179-C179</f>
        <v>1189438</v>
      </c>
      <c r="F179" s="449">
        <f>IF(C179=0,0,E179/C179)</f>
        <v>0.29227328718803208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1468169</v>
      </c>
      <c r="D180" s="448">
        <f>LN_IE15+LN_IE2</f>
        <v>1300555</v>
      </c>
      <c r="E180" s="448">
        <f>D180-C180</f>
        <v>-167614</v>
      </c>
      <c r="F180" s="449">
        <f>IF(C180=0,0,E180/C180)</f>
        <v>-0.11416533110289075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2601440</v>
      </c>
      <c r="D181" s="448">
        <f>LN_IE23-LN_IE24</f>
        <v>3958492</v>
      </c>
      <c r="E181" s="448">
        <f>D181-C181</f>
        <v>1357052</v>
      </c>
      <c r="F181" s="449">
        <f>IF(C181=0,0,E181/C181)</f>
        <v>0.52165416077249527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-205204.92744615901</v>
      </c>
      <c r="D183" s="448">
        <f>LN_IE10+LN_IE22</f>
        <v>478699.19226073014</v>
      </c>
      <c r="E183" s="441">
        <f>D183-C183</f>
        <v>683904.11970688915</v>
      </c>
      <c r="F183" s="449">
        <f>IF(C183=0,0,E183/C183)</f>
        <v>-3.3327860505997333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43573810</v>
      </c>
      <c r="D188" s="448">
        <f>LN_ID1+LN_IE1</f>
        <v>46993917</v>
      </c>
      <c r="E188" s="448">
        <f t="shared" ref="E188:E200" si="20">D188-C188</f>
        <v>3420107</v>
      </c>
      <c r="F188" s="449">
        <f t="shared" ref="F188:F200" si="21">IF(C188=0,0,E188/C188)</f>
        <v>7.8489969089230435E-2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13123086</v>
      </c>
      <c r="D189" s="448">
        <f>LN_1D2+LN_IE2</f>
        <v>14009153</v>
      </c>
      <c r="E189" s="448">
        <f t="shared" si="20"/>
        <v>886067</v>
      </c>
      <c r="F189" s="449">
        <f t="shared" si="21"/>
        <v>6.7519712969952336E-2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0.3011691197074573</v>
      </c>
      <c r="D190" s="453">
        <f>IF(LN_IF1=0,0,LN_IF2/LN_IF1)</f>
        <v>0.29810566759097779</v>
      </c>
      <c r="E190" s="454">
        <f t="shared" si="20"/>
        <v>-3.0634521164795148E-3</v>
      </c>
      <c r="F190" s="449">
        <f t="shared" si="21"/>
        <v>-1.0171866622498416E-2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2346</v>
      </c>
      <c r="D191" s="456">
        <f>LN_ID4+LN_IE4</f>
        <v>2626</v>
      </c>
      <c r="E191" s="456">
        <f t="shared" si="20"/>
        <v>280</v>
      </c>
      <c r="F191" s="449">
        <f t="shared" si="21"/>
        <v>0.11935208866155157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1.0496716965046888</v>
      </c>
      <c r="D192" s="459">
        <f>IF((LN_ID4+LN_IE4)=0,0,(LN_ID6+LN_IE6)/(LN_ID4+LN_IE4))</f>
        <v>1.0766127951256665</v>
      </c>
      <c r="E192" s="460">
        <f t="shared" si="20"/>
        <v>2.694109862097771E-2</v>
      </c>
      <c r="F192" s="449">
        <f t="shared" si="21"/>
        <v>2.5666214217920817E-2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2462.5297999999998</v>
      </c>
      <c r="D193" s="463">
        <f>LN_IF4*LN_IF5</f>
        <v>2827.1852000000003</v>
      </c>
      <c r="E193" s="463">
        <f t="shared" si="20"/>
        <v>364.65540000000055</v>
      </c>
      <c r="F193" s="449">
        <f t="shared" si="21"/>
        <v>0.14808161915441614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5329.1074893794184</v>
      </c>
      <c r="D194" s="465">
        <f>IF(LN_IF6=0,0,LN_IF2/LN_IF6)</f>
        <v>4955.1592870534259</v>
      </c>
      <c r="E194" s="465">
        <f t="shared" si="20"/>
        <v>-373.9482023259925</v>
      </c>
      <c r="F194" s="449">
        <f t="shared" si="21"/>
        <v>-7.0170887540033325E-2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6811.9362341059741</v>
      </c>
      <c r="D195" s="465">
        <f>LN_IB7-LN_IF7</f>
        <v>7355.0868082174984</v>
      </c>
      <c r="E195" s="465">
        <f t="shared" si="20"/>
        <v>543.15057411152429</v>
      </c>
      <c r="F195" s="449">
        <f t="shared" si="21"/>
        <v>7.9735123090565685E-2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3211.2382712796616</v>
      </c>
      <c r="D196" s="465">
        <f>LN_IA7-LN_IF7</f>
        <v>2717.7310564596983</v>
      </c>
      <c r="E196" s="465">
        <f t="shared" si="20"/>
        <v>-493.50721481996334</v>
      </c>
      <c r="F196" s="449">
        <f t="shared" si="21"/>
        <v>-0.15368128215017296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7907769.93792665</v>
      </c>
      <c r="D197" s="479">
        <f>LN_IF9*LN_IF6</f>
        <v>7683529.020403224</v>
      </c>
      <c r="E197" s="479">
        <f t="shared" si="20"/>
        <v>-224240.917523426</v>
      </c>
      <c r="F197" s="449">
        <f t="shared" si="21"/>
        <v>-2.8357036090281108E-2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9980</v>
      </c>
      <c r="D198" s="456">
        <f>LN_ID11+LN_IE11</f>
        <v>10419</v>
      </c>
      <c r="E198" s="456">
        <f t="shared" si="20"/>
        <v>439</v>
      </c>
      <c r="F198" s="449">
        <f t="shared" si="21"/>
        <v>4.3987975951903804E-2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1314.9384769539079</v>
      </c>
      <c r="D199" s="519">
        <f>IF(LN_IF11=0,0,LN_IF2/LN_IF11)</f>
        <v>1344.5775026394087</v>
      </c>
      <c r="E199" s="519">
        <f t="shared" si="20"/>
        <v>29.639025685500883</v>
      </c>
      <c r="F199" s="449">
        <f t="shared" si="21"/>
        <v>2.2540237589031939E-2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4.2540494458653022</v>
      </c>
      <c r="D200" s="466">
        <f>IF(LN_IF4=0,0,LN_IF11/LN_IF4)</f>
        <v>3.9676313785224675</v>
      </c>
      <c r="E200" s="466">
        <f t="shared" si="20"/>
        <v>-0.2864180673428347</v>
      </c>
      <c r="F200" s="449">
        <f t="shared" si="21"/>
        <v>-6.7328335269167358E-2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102400367</v>
      </c>
      <c r="D203" s="448">
        <f>LN_ID14+LN_IE14</f>
        <v>116648870</v>
      </c>
      <c r="E203" s="448">
        <f t="shared" ref="E203:E211" si="22">D203-C203</f>
        <v>14248503</v>
      </c>
      <c r="F203" s="449">
        <f t="shared" ref="F203:F211" si="23">IF(C203=0,0,E203/C203)</f>
        <v>0.13914503841573145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23769252</v>
      </c>
      <c r="D204" s="448">
        <f>LN_ID15+LN_IE15</f>
        <v>20147994</v>
      </c>
      <c r="E204" s="448">
        <f t="shared" si="22"/>
        <v>-3621258</v>
      </c>
      <c r="F204" s="449">
        <f t="shared" si="23"/>
        <v>-0.15235052411409497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0.23212076964528847</v>
      </c>
      <c r="D205" s="453">
        <f>IF(LN_IF14=0,0,LN_IF15/LN_IF14)</f>
        <v>0.17272343915547575</v>
      </c>
      <c r="E205" s="454">
        <f t="shared" si="22"/>
        <v>-5.9397330489812716E-2</v>
      </c>
      <c r="F205" s="449">
        <f t="shared" si="23"/>
        <v>-0.2558897705732226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2.3500439139932907</v>
      </c>
      <c r="D206" s="453">
        <f>IF(LN_IF1=0,0,LN_IF14/LN_IF1)</f>
        <v>2.4822121126868399</v>
      </c>
      <c r="E206" s="454">
        <f t="shared" si="22"/>
        <v>0.13216819869354923</v>
      </c>
      <c r="F206" s="449">
        <f t="shared" si="23"/>
        <v>5.6240735718407757E-2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5558.7544393940998</v>
      </c>
      <c r="D207" s="463">
        <f>LN_ID18+LN_IE18</f>
        <v>6556.9515789880043</v>
      </c>
      <c r="E207" s="463">
        <f t="shared" si="22"/>
        <v>998.19713959390447</v>
      </c>
      <c r="F207" s="449">
        <f t="shared" si="23"/>
        <v>0.17957208768205765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4276.0032412208575</v>
      </c>
      <c r="D208" s="465">
        <f>IF(LN_IF18=0,0,LN_IF15/LN_IF18)</f>
        <v>3072.7684591365596</v>
      </c>
      <c r="E208" s="465">
        <f t="shared" si="22"/>
        <v>-1203.2347820842979</v>
      </c>
      <c r="F208" s="449">
        <f t="shared" si="23"/>
        <v>-0.28139239242970215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7634.2127210838344</v>
      </c>
      <c r="D209" s="465">
        <f>LN_IB18-LN_IF19</f>
        <v>9649.2756215966947</v>
      </c>
      <c r="E209" s="465">
        <f t="shared" si="22"/>
        <v>2015.0629005128603</v>
      </c>
      <c r="F209" s="449">
        <f t="shared" si="23"/>
        <v>0.26395163118100545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2539.0932020806813</v>
      </c>
      <c r="D210" s="465">
        <f>LN_IA16-LN_IF19</f>
        <v>3014.1431680882952</v>
      </c>
      <c r="E210" s="465">
        <f t="shared" si="22"/>
        <v>475.04996600761388</v>
      </c>
      <c r="F210" s="449">
        <f t="shared" si="23"/>
        <v>0.18709433967147412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14114195.609101364</v>
      </c>
      <c r="D211" s="441">
        <f>LN_IF21*LN_IF18</f>
        <v>19763590.805292454</v>
      </c>
      <c r="E211" s="441">
        <f t="shared" si="22"/>
        <v>5649395.1961910892</v>
      </c>
      <c r="F211" s="449">
        <f t="shared" si="23"/>
        <v>0.40026334852183476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145974177</v>
      </c>
      <c r="D214" s="448">
        <f>LN_IF1+LN_IF14</f>
        <v>163642787</v>
      </c>
      <c r="E214" s="448">
        <f>D214-C214</f>
        <v>17668610</v>
      </c>
      <c r="F214" s="449">
        <f>IF(C214=0,0,E214/C214)</f>
        <v>0.12103928491407079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36892338</v>
      </c>
      <c r="D215" s="448">
        <f>LN_IF2+LN_IF15</f>
        <v>34157147</v>
      </c>
      <c r="E215" s="448">
        <f>D215-C215</f>
        <v>-2735191</v>
      </c>
      <c r="F215" s="449">
        <f>IF(C215=0,0,E215/C215)</f>
        <v>-7.4139811903490643E-2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109081839</v>
      </c>
      <c r="D216" s="448">
        <f>LN_IF23-LN_IF24</f>
        <v>129485640</v>
      </c>
      <c r="E216" s="448">
        <f>D216-C216</f>
        <v>20403801</v>
      </c>
      <c r="F216" s="449">
        <f>IF(C216=0,0,E216/C216)</f>
        <v>0.18705039433741119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2915085</v>
      </c>
      <c r="D221" s="448">
        <v>2468203</v>
      </c>
      <c r="E221" s="448">
        <f t="shared" ref="E221:E230" si="24">D221-C221</f>
        <v>-446882</v>
      </c>
      <c r="F221" s="449">
        <f t="shared" ref="F221:F230" si="25">IF(C221=0,0,E221/C221)</f>
        <v>-0.15329981801559817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1084152</v>
      </c>
      <c r="D222" s="448">
        <v>946468</v>
      </c>
      <c r="E222" s="448">
        <f t="shared" si="24"/>
        <v>-137684</v>
      </c>
      <c r="F222" s="449">
        <f t="shared" si="25"/>
        <v>-0.12699695245685108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0.37191093913213508</v>
      </c>
      <c r="D223" s="453">
        <f>IF(LN_IG1=0,0,LN_IG2/LN_IG1)</f>
        <v>0.38346440710103669</v>
      </c>
      <c r="E223" s="454">
        <f t="shared" si="24"/>
        <v>1.155346796890161E-2</v>
      </c>
      <c r="F223" s="449">
        <f t="shared" si="25"/>
        <v>3.1065146929697633E-2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217</v>
      </c>
      <c r="D224" s="456">
        <v>212</v>
      </c>
      <c r="E224" s="456">
        <f t="shared" si="24"/>
        <v>-5</v>
      </c>
      <c r="F224" s="449">
        <f t="shared" si="25"/>
        <v>-2.3041474654377881E-2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0.72919999999999996</v>
      </c>
      <c r="D225" s="459">
        <v>0.63119999999999998</v>
      </c>
      <c r="E225" s="460">
        <f t="shared" si="24"/>
        <v>-9.7999999999999976E-2</v>
      </c>
      <c r="F225" s="449">
        <f t="shared" si="25"/>
        <v>-0.13439385628085571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158.2364</v>
      </c>
      <c r="D226" s="463">
        <f>LN_IG3*LN_IG4</f>
        <v>133.81440000000001</v>
      </c>
      <c r="E226" s="463">
        <f t="shared" si="24"/>
        <v>-24.421999999999997</v>
      </c>
      <c r="F226" s="449">
        <f t="shared" si="25"/>
        <v>-0.15433869830203414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6851.4703317315107</v>
      </c>
      <c r="D227" s="465">
        <f>IF(LN_IG5=0,0,LN_IG2/LN_IG5)</f>
        <v>7072.9906497357533</v>
      </c>
      <c r="E227" s="465">
        <f t="shared" si="24"/>
        <v>221.52031800424265</v>
      </c>
      <c r="F227" s="449">
        <f t="shared" si="25"/>
        <v>3.2331792634101623E-2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586</v>
      </c>
      <c r="D228" s="456">
        <v>539</v>
      </c>
      <c r="E228" s="456">
        <f t="shared" si="24"/>
        <v>-47</v>
      </c>
      <c r="F228" s="449">
        <f t="shared" si="25"/>
        <v>-8.0204778156996587E-2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1850.0887372013651</v>
      </c>
      <c r="D229" s="465">
        <f>IF(LN_IG6=0,0,LN_IG2/LN_IG6)</f>
        <v>1755.9703153988869</v>
      </c>
      <c r="E229" s="465">
        <f t="shared" si="24"/>
        <v>-94.118421802478224</v>
      </c>
      <c r="F229" s="449">
        <f t="shared" si="25"/>
        <v>-5.0872382448450257E-2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2.7004608294930876</v>
      </c>
      <c r="D230" s="466">
        <f>IF(LN_IG3=0,0,LN_IG6/LN_IG3)</f>
        <v>2.5424528301886791</v>
      </c>
      <c r="E230" s="466">
        <f t="shared" si="24"/>
        <v>-0.15800799930440856</v>
      </c>
      <c r="F230" s="449">
        <f t="shared" si="25"/>
        <v>-5.8511494622963581E-2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8163938</v>
      </c>
      <c r="D233" s="448">
        <v>8574168</v>
      </c>
      <c r="E233" s="448">
        <f>D233-C233</f>
        <v>410230</v>
      </c>
      <c r="F233" s="449">
        <f>IF(C233=0,0,E233/C233)</f>
        <v>5.0249034228334412E-2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2105944</v>
      </c>
      <c r="D234" s="448">
        <v>2307600</v>
      </c>
      <c r="E234" s="448">
        <f>D234-C234</f>
        <v>201656</v>
      </c>
      <c r="F234" s="449">
        <f>IF(C234=0,0,E234/C234)</f>
        <v>9.5755632628407972E-2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11079023</v>
      </c>
      <c r="D237" s="448">
        <f>LN_IG1+LN_IG9</f>
        <v>11042371</v>
      </c>
      <c r="E237" s="448">
        <f>D237-C237</f>
        <v>-36652</v>
      </c>
      <c r="F237" s="449">
        <f>IF(C237=0,0,E237/C237)</f>
        <v>-3.3082339480656371E-3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3190096</v>
      </c>
      <c r="D238" s="448">
        <f>LN_IG2+LN_IG10</f>
        <v>3254068</v>
      </c>
      <c r="E238" s="448">
        <f>D238-C238</f>
        <v>63972</v>
      </c>
      <c r="F238" s="449">
        <f>IF(C238=0,0,E238/C238)</f>
        <v>2.0053315009955813E-2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7888927</v>
      </c>
      <c r="D239" s="448">
        <f>LN_IG13-LN_IG14</f>
        <v>7788303</v>
      </c>
      <c r="E239" s="448">
        <f>D239-C239</f>
        <v>-100624</v>
      </c>
      <c r="F239" s="449">
        <f>IF(C239=0,0,E239/C239)</f>
        <v>-1.2755093309901334E-2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7047373</v>
      </c>
      <c r="D243" s="448">
        <v>6576794</v>
      </c>
      <c r="E243" s="441">
        <f>D243-C243</f>
        <v>-470579</v>
      </c>
      <c r="F243" s="503">
        <f>IF(C243=0,0,E243/C243)</f>
        <v>-6.6773675807992566E-2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252028161</v>
      </c>
      <c r="D244" s="448">
        <v>251154393</v>
      </c>
      <c r="E244" s="441">
        <f>D244-C244</f>
        <v>-873768</v>
      </c>
      <c r="F244" s="503">
        <f>IF(C244=0,0,E244/C244)</f>
        <v>-3.4669459021287705E-3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5111796</v>
      </c>
      <c r="D248" s="441">
        <v>4033618</v>
      </c>
      <c r="E248" s="441">
        <f>D248-C248</f>
        <v>-1078178</v>
      </c>
      <c r="F248" s="449">
        <f>IF(C248=0,0,E248/C248)</f>
        <v>-0.21091960633796811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8128981</v>
      </c>
      <c r="D249" s="441">
        <v>8681323</v>
      </c>
      <c r="E249" s="441">
        <f>D249-C249</f>
        <v>552342</v>
      </c>
      <c r="F249" s="449">
        <f>IF(C249=0,0,E249/C249)</f>
        <v>6.7947261778567331E-2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13240777</v>
      </c>
      <c r="D250" s="441">
        <f>LN_IH4+LN_IH5</f>
        <v>12714941</v>
      </c>
      <c r="E250" s="441">
        <f>D250-C250</f>
        <v>-525836</v>
      </c>
      <c r="F250" s="449">
        <f>IF(C250=0,0,E250/C250)</f>
        <v>-3.9713379358326174E-2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5624819.2077036956</v>
      </c>
      <c r="D251" s="441">
        <f>LN_IH6*LN_III10</f>
        <v>5106449.616074929</v>
      </c>
      <c r="E251" s="441">
        <f>D251-C251</f>
        <v>-518369.59162876662</v>
      </c>
      <c r="F251" s="449">
        <f>IF(C251=0,0,E251/C251)</f>
        <v>-9.2157556089769582E-2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145974177</v>
      </c>
      <c r="D254" s="441">
        <f>LN_IF23</f>
        <v>163642787</v>
      </c>
      <c r="E254" s="441">
        <f>D254-C254</f>
        <v>17668610</v>
      </c>
      <c r="F254" s="449">
        <f>IF(C254=0,0,E254/C254)</f>
        <v>0.12103928491407079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36892338</v>
      </c>
      <c r="D255" s="441">
        <f>LN_IF24</f>
        <v>34157147</v>
      </c>
      <c r="E255" s="441">
        <f>D255-C255</f>
        <v>-2735191</v>
      </c>
      <c r="F255" s="449">
        <f>IF(C255=0,0,E255/C255)</f>
        <v>-7.4139811903490643E-2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62011342.281373598</v>
      </c>
      <c r="D256" s="441">
        <f>LN_IH8*LN_III10</f>
        <v>65720607.500229955</v>
      </c>
      <c r="E256" s="441">
        <f>D256-C256</f>
        <v>3709265.218856357</v>
      </c>
      <c r="F256" s="449">
        <f>IF(C256=0,0,E256/C256)</f>
        <v>5.9815915643717847E-2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25119004.281373598</v>
      </c>
      <c r="D257" s="441">
        <f>LN_IH10-LN_IH9</f>
        <v>31563460.500229955</v>
      </c>
      <c r="E257" s="441">
        <f>D257-C257</f>
        <v>6444456.218856357</v>
      </c>
      <c r="F257" s="449">
        <f>IF(C257=0,0,E257/C257)</f>
        <v>0.25655699352840555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247780251</v>
      </c>
      <c r="D261" s="448">
        <f>LN_IA1+LN_IB1+LN_IF1+LN_IG1</f>
        <v>248714955</v>
      </c>
      <c r="E261" s="448">
        <f t="shared" ref="E261:E274" si="26">D261-C261</f>
        <v>934704</v>
      </c>
      <c r="F261" s="503">
        <f t="shared" ref="F261:F274" si="27">IF(C261=0,0,E261/C261)</f>
        <v>3.7723103283158754E-3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124882959</v>
      </c>
      <c r="D262" s="448">
        <f>+LN_IA2+LN_IB2+LN_IF2+LN_IG2</f>
        <v>122450038</v>
      </c>
      <c r="E262" s="448">
        <f t="shared" si="26"/>
        <v>-2432921</v>
      </c>
      <c r="F262" s="503">
        <f t="shared" si="27"/>
        <v>-1.9481609176156694E-2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0.50400691134984765</v>
      </c>
      <c r="D263" s="453">
        <f>IF(LN_IIA1=0,0,LN_IIA2/LN_IIA1)</f>
        <v>0.49233082103969178</v>
      </c>
      <c r="E263" s="454">
        <f t="shared" si="26"/>
        <v>-1.1676090310155873E-2</v>
      </c>
      <c r="F263" s="458">
        <f t="shared" si="27"/>
        <v>-2.3166528170982002E-2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10690</v>
      </c>
      <c r="D264" s="456">
        <f>LN_IA4+LN_IB4+LN_IF4+LN_IG3</f>
        <v>10803</v>
      </c>
      <c r="E264" s="456">
        <f t="shared" si="26"/>
        <v>113</v>
      </c>
      <c r="F264" s="503">
        <f t="shared" si="27"/>
        <v>1.0570626753975678E-2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1.2959810009354535</v>
      </c>
      <c r="D265" s="525">
        <f>IF(LN_IIA4=0,0,LN_IIA6/LN_IIA4)</f>
        <v>1.3528014070165695</v>
      </c>
      <c r="E265" s="525">
        <f t="shared" si="26"/>
        <v>5.6820406081115937E-2</v>
      </c>
      <c r="F265" s="503">
        <f t="shared" si="27"/>
        <v>4.3843548663215229E-2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13854.036899999999</v>
      </c>
      <c r="D266" s="463">
        <f>LN_IA6+LN_IB6+LN_IF6+LN_IG5</f>
        <v>14614.313599999999</v>
      </c>
      <c r="E266" s="463">
        <f t="shared" si="26"/>
        <v>760.27670000000035</v>
      </c>
      <c r="F266" s="503">
        <f t="shared" si="27"/>
        <v>5.4877629205679422E-2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453925211</v>
      </c>
      <c r="D267" s="448">
        <f>LN_IA11+LN_IB13+LN_IF14+LN_IG9</f>
        <v>489888191</v>
      </c>
      <c r="E267" s="448">
        <f t="shared" si="26"/>
        <v>35962980</v>
      </c>
      <c r="F267" s="503">
        <f t="shared" si="27"/>
        <v>7.922666361882244E-2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1.831966870515439</v>
      </c>
      <c r="D268" s="453">
        <f>IF(LN_IIA1=0,0,LN_IIA7/LN_IIA1)</f>
        <v>1.9696772596565413</v>
      </c>
      <c r="E268" s="454">
        <f t="shared" si="26"/>
        <v>0.13771038914110223</v>
      </c>
      <c r="F268" s="458">
        <f t="shared" si="27"/>
        <v>7.5170785759000255E-2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173208789</v>
      </c>
      <c r="D269" s="448">
        <f>LN_IA12+LN_IB14+LN_IF15+LN_IG10</f>
        <v>174180497</v>
      </c>
      <c r="E269" s="448">
        <f t="shared" si="26"/>
        <v>971708</v>
      </c>
      <c r="F269" s="503">
        <f t="shared" si="27"/>
        <v>5.6100386453253248E-3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0.38158001539156633</v>
      </c>
      <c r="D270" s="453">
        <f>IF(LN_IIA7=0,0,LN_IIA9/LN_IIA7)</f>
        <v>0.35555153236996478</v>
      </c>
      <c r="E270" s="454">
        <f t="shared" si="26"/>
        <v>-2.6028483021601545E-2</v>
      </c>
      <c r="F270" s="458">
        <f t="shared" si="27"/>
        <v>-6.8212385270994533E-2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701705462</v>
      </c>
      <c r="D271" s="441">
        <f>LN_IIA1+LN_IIA7</f>
        <v>738603146</v>
      </c>
      <c r="E271" s="441">
        <f t="shared" si="26"/>
        <v>36897684</v>
      </c>
      <c r="F271" s="503">
        <f t="shared" si="27"/>
        <v>5.2582865601237115E-2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298091748</v>
      </c>
      <c r="D272" s="441">
        <f>LN_IIA2+LN_IIA9</f>
        <v>296630535</v>
      </c>
      <c r="E272" s="441">
        <f t="shared" si="26"/>
        <v>-1461213</v>
      </c>
      <c r="F272" s="503">
        <f t="shared" si="27"/>
        <v>-4.9018901388709355E-3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0.42481035725499311</v>
      </c>
      <c r="D273" s="453">
        <f>IF(LN_IIA11=0,0,LN_IIA12/LN_IIA11)</f>
        <v>0.40161016996263915</v>
      </c>
      <c r="E273" s="454">
        <f t="shared" si="26"/>
        <v>-2.3200187292353958E-2</v>
      </c>
      <c r="F273" s="458">
        <f t="shared" si="27"/>
        <v>-5.4613045318073559E-2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48840</v>
      </c>
      <c r="D274" s="508">
        <f>LN_IA8+LN_IB10+LN_IF11+LN_IG6</f>
        <v>47919</v>
      </c>
      <c r="E274" s="528">
        <f t="shared" si="26"/>
        <v>-921</v>
      </c>
      <c r="F274" s="458">
        <f t="shared" si="27"/>
        <v>-1.8857493857493857E-2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181150357</v>
      </c>
      <c r="D277" s="448">
        <f>LN_IA1+LN_IF1+LN_IG1</f>
        <v>184343467</v>
      </c>
      <c r="E277" s="448">
        <f t="shared" ref="E277:E291" si="28">D277-C277</f>
        <v>3193110</v>
      </c>
      <c r="F277" s="503">
        <f t="shared" ref="F277:F291" si="29">IF(C277=0,0,E277/C277)</f>
        <v>1.7626849059977287E-2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75182760</v>
      </c>
      <c r="D278" s="448">
        <f>LN_IA2+LN_IF2+LN_IG2</f>
        <v>74455663</v>
      </c>
      <c r="E278" s="448">
        <f t="shared" si="28"/>
        <v>-727097</v>
      </c>
      <c r="F278" s="503">
        <f t="shared" si="29"/>
        <v>-9.6710602271052569E-3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0.41502959886521229</v>
      </c>
      <c r="D279" s="453">
        <f>IF(D277=0,0,LN_IIB2/D277)</f>
        <v>0.40389640170974977</v>
      </c>
      <c r="E279" s="454">
        <f t="shared" si="28"/>
        <v>-1.1133197155462515E-2</v>
      </c>
      <c r="F279" s="458">
        <f t="shared" si="29"/>
        <v>-2.6825067864805964E-2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7469</v>
      </c>
      <c r="D280" s="456">
        <f>LN_IA4+LN_IF4+LN_IG3</f>
        <v>7863</v>
      </c>
      <c r="E280" s="456">
        <f t="shared" si="28"/>
        <v>394</v>
      </c>
      <c r="F280" s="503">
        <f t="shared" si="29"/>
        <v>5.2751372339001207E-2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1.3067971616012852</v>
      </c>
      <c r="D281" s="525">
        <f>IF(LN_IIB4=0,0,LN_IIB6/LN_IIB4)</f>
        <v>1.3627851456187206</v>
      </c>
      <c r="E281" s="525">
        <f t="shared" si="28"/>
        <v>5.5987984017435322E-2</v>
      </c>
      <c r="F281" s="503">
        <f t="shared" si="29"/>
        <v>4.2843668216137221E-2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9760.4679999999989</v>
      </c>
      <c r="D282" s="463">
        <f>LN_IA6+LN_IF6+LN_IG5</f>
        <v>10715.579599999999</v>
      </c>
      <c r="E282" s="463">
        <f t="shared" si="28"/>
        <v>955.11160000000018</v>
      </c>
      <c r="F282" s="503">
        <f t="shared" si="29"/>
        <v>9.7855102849576506E-2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264348026</v>
      </c>
      <c r="D283" s="448">
        <f>LN_IA11+LN_IF14+LN_IG9</f>
        <v>295039720</v>
      </c>
      <c r="E283" s="448">
        <f t="shared" si="28"/>
        <v>30691694</v>
      </c>
      <c r="F283" s="503">
        <f t="shared" si="29"/>
        <v>0.11610335989420251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1.4592741100697915</v>
      </c>
      <c r="D284" s="453">
        <f>IF(D277=0,0,LN_IIB7/D277)</f>
        <v>1.6004891564722497</v>
      </c>
      <c r="E284" s="454">
        <f t="shared" si="28"/>
        <v>0.14121504640245819</v>
      </c>
      <c r="F284" s="458">
        <f t="shared" si="29"/>
        <v>9.6770747475061022E-2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64057892</v>
      </c>
      <c r="D285" s="448">
        <f>LN_IA12+LN_IF15+LN_IG10</f>
        <v>60964530</v>
      </c>
      <c r="E285" s="448">
        <f t="shared" si="28"/>
        <v>-3093362</v>
      </c>
      <c r="F285" s="503">
        <f t="shared" si="29"/>
        <v>-4.8290099836566583E-2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0.24232407924241509</v>
      </c>
      <c r="D286" s="453">
        <f>IF(LN_IIB7=0,0,LN_IIB9/LN_IIB7)</f>
        <v>0.20663160200938369</v>
      </c>
      <c r="E286" s="454">
        <f t="shared" si="28"/>
        <v>-3.56924772330314E-2</v>
      </c>
      <c r="F286" s="458">
        <f t="shared" si="29"/>
        <v>-0.14729232581680635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445498383</v>
      </c>
      <c r="D287" s="441">
        <f>D277+LN_IIB7</f>
        <v>479383187</v>
      </c>
      <c r="E287" s="441">
        <f t="shared" si="28"/>
        <v>33884804</v>
      </c>
      <c r="F287" s="503">
        <f t="shared" si="29"/>
        <v>7.6060442176734008E-2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139240652</v>
      </c>
      <c r="D288" s="441">
        <f>LN_IIB2+LN_IIB9</f>
        <v>135420193</v>
      </c>
      <c r="E288" s="441">
        <f t="shared" si="28"/>
        <v>-3820459</v>
      </c>
      <c r="F288" s="503">
        <f t="shared" si="29"/>
        <v>-2.7437813204149605E-2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0.31255029718031546</v>
      </c>
      <c r="D289" s="453">
        <f>IF(LN_IIB11=0,0,LN_IIB12/LN_IIB11)</f>
        <v>0.2824884073374897</v>
      </c>
      <c r="E289" s="454">
        <f t="shared" si="28"/>
        <v>-3.0061889842825762E-2</v>
      </c>
      <c r="F289" s="458">
        <f t="shared" si="29"/>
        <v>-9.6182566818941648E-2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37172</v>
      </c>
      <c r="D290" s="508">
        <f>LN_IA8+LN_IF11+LN_IG6</f>
        <v>37026</v>
      </c>
      <c r="E290" s="528">
        <f t="shared" si="28"/>
        <v>-146</v>
      </c>
      <c r="F290" s="458">
        <f t="shared" si="29"/>
        <v>-3.9276875067254923E-3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306257731</v>
      </c>
      <c r="D291" s="516">
        <f>LN_IIB11-LN_IIB12</f>
        <v>343962994</v>
      </c>
      <c r="E291" s="441">
        <f t="shared" si="28"/>
        <v>37705263</v>
      </c>
      <c r="F291" s="503">
        <f t="shared" si="29"/>
        <v>0.12311611816911162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5.4231553200163063</v>
      </c>
      <c r="D294" s="466">
        <f>IF(LN_IA4=0,0,LN_IA8/LN_IA4)</f>
        <v>5.1876616915422886</v>
      </c>
      <c r="E294" s="466">
        <f t="shared" ref="E294:E300" si="30">D294-C294</f>
        <v>-0.23549362847401767</v>
      </c>
      <c r="F294" s="503">
        <f t="shared" ref="F294:F300" si="31">IF(C294=0,0,E294/C294)</f>
        <v>-4.3423729282625376E-2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3.6224774914622788</v>
      </c>
      <c r="D295" s="466">
        <f>IF(LN_IB4=0,0,(LN_IB10)/(LN_IB4))</f>
        <v>3.7051020408163264</v>
      </c>
      <c r="E295" s="466">
        <f t="shared" si="30"/>
        <v>8.2624549354047616E-2</v>
      </c>
      <c r="F295" s="503">
        <f t="shared" si="31"/>
        <v>2.2808851000118903E-2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3.8723404255319149</v>
      </c>
      <c r="D296" s="466">
        <f>IF(LN_IC4=0,0,LN_IC11/LN_IC4)</f>
        <v>5.1573033707865168</v>
      </c>
      <c r="E296" s="466">
        <f t="shared" si="30"/>
        <v>1.2849629452546019</v>
      </c>
      <c r="F296" s="503">
        <f t="shared" si="31"/>
        <v>0.33183109025805652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4.2366345311130589</v>
      </c>
      <c r="D297" s="466">
        <f>IF(LN_ID4=0,0,LN_ID11/LN_ID4)</f>
        <v>3.8742088607594938</v>
      </c>
      <c r="E297" s="466">
        <f t="shared" si="30"/>
        <v>-0.3624256703535651</v>
      </c>
      <c r="F297" s="503">
        <f t="shared" si="31"/>
        <v>-8.554565367675171E-2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4.875</v>
      </c>
      <c r="D298" s="466">
        <f>IF(LN_IE4=0,0,LN_IE11/LN_IE4)</f>
        <v>6.3775510204081636</v>
      </c>
      <c r="E298" s="466">
        <f t="shared" si="30"/>
        <v>1.5025510204081636</v>
      </c>
      <c r="F298" s="503">
        <f t="shared" si="31"/>
        <v>0.30821559392987968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2.7004608294930876</v>
      </c>
      <c r="D299" s="466">
        <f>IF(LN_IG3=0,0,LN_IG6/LN_IG3)</f>
        <v>2.5424528301886791</v>
      </c>
      <c r="E299" s="466">
        <f t="shared" si="30"/>
        <v>-0.15800799930440856</v>
      </c>
      <c r="F299" s="503">
        <f t="shared" si="31"/>
        <v>-5.8511494622963581E-2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4.568755846585594</v>
      </c>
      <c r="D300" s="466">
        <f>IF(LN_IIA4=0,0,LN_IIA14/LN_IIA4)</f>
        <v>4.4357123021382945</v>
      </c>
      <c r="E300" s="466">
        <f t="shared" si="30"/>
        <v>-0.13304354444729949</v>
      </c>
      <c r="F300" s="503">
        <f t="shared" si="31"/>
        <v>-2.9120300780950688E-2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701705462</v>
      </c>
      <c r="D304" s="441">
        <f>LN_IIA11</f>
        <v>738603146</v>
      </c>
      <c r="E304" s="441">
        <f t="shared" ref="E304:E316" si="32">D304-C304</f>
        <v>36897684</v>
      </c>
      <c r="F304" s="449">
        <f>IF(C304=0,0,E304/C304)</f>
        <v>5.2582865601237115E-2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306257731</v>
      </c>
      <c r="D305" s="441">
        <f>LN_IIB14</f>
        <v>343962994</v>
      </c>
      <c r="E305" s="441">
        <f t="shared" si="32"/>
        <v>37705263</v>
      </c>
      <c r="F305" s="449">
        <f>IF(C305=0,0,E305/C305)</f>
        <v>0.12311611816911162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13240777</v>
      </c>
      <c r="D306" s="441">
        <f>LN_IH6</f>
        <v>12714941</v>
      </c>
      <c r="E306" s="441">
        <f t="shared" si="32"/>
        <v>-525836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77682175</v>
      </c>
      <c r="D307" s="441">
        <f>LN_IB32-LN_IB33</f>
        <v>78959459</v>
      </c>
      <c r="E307" s="441">
        <f t="shared" si="32"/>
        <v>1277284</v>
      </c>
      <c r="F307" s="449">
        <f t="shared" ref="F307:F316" si="33">IF(C307=0,0,E307/C307)</f>
        <v>1.6442433544117424E-2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6433031</v>
      </c>
      <c r="D308" s="441">
        <v>6335217</v>
      </c>
      <c r="E308" s="441">
        <f t="shared" si="32"/>
        <v>-97814</v>
      </c>
      <c r="F308" s="449">
        <f t="shared" si="33"/>
        <v>-1.52049632591542E-2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403613714</v>
      </c>
      <c r="D309" s="441">
        <f>LN_III2+LN_III3+LN_III4+LN_III5</f>
        <v>441972611</v>
      </c>
      <c r="E309" s="441">
        <f t="shared" si="32"/>
        <v>38358897</v>
      </c>
      <c r="F309" s="449">
        <f t="shared" si="33"/>
        <v>9.5038636372994992E-2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298091748</v>
      </c>
      <c r="D310" s="441">
        <f>LN_III1-LN_III6</f>
        <v>296630535</v>
      </c>
      <c r="E310" s="441">
        <f t="shared" si="32"/>
        <v>-1461213</v>
      </c>
      <c r="F310" s="449">
        <f t="shared" si="33"/>
        <v>-4.9018901388709355E-3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298091748</v>
      </c>
      <c r="D312" s="441">
        <f>LN_III7+LN_III8</f>
        <v>296630535</v>
      </c>
      <c r="E312" s="441">
        <f t="shared" si="32"/>
        <v>-1461213</v>
      </c>
      <c r="F312" s="449">
        <f t="shared" si="33"/>
        <v>-4.9018901388709355E-3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0.42481035725499311</v>
      </c>
      <c r="D313" s="532">
        <f>IF(LN_III1=0,0,LN_III9/LN_III1)</f>
        <v>0.40161016996263915</v>
      </c>
      <c r="E313" s="532">
        <f t="shared" si="32"/>
        <v>-2.3200187292353958E-2</v>
      </c>
      <c r="F313" s="449">
        <f t="shared" si="33"/>
        <v>-5.4613045318073559E-2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5624819.2077036956</v>
      </c>
      <c r="D314" s="441">
        <f>D313*LN_III5</f>
        <v>5106449.616074929</v>
      </c>
      <c r="E314" s="441">
        <f t="shared" si="32"/>
        <v>-518369.59162876662</v>
      </c>
      <c r="F314" s="449">
        <f t="shared" si="33"/>
        <v>-9.2157556089769582E-2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25119004.281373598</v>
      </c>
      <c r="D315" s="441">
        <f>D313*LN_IH8-LN_IH9</f>
        <v>31563460.500229955</v>
      </c>
      <c r="E315" s="441">
        <f t="shared" si="32"/>
        <v>6444456.218856357</v>
      </c>
      <c r="F315" s="449">
        <f t="shared" si="33"/>
        <v>0.25655699352840555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30743823.489077292</v>
      </c>
      <c r="D318" s="441">
        <f>D314+D315+D316</f>
        <v>36669910.116304882</v>
      </c>
      <c r="E318" s="441">
        <f>D318-C318</f>
        <v>5926086.6272275895</v>
      </c>
      <c r="F318" s="449">
        <f>IF(C318=0,0,E318/C318)</f>
        <v>0.19275698188070256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13990113.153104283</v>
      </c>
      <c r="D322" s="441">
        <f>LN_ID22</f>
        <v>19733532.73032045</v>
      </c>
      <c r="E322" s="441">
        <f>LN_IV2-C322</f>
        <v>5743419.577216167</v>
      </c>
      <c r="F322" s="449">
        <f>IF(C322=0,0,E322/C322)</f>
        <v>0.41053417612578441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-205204.92744615901</v>
      </c>
      <c r="D323" s="441">
        <f>LN_IE10+LN_IE22</f>
        <v>478699.19226073014</v>
      </c>
      <c r="E323" s="441">
        <f>LN_IV3-C323</f>
        <v>683904.11970688915</v>
      </c>
      <c r="F323" s="449">
        <f>IF(C323=0,0,E323/C323)</f>
        <v>-3.3327860505997333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3811548.8774421089</v>
      </c>
      <c r="D324" s="441">
        <f>LN_IC10+LN_IC22</f>
        <v>1247055.7534456463</v>
      </c>
      <c r="E324" s="441">
        <f>LN_IV1-C324</f>
        <v>-2564493.1239964627</v>
      </c>
      <c r="F324" s="449">
        <f>IF(C324=0,0,E324/C324)</f>
        <v>-0.67282178622289301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17596457.103100233</v>
      </c>
      <c r="D325" s="516">
        <f>LN_IV1+LN_IV2+LN_IV3</f>
        <v>21459287.676026829</v>
      </c>
      <c r="E325" s="441">
        <f>LN_IV4-C325</f>
        <v>3862830.5729265958</v>
      </c>
      <c r="F325" s="449">
        <f>IF(C325=0,0,E325/C325)</f>
        <v>0.21952320005633535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10032789</v>
      </c>
      <c r="D329" s="518">
        <v>9607784</v>
      </c>
      <c r="E329" s="518">
        <f t="shared" ref="E329:E335" si="34">D329-C329</f>
        <v>-425005</v>
      </c>
      <c r="F329" s="542">
        <f t="shared" ref="F329:F335" si="35">IF(C329=0,0,E329/C329)</f>
        <v>-4.2361600547963285E-2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-4473809</v>
      </c>
      <c r="D330" s="516">
        <v>-11102535</v>
      </c>
      <c r="E330" s="518">
        <f t="shared" si="34"/>
        <v>-6628726</v>
      </c>
      <c r="F330" s="543">
        <f t="shared" si="35"/>
        <v>1.4816738935435108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293617939</v>
      </c>
      <c r="D331" s="516">
        <v>285528000</v>
      </c>
      <c r="E331" s="518">
        <f t="shared" si="34"/>
        <v>-8089939</v>
      </c>
      <c r="F331" s="542">
        <f t="shared" si="35"/>
        <v>-2.7552604679239302E-2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701705462</v>
      </c>
      <c r="D333" s="516">
        <v>738603146</v>
      </c>
      <c r="E333" s="518">
        <f t="shared" si="34"/>
        <v>36897684</v>
      </c>
      <c r="F333" s="542">
        <f t="shared" si="35"/>
        <v>5.2582865601237115E-2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58482</v>
      </c>
      <c r="D334" s="516">
        <v>81470</v>
      </c>
      <c r="E334" s="516">
        <f t="shared" si="34"/>
        <v>22988</v>
      </c>
      <c r="F334" s="543">
        <f t="shared" si="35"/>
        <v>0.39307821209944938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13299258</v>
      </c>
      <c r="D335" s="516">
        <v>12796411</v>
      </c>
      <c r="E335" s="516">
        <f t="shared" si="34"/>
        <v>-502847</v>
      </c>
      <c r="F335" s="542">
        <f t="shared" si="35"/>
        <v>-3.7810154521402621E-2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80" orientation="portrait" horizontalDpi="1200" verticalDpi="1200"/>
  <headerFooter>
    <oddHeader>&amp;LOFFICE OF HEALTH CARE ACCESS&amp;CTWELVE MONTHS ACTUAL FILING&amp;RWILLIAM W. BACKUS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66629894</v>
      </c>
      <c r="D14" s="589">
        <v>64371488</v>
      </c>
      <c r="E14" s="590">
        <f t="shared" ref="E14:E22" si="0">D14-C14</f>
        <v>-2258406</v>
      </c>
    </row>
    <row r="15" spans="1:5" s="421" customFormat="1" x14ac:dyDescent="0.2">
      <c r="A15" s="588">
        <v>2</v>
      </c>
      <c r="B15" s="587" t="s">
        <v>636</v>
      </c>
      <c r="C15" s="589">
        <v>134661462</v>
      </c>
      <c r="D15" s="591">
        <v>134881347</v>
      </c>
      <c r="E15" s="590">
        <f t="shared" si="0"/>
        <v>219885</v>
      </c>
    </row>
    <row r="16" spans="1:5" s="421" customFormat="1" x14ac:dyDescent="0.2">
      <c r="A16" s="588">
        <v>3</v>
      </c>
      <c r="B16" s="587" t="s">
        <v>778</v>
      </c>
      <c r="C16" s="589">
        <v>43573810</v>
      </c>
      <c r="D16" s="591">
        <v>46993917</v>
      </c>
      <c r="E16" s="590">
        <f t="shared" si="0"/>
        <v>3420107</v>
      </c>
    </row>
    <row r="17" spans="1:5" s="421" customFormat="1" x14ac:dyDescent="0.2">
      <c r="A17" s="588">
        <v>4</v>
      </c>
      <c r="B17" s="587" t="s">
        <v>115</v>
      </c>
      <c r="C17" s="589">
        <v>41698751</v>
      </c>
      <c r="D17" s="591">
        <v>44691115</v>
      </c>
      <c r="E17" s="590">
        <f t="shared" si="0"/>
        <v>2992364</v>
      </c>
    </row>
    <row r="18" spans="1:5" s="421" customFormat="1" x14ac:dyDescent="0.2">
      <c r="A18" s="588">
        <v>5</v>
      </c>
      <c r="B18" s="587" t="s">
        <v>744</v>
      </c>
      <c r="C18" s="589">
        <v>1875059</v>
      </c>
      <c r="D18" s="591">
        <v>2302802</v>
      </c>
      <c r="E18" s="590">
        <f t="shared" si="0"/>
        <v>427743</v>
      </c>
    </row>
    <row r="19" spans="1:5" s="421" customFormat="1" x14ac:dyDescent="0.2">
      <c r="A19" s="588">
        <v>6</v>
      </c>
      <c r="B19" s="587" t="s">
        <v>424</v>
      </c>
      <c r="C19" s="589">
        <v>2915085</v>
      </c>
      <c r="D19" s="591">
        <v>2468203</v>
      </c>
      <c r="E19" s="590">
        <f t="shared" si="0"/>
        <v>-446882</v>
      </c>
    </row>
    <row r="20" spans="1:5" s="421" customFormat="1" x14ac:dyDescent="0.2">
      <c r="A20" s="588">
        <v>7</v>
      </c>
      <c r="B20" s="587" t="s">
        <v>759</v>
      </c>
      <c r="C20" s="589">
        <v>2221992</v>
      </c>
      <c r="D20" s="591">
        <v>2087344</v>
      </c>
      <c r="E20" s="590">
        <f t="shared" si="0"/>
        <v>-134648</v>
      </c>
    </row>
    <row r="21" spans="1:5" s="421" customFormat="1" x14ac:dyDescent="0.2">
      <c r="A21" s="588"/>
      <c r="B21" s="592" t="s">
        <v>779</v>
      </c>
      <c r="C21" s="593">
        <f>SUM(C15+C16+C19)</f>
        <v>181150357</v>
      </c>
      <c r="D21" s="593">
        <f>SUM(D15+D16+D19)</f>
        <v>184343467</v>
      </c>
      <c r="E21" s="593">
        <f t="shared" si="0"/>
        <v>3193110</v>
      </c>
    </row>
    <row r="22" spans="1:5" s="421" customFormat="1" x14ac:dyDescent="0.2">
      <c r="A22" s="588"/>
      <c r="B22" s="592" t="s">
        <v>465</v>
      </c>
      <c r="C22" s="593">
        <f>SUM(C14+C21)</f>
        <v>247780251</v>
      </c>
      <c r="D22" s="593">
        <f>SUM(D14+D21)</f>
        <v>248714955</v>
      </c>
      <c r="E22" s="593">
        <f t="shared" si="0"/>
        <v>934704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189577185</v>
      </c>
      <c r="D25" s="589">
        <v>194848471</v>
      </c>
      <c r="E25" s="590">
        <f t="shared" ref="E25:E33" si="1">D25-C25</f>
        <v>5271286</v>
      </c>
    </row>
    <row r="26" spans="1:5" s="421" customFormat="1" x14ac:dyDescent="0.2">
      <c r="A26" s="588">
        <v>2</v>
      </c>
      <c r="B26" s="587" t="s">
        <v>636</v>
      </c>
      <c r="C26" s="589">
        <v>153783721</v>
      </c>
      <c r="D26" s="591">
        <v>169816682</v>
      </c>
      <c r="E26" s="590">
        <f t="shared" si="1"/>
        <v>16032961</v>
      </c>
    </row>
    <row r="27" spans="1:5" s="421" customFormat="1" x14ac:dyDescent="0.2">
      <c r="A27" s="588">
        <v>3</v>
      </c>
      <c r="B27" s="587" t="s">
        <v>778</v>
      </c>
      <c r="C27" s="589">
        <v>102400367</v>
      </c>
      <c r="D27" s="591">
        <v>116648870</v>
      </c>
      <c r="E27" s="590">
        <f t="shared" si="1"/>
        <v>14248503</v>
      </c>
    </row>
    <row r="28" spans="1:5" s="421" customFormat="1" x14ac:dyDescent="0.2">
      <c r="A28" s="588">
        <v>4</v>
      </c>
      <c r="B28" s="587" t="s">
        <v>115</v>
      </c>
      <c r="C28" s="589">
        <v>100205817</v>
      </c>
      <c r="D28" s="591">
        <v>113692625</v>
      </c>
      <c r="E28" s="590">
        <f t="shared" si="1"/>
        <v>13486808</v>
      </c>
    </row>
    <row r="29" spans="1:5" s="421" customFormat="1" x14ac:dyDescent="0.2">
      <c r="A29" s="588">
        <v>5</v>
      </c>
      <c r="B29" s="587" t="s">
        <v>744</v>
      </c>
      <c r="C29" s="589">
        <v>2194550</v>
      </c>
      <c r="D29" s="591">
        <v>2956245</v>
      </c>
      <c r="E29" s="590">
        <f t="shared" si="1"/>
        <v>761695</v>
      </c>
    </row>
    <row r="30" spans="1:5" s="421" customFormat="1" x14ac:dyDescent="0.2">
      <c r="A30" s="588">
        <v>6</v>
      </c>
      <c r="B30" s="587" t="s">
        <v>424</v>
      </c>
      <c r="C30" s="589">
        <v>8163938</v>
      </c>
      <c r="D30" s="591">
        <v>8574168</v>
      </c>
      <c r="E30" s="590">
        <f t="shared" si="1"/>
        <v>410230</v>
      </c>
    </row>
    <row r="31" spans="1:5" s="421" customFormat="1" x14ac:dyDescent="0.2">
      <c r="A31" s="588">
        <v>7</v>
      </c>
      <c r="B31" s="587" t="s">
        <v>759</v>
      </c>
      <c r="C31" s="590">
        <v>10795864</v>
      </c>
      <c r="D31" s="594">
        <v>8869175</v>
      </c>
      <c r="E31" s="590">
        <f t="shared" si="1"/>
        <v>-1926689</v>
      </c>
    </row>
    <row r="32" spans="1:5" s="421" customFormat="1" x14ac:dyDescent="0.2">
      <c r="A32" s="588"/>
      <c r="B32" s="592" t="s">
        <v>781</v>
      </c>
      <c r="C32" s="593">
        <f>SUM(C26+C27+C30)</f>
        <v>264348026</v>
      </c>
      <c r="D32" s="593">
        <f>SUM(D26+D27+D30)</f>
        <v>295039720</v>
      </c>
      <c r="E32" s="593">
        <f t="shared" si="1"/>
        <v>30691694</v>
      </c>
    </row>
    <row r="33" spans="1:5" s="421" customFormat="1" x14ac:dyDescent="0.2">
      <c r="A33" s="588"/>
      <c r="B33" s="592" t="s">
        <v>467</v>
      </c>
      <c r="C33" s="593">
        <f>SUM(C25+C32)</f>
        <v>453925211</v>
      </c>
      <c r="D33" s="593">
        <f>SUM(D25+D32)</f>
        <v>489888191</v>
      </c>
      <c r="E33" s="593">
        <f t="shared" si="1"/>
        <v>35962980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256207079</v>
      </c>
      <c r="D36" s="590">
        <f t="shared" si="2"/>
        <v>259219959</v>
      </c>
      <c r="E36" s="590">
        <f t="shared" ref="E36:E44" si="3">D36-C36</f>
        <v>3012880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288445183</v>
      </c>
      <c r="D37" s="590">
        <f t="shared" si="2"/>
        <v>304698029</v>
      </c>
      <c r="E37" s="590">
        <f t="shared" si="3"/>
        <v>16252846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145974177</v>
      </c>
      <c r="D38" s="590">
        <f t="shared" si="2"/>
        <v>163642787</v>
      </c>
      <c r="E38" s="590">
        <f t="shared" si="3"/>
        <v>17668610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141904568</v>
      </c>
      <c r="D39" s="590">
        <f t="shared" si="2"/>
        <v>158383740</v>
      </c>
      <c r="E39" s="590">
        <f t="shared" si="3"/>
        <v>16479172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4069609</v>
      </c>
      <c r="D40" s="590">
        <f t="shared" si="2"/>
        <v>5259047</v>
      </c>
      <c r="E40" s="590">
        <f t="shared" si="3"/>
        <v>1189438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11079023</v>
      </c>
      <c r="D41" s="590">
        <f t="shared" si="2"/>
        <v>11042371</v>
      </c>
      <c r="E41" s="590">
        <f t="shared" si="3"/>
        <v>-36652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13017856</v>
      </c>
      <c r="D42" s="590">
        <f t="shared" si="2"/>
        <v>10956519</v>
      </c>
      <c r="E42" s="590">
        <f t="shared" si="3"/>
        <v>-2061337</v>
      </c>
    </row>
    <row r="43" spans="1:5" s="421" customFormat="1" x14ac:dyDescent="0.2">
      <c r="A43" s="588"/>
      <c r="B43" s="592" t="s">
        <v>789</v>
      </c>
      <c r="C43" s="593">
        <f>SUM(C37+C38+C41)</f>
        <v>445498383</v>
      </c>
      <c r="D43" s="593">
        <f>SUM(D37+D38+D41)</f>
        <v>479383187</v>
      </c>
      <c r="E43" s="593">
        <f t="shared" si="3"/>
        <v>33884804</v>
      </c>
    </row>
    <row r="44" spans="1:5" s="421" customFormat="1" x14ac:dyDescent="0.2">
      <c r="A44" s="588"/>
      <c r="B44" s="592" t="s">
        <v>726</v>
      </c>
      <c r="C44" s="593">
        <f>SUM(C36+C43)</f>
        <v>701705462</v>
      </c>
      <c r="D44" s="593">
        <f>SUM(D36+D43)</f>
        <v>738603146</v>
      </c>
      <c r="E44" s="593">
        <f t="shared" si="3"/>
        <v>36897684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49700199</v>
      </c>
      <c r="D47" s="589">
        <v>47994375</v>
      </c>
      <c r="E47" s="590">
        <f t="shared" ref="E47:E55" si="4">D47-C47</f>
        <v>-1705824</v>
      </c>
    </row>
    <row r="48" spans="1:5" s="421" customFormat="1" x14ac:dyDescent="0.2">
      <c r="A48" s="588">
        <v>2</v>
      </c>
      <c r="B48" s="587" t="s">
        <v>636</v>
      </c>
      <c r="C48" s="589">
        <v>60975522</v>
      </c>
      <c r="D48" s="591">
        <v>59500042</v>
      </c>
      <c r="E48" s="590">
        <f t="shared" si="4"/>
        <v>-1475480</v>
      </c>
    </row>
    <row r="49" spans="1:5" s="421" customFormat="1" x14ac:dyDescent="0.2">
      <c r="A49" s="588">
        <v>3</v>
      </c>
      <c r="B49" s="587" t="s">
        <v>778</v>
      </c>
      <c r="C49" s="589">
        <v>13123086</v>
      </c>
      <c r="D49" s="591">
        <v>14009153</v>
      </c>
      <c r="E49" s="590">
        <f t="shared" si="4"/>
        <v>886067</v>
      </c>
    </row>
    <row r="50" spans="1:5" s="421" customFormat="1" x14ac:dyDescent="0.2">
      <c r="A50" s="588">
        <v>4</v>
      </c>
      <c r="B50" s="587" t="s">
        <v>115</v>
      </c>
      <c r="C50" s="589">
        <v>12041319</v>
      </c>
      <c r="D50" s="591">
        <v>13444325</v>
      </c>
      <c r="E50" s="590">
        <f t="shared" si="4"/>
        <v>1403006</v>
      </c>
    </row>
    <row r="51" spans="1:5" s="421" customFormat="1" x14ac:dyDescent="0.2">
      <c r="A51" s="588">
        <v>5</v>
      </c>
      <c r="B51" s="587" t="s">
        <v>744</v>
      </c>
      <c r="C51" s="589">
        <v>1081767</v>
      </c>
      <c r="D51" s="591">
        <v>564828</v>
      </c>
      <c r="E51" s="590">
        <f t="shared" si="4"/>
        <v>-516939</v>
      </c>
    </row>
    <row r="52" spans="1:5" s="421" customFormat="1" x14ac:dyDescent="0.2">
      <c r="A52" s="588">
        <v>6</v>
      </c>
      <c r="B52" s="587" t="s">
        <v>424</v>
      </c>
      <c r="C52" s="589">
        <v>1084152</v>
      </c>
      <c r="D52" s="591">
        <v>946468</v>
      </c>
      <c r="E52" s="590">
        <f t="shared" si="4"/>
        <v>-137684</v>
      </c>
    </row>
    <row r="53" spans="1:5" s="421" customFormat="1" x14ac:dyDescent="0.2">
      <c r="A53" s="588">
        <v>7</v>
      </c>
      <c r="B53" s="587" t="s">
        <v>759</v>
      </c>
      <c r="C53" s="589">
        <v>392909</v>
      </c>
      <c r="D53" s="591">
        <v>364512</v>
      </c>
      <c r="E53" s="590">
        <f t="shared" si="4"/>
        <v>-28397</v>
      </c>
    </row>
    <row r="54" spans="1:5" s="421" customFormat="1" x14ac:dyDescent="0.2">
      <c r="A54" s="588"/>
      <c r="B54" s="592" t="s">
        <v>791</v>
      </c>
      <c r="C54" s="593">
        <f>SUM(C48+C49+C52)</f>
        <v>75182760</v>
      </c>
      <c r="D54" s="593">
        <f>SUM(D48+D49+D52)</f>
        <v>74455663</v>
      </c>
      <c r="E54" s="593">
        <f t="shared" si="4"/>
        <v>-727097</v>
      </c>
    </row>
    <row r="55" spans="1:5" s="421" customFormat="1" x14ac:dyDescent="0.2">
      <c r="A55" s="588"/>
      <c r="B55" s="592" t="s">
        <v>466</v>
      </c>
      <c r="C55" s="593">
        <f>SUM(C47+C54)</f>
        <v>124882959</v>
      </c>
      <c r="D55" s="593">
        <f>SUM(D47+D54)</f>
        <v>122450038</v>
      </c>
      <c r="E55" s="593">
        <f t="shared" si="4"/>
        <v>-2432921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109150897</v>
      </c>
      <c r="D58" s="589">
        <v>113215967</v>
      </c>
      <c r="E58" s="590">
        <f t="shared" ref="E58:E66" si="5">D58-C58</f>
        <v>4065070</v>
      </c>
    </row>
    <row r="59" spans="1:5" s="421" customFormat="1" x14ac:dyDescent="0.2">
      <c r="A59" s="588">
        <v>2</v>
      </c>
      <c r="B59" s="587" t="s">
        <v>636</v>
      </c>
      <c r="C59" s="589">
        <v>38182696</v>
      </c>
      <c r="D59" s="591">
        <v>38508936</v>
      </c>
      <c r="E59" s="590">
        <f t="shared" si="5"/>
        <v>326240</v>
      </c>
    </row>
    <row r="60" spans="1:5" s="421" customFormat="1" x14ac:dyDescent="0.2">
      <c r="A60" s="588">
        <v>3</v>
      </c>
      <c r="B60" s="587" t="s">
        <v>778</v>
      </c>
      <c r="C60" s="589">
        <f>C61+C62</f>
        <v>23769252</v>
      </c>
      <c r="D60" s="591">
        <f>D61+D62</f>
        <v>20147994</v>
      </c>
      <c r="E60" s="590">
        <f t="shared" si="5"/>
        <v>-3621258</v>
      </c>
    </row>
    <row r="61" spans="1:5" s="421" customFormat="1" x14ac:dyDescent="0.2">
      <c r="A61" s="588">
        <v>4</v>
      </c>
      <c r="B61" s="587" t="s">
        <v>115</v>
      </c>
      <c r="C61" s="589">
        <v>23382850</v>
      </c>
      <c r="D61" s="591">
        <v>19412267</v>
      </c>
      <c r="E61" s="590">
        <f t="shared" si="5"/>
        <v>-3970583</v>
      </c>
    </row>
    <row r="62" spans="1:5" s="421" customFormat="1" x14ac:dyDescent="0.2">
      <c r="A62" s="588">
        <v>5</v>
      </c>
      <c r="B62" s="587" t="s">
        <v>744</v>
      </c>
      <c r="C62" s="589">
        <v>386402</v>
      </c>
      <c r="D62" s="591">
        <v>735727</v>
      </c>
      <c r="E62" s="590">
        <f t="shared" si="5"/>
        <v>349325</v>
      </c>
    </row>
    <row r="63" spans="1:5" s="421" customFormat="1" x14ac:dyDescent="0.2">
      <c r="A63" s="588">
        <v>6</v>
      </c>
      <c r="B63" s="587" t="s">
        <v>424</v>
      </c>
      <c r="C63" s="589">
        <v>2105944</v>
      </c>
      <c r="D63" s="591">
        <v>2307600</v>
      </c>
      <c r="E63" s="590">
        <f t="shared" si="5"/>
        <v>201656</v>
      </c>
    </row>
    <row r="64" spans="1:5" s="421" customFormat="1" x14ac:dyDescent="0.2">
      <c r="A64" s="588">
        <v>7</v>
      </c>
      <c r="B64" s="587" t="s">
        <v>759</v>
      </c>
      <c r="C64" s="589">
        <v>1791848</v>
      </c>
      <c r="D64" s="591">
        <v>1431552</v>
      </c>
      <c r="E64" s="590">
        <f t="shared" si="5"/>
        <v>-360296</v>
      </c>
    </row>
    <row r="65" spans="1:5" s="421" customFormat="1" x14ac:dyDescent="0.2">
      <c r="A65" s="588"/>
      <c r="B65" s="592" t="s">
        <v>793</v>
      </c>
      <c r="C65" s="593">
        <f>SUM(C59+C60+C63)</f>
        <v>64057892</v>
      </c>
      <c r="D65" s="593">
        <f>SUM(D59+D60+D63)</f>
        <v>60964530</v>
      </c>
      <c r="E65" s="593">
        <f t="shared" si="5"/>
        <v>-3093362</v>
      </c>
    </row>
    <row r="66" spans="1:5" s="421" customFormat="1" x14ac:dyDescent="0.2">
      <c r="A66" s="588"/>
      <c r="B66" s="592" t="s">
        <v>468</v>
      </c>
      <c r="C66" s="593">
        <f>SUM(C58+C65)</f>
        <v>173208789</v>
      </c>
      <c r="D66" s="593">
        <f>SUM(D58+D65)</f>
        <v>174180497</v>
      </c>
      <c r="E66" s="593">
        <f t="shared" si="5"/>
        <v>971708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158851096</v>
      </c>
      <c r="D69" s="590">
        <f t="shared" si="6"/>
        <v>161210342</v>
      </c>
      <c r="E69" s="590">
        <f t="shared" ref="E69:E77" si="7">D69-C69</f>
        <v>2359246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99158218</v>
      </c>
      <c r="D70" s="590">
        <f t="shared" si="6"/>
        <v>98008978</v>
      </c>
      <c r="E70" s="590">
        <f t="shared" si="7"/>
        <v>-1149240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36892338</v>
      </c>
      <c r="D71" s="590">
        <f t="shared" si="6"/>
        <v>34157147</v>
      </c>
      <c r="E71" s="590">
        <f t="shared" si="7"/>
        <v>-2735191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35424169</v>
      </c>
      <c r="D72" s="590">
        <f t="shared" si="6"/>
        <v>32856592</v>
      </c>
      <c r="E72" s="590">
        <f t="shared" si="7"/>
        <v>-2567577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1468169</v>
      </c>
      <c r="D73" s="590">
        <f t="shared" si="6"/>
        <v>1300555</v>
      </c>
      <c r="E73" s="590">
        <f t="shared" si="7"/>
        <v>-167614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3190096</v>
      </c>
      <c r="D74" s="590">
        <f t="shared" si="6"/>
        <v>3254068</v>
      </c>
      <c r="E74" s="590">
        <f t="shared" si="7"/>
        <v>63972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2184757</v>
      </c>
      <c r="D75" s="590">
        <f t="shared" si="6"/>
        <v>1796064</v>
      </c>
      <c r="E75" s="590">
        <f t="shared" si="7"/>
        <v>-388693</v>
      </c>
    </row>
    <row r="76" spans="1:5" s="421" customFormat="1" x14ac:dyDescent="0.2">
      <c r="A76" s="588"/>
      <c r="B76" s="592" t="s">
        <v>794</v>
      </c>
      <c r="C76" s="593">
        <f>SUM(C70+C71+C74)</f>
        <v>139240652</v>
      </c>
      <c r="D76" s="593">
        <f>SUM(D70+D71+D74)</f>
        <v>135420193</v>
      </c>
      <c r="E76" s="593">
        <f t="shared" si="7"/>
        <v>-3820459</v>
      </c>
    </row>
    <row r="77" spans="1:5" s="421" customFormat="1" x14ac:dyDescent="0.2">
      <c r="A77" s="588"/>
      <c r="B77" s="592" t="s">
        <v>727</v>
      </c>
      <c r="C77" s="593">
        <f>SUM(C69+C76)</f>
        <v>298091748</v>
      </c>
      <c r="D77" s="593">
        <f>SUM(D69+D76)</f>
        <v>296630535</v>
      </c>
      <c r="E77" s="593">
        <f t="shared" si="7"/>
        <v>-1461213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9.4954218840040891E-2</v>
      </c>
      <c r="D83" s="599">
        <f t="shared" si="8"/>
        <v>8.7153010853815133E-2</v>
      </c>
      <c r="E83" s="599">
        <f t="shared" ref="E83:E91" si="9">D83-C83</f>
        <v>-7.8012079862257583E-3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0.19190596239081292</v>
      </c>
      <c r="D84" s="599">
        <f t="shared" si="8"/>
        <v>0.18261680542584638</v>
      </c>
      <c r="E84" s="599">
        <f t="shared" si="9"/>
        <v>-9.289156964966544E-3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6.2097008445403834E-2</v>
      </c>
      <c r="D85" s="599">
        <f t="shared" si="8"/>
        <v>6.3625395118476785E-2</v>
      </c>
      <c r="E85" s="599">
        <f t="shared" si="9"/>
        <v>1.5283866730729512E-3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5.9424863077380465E-2</v>
      </c>
      <c r="D86" s="599">
        <f t="shared" si="8"/>
        <v>6.050761527625554E-2</v>
      </c>
      <c r="E86" s="599">
        <f t="shared" si="9"/>
        <v>1.0827521988750755E-3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2.6721453680233717E-3</v>
      </c>
      <c r="D87" s="599">
        <f t="shared" si="8"/>
        <v>3.1177798422212517E-3</v>
      </c>
      <c r="E87" s="599">
        <f t="shared" si="9"/>
        <v>4.4563447419788006E-4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4.1542857478854851E-3</v>
      </c>
      <c r="D88" s="599">
        <f t="shared" si="8"/>
        <v>3.3417174207378748E-3</v>
      </c>
      <c r="E88" s="599">
        <f t="shared" si="9"/>
        <v>-8.1256832714761027E-4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3.1665593619107386E-3</v>
      </c>
      <c r="D89" s="599">
        <f t="shared" si="8"/>
        <v>2.8260697389447622E-3</v>
      </c>
      <c r="E89" s="599">
        <f t="shared" si="9"/>
        <v>-3.4048962296597636E-4</v>
      </c>
    </row>
    <row r="90" spans="1:5" s="421" customFormat="1" x14ac:dyDescent="0.2">
      <c r="A90" s="588"/>
      <c r="B90" s="592" t="s">
        <v>797</v>
      </c>
      <c r="C90" s="600">
        <f>SUM(C84+C85+C88)</f>
        <v>0.25815725658410227</v>
      </c>
      <c r="D90" s="600">
        <f>SUM(D84+D85+D88)</f>
        <v>0.24958391796506105</v>
      </c>
      <c r="E90" s="601">
        <f t="shared" si="9"/>
        <v>-8.5733386190412209E-3</v>
      </c>
    </row>
    <row r="91" spans="1:5" s="421" customFormat="1" x14ac:dyDescent="0.2">
      <c r="A91" s="588"/>
      <c r="B91" s="592" t="s">
        <v>798</v>
      </c>
      <c r="C91" s="600">
        <f>SUM(C83+C90)</f>
        <v>0.35311147542414317</v>
      </c>
      <c r="D91" s="600">
        <f>SUM(D83+D90)</f>
        <v>0.33673692881887618</v>
      </c>
      <c r="E91" s="601">
        <f t="shared" si="9"/>
        <v>-1.6374546605266993E-2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0.27016632371603228</v>
      </c>
      <c r="D95" s="599">
        <f t="shared" si="10"/>
        <v>0.26380671684818413</v>
      </c>
      <c r="E95" s="599">
        <f t="shared" ref="E95:E103" si="11">D95-C95</f>
        <v>-6.3596068678481443E-3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0.21915708132253359</v>
      </c>
      <c r="D96" s="599">
        <f t="shared" si="10"/>
        <v>0.22991600146799265</v>
      </c>
      <c r="E96" s="599">
        <f t="shared" si="11"/>
        <v>1.0758920145459067E-2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0.14593069677431128</v>
      </c>
      <c r="D97" s="599">
        <f t="shared" si="10"/>
        <v>0.15793172643756923</v>
      </c>
      <c r="E97" s="599">
        <f t="shared" si="11"/>
        <v>1.2001029663257945E-2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0.14280324498884975</v>
      </c>
      <c r="D98" s="599">
        <f t="shared" si="10"/>
        <v>0.15392924551664447</v>
      </c>
      <c r="E98" s="599">
        <f t="shared" si="11"/>
        <v>1.1126000527794722E-2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3.127451785461519E-3</v>
      </c>
      <c r="D99" s="599">
        <f t="shared" si="10"/>
        <v>4.0024809209247532E-3</v>
      </c>
      <c r="E99" s="599">
        <f t="shared" si="11"/>
        <v>8.750291354632342E-4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1.163442276297972E-2</v>
      </c>
      <c r="D100" s="599">
        <f t="shared" si="10"/>
        <v>1.1608626427377823E-2</v>
      </c>
      <c r="E100" s="599">
        <f t="shared" si="11"/>
        <v>-2.5796335601896772E-5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1.5385178803125805E-2</v>
      </c>
      <c r="D101" s="599">
        <f t="shared" si="10"/>
        <v>1.2008038481872374E-2</v>
      </c>
      <c r="E101" s="599">
        <f t="shared" si="11"/>
        <v>-3.3771403212534308E-3</v>
      </c>
    </row>
    <row r="102" spans="1:5" s="421" customFormat="1" x14ac:dyDescent="0.2">
      <c r="A102" s="588"/>
      <c r="B102" s="592" t="s">
        <v>800</v>
      </c>
      <c r="C102" s="600">
        <f>SUM(C96+C97+C100)</f>
        <v>0.37672220085982461</v>
      </c>
      <c r="D102" s="600">
        <f>SUM(D96+D97+D100)</f>
        <v>0.39945635433293969</v>
      </c>
      <c r="E102" s="601">
        <f t="shared" si="11"/>
        <v>2.2734153473115082E-2</v>
      </c>
    </row>
    <row r="103" spans="1:5" s="421" customFormat="1" x14ac:dyDescent="0.2">
      <c r="A103" s="588"/>
      <c r="B103" s="592" t="s">
        <v>801</v>
      </c>
      <c r="C103" s="600">
        <f>SUM(C95+C102)</f>
        <v>0.64688852457585688</v>
      </c>
      <c r="D103" s="600">
        <f>SUM(D95+D102)</f>
        <v>0.66326307118112382</v>
      </c>
      <c r="E103" s="601">
        <f t="shared" si="11"/>
        <v>1.6374546605266938E-2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0.16672785923614364</v>
      </c>
      <c r="D109" s="599">
        <f t="shared" si="12"/>
        <v>0.16179849791930559</v>
      </c>
      <c r="E109" s="599">
        <f t="shared" ref="E109:E117" si="13">D109-C109</f>
        <v>-4.929361316838049E-3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0.20455286806530451</v>
      </c>
      <c r="D110" s="599">
        <f t="shared" si="12"/>
        <v>0.20058636916796174</v>
      </c>
      <c r="E110" s="599">
        <f t="shared" si="13"/>
        <v>-3.9664988973427684E-3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4.402364737718268E-2</v>
      </c>
      <c r="D111" s="599">
        <f t="shared" si="12"/>
        <v>4.722761599711911E-2</v>
      </c>
      <c r="E111" s="599">
        <f t="shared" si="13"/>
        <v>3.2039686199364301E-3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4.0394674058538513E-2</v>
      </c>
      <c r="D112" s="599">
        <f t="shared" si="12"/>
        <v>4.5323469480308222E-2</v>
      </c>
      <c r="E112" s="599">
        <f t="shared" si="13"/>
        <v>4.9287954217697091E-3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3.6289733186441646E-3</v>
      </c>
      <c r="D113" s="599">
        <f t="shared" si="12"/>
        <v>1.9041465168108873E-3</v>
      </c>
      <c r="E113" s="599">
        <f t="shared" si="13"/>
        <v>-1.7248268018332773E-3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3.6369742110405551E-3</v>
      </c>
      <c r="D114" s="599">
        <f t="shared" si="12"/>
        <v>3.1907301788738642E-3</v>
      </c>
      <c r="E114" s="599">
        <f t="shared" si="13"/>
        <v>-4.4624403216669091E-4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1.3180807675360407E-3</v>
      </c>
      <c r="D115" s="599">
        <f t="shared" si="12"/>
        <v>1.2288417980974211E-3</v>
      </c>
      <c r="E115" s="599">
        <f t="shared" si="13"/>
        <v>-8.9238969438619605E-5</v>
      </c>
    </row>
    <row r="116" spans="1:5" s="421" customFormat="1" x14ac:dyDescent="0.2">
      <c r="A116" s="588"/>
      <c r="B116" s="592" t="s">
        <v>797</v>
      </c>
      <c r="C116" s="600">
        <f>SUM(C110+C111+C114)</f>
        <v>0.25221348965352774</v>
      </c>
      <c r="D116" s="600">
        <f>SUM(D110+D111+D114)</f>
        <v>0.25100471534395474</v>
      </c>
      <c r="E116" s="601">
        <f t="shared" si="13"/>
        <v>-1.2087743095730019E-3</v>
      </c>
    </row>
    <row r="117" spans="1:5" s="421" customFormat="1" x14ac:dyDescent="0.2">
      <c r="A117" s="588"/>
      <c r="B117" s="592" t="s">
        <v>798</v>
      </c>
      <c r="C117" s="600">
        <f>SUM(C109+C116)</f>
        <v>0.41894134888967138</v>
      </c>
      <c r="D117" s="600">
        <f>SUM(D109+D116)</f>
        <v>0.4128032132632603</v>
      </c>
      <c r="E117" s="601">
        <f t="shared" si="13"/>
        <v>-6.1381356264110787E-3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0.36616544313061627</v>
      </c>
      <c r="D121" s="599">
        <f t="shared" si="14"/>
        <v>0.38167333986705043</v>
      </c>
      <c r="E121" s="599">
        <f t="shared" ref="E121:E129" si="15">D121-C121</f>
        <v>1.5507896736434157E-2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0.12809041597488302</v>
      </c>
      <c r="D122" s="599">
        <f t="shared" si="14"/>
        <v>0.12982121344992348</v>
      </c>
      <c r="E122" s="599">
        <f t="shared" si="15"/>
        <v>1.7307974750404576E-3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7.9738040920206893E-2</v>
      </c>
      <c r="D123" s="599">
        <f t="shared" si="14"/>
        <v>6.7922858986853796E-2</v>
      </c>
      <c r="E123" s="599">
        <f t="shared" si="15"/>
        <v>-1.1815181933353097E-2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7.8441789002491949E-2</v>
      </c>
      <c r="D124" s="599">
        <f t="shared" si="14"/>
        <v>6.5442578256483266E-2</v>
      </c>
      <c r="E124" s="599">
        <f t="shared" si="15"/>
        <v>-1.2999210746008683E-2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1.2962519177149446E-3</v>
      </c>
      <c r="D125" s="599">
        <f t="shared" si="14"/>
        <v>2.4802807303705263E-3</v>
      </c>
      <c r="E125" s="599">
        <f t="shared" si="15"/>
        <v>1.1840288126555817E-3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7.0647510846224429E-3</v>
      </c>
      <c r="D126" s="599">
        <f t="shared" si="14"/>
        <v>7.7793744329119723E-3</v>
      </c>
      <c r="E126" s="599">
        <f t="shared" si="15"/>
        <v>7.1462334828952933E-4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6.0110620707286401E-3</v>
      </c>
      <c r="D127" s="599">
        <f t="shared" si="14"/>
        <v>4.8260439539712253E-3</v>
      </c>
      <c r="E127" s="599">
        <f t="shared" si="15"/>
        <v>-1.1850181167574149E-3</v>
      </c>
    </row>
    <row r="128" spans="1:5" s="421" customFormat="1" x14ac:dyDescent="0.2">
      <c r="A128" s="588"/>
      <c r="B128" s="592" t="s">
        <v>800</v>
      </c>
      <c r="C128" s="600">
        <f>SUM(C122+C123+C126)</f>
        <v>0.21489320797971237</v>
      </c>
      <c r="D128" s="600">
        <f>SUM(D122+D123+D126)</f>
        <v>0.20552344686968924</v>
      </c>
      <c r="E128" s="601">
        <f t="shared" si="15"/>
        <v>-9.3697611100231337E-3</v>
      </c>
    </row>
    <row r="129" spans="1:5" s="421" customFormat="1" x14ac:dyDescent="0.2">
      <c r="A129" s="588"/>
      <c r="B129" s="592" t="s">
        <v>801</v>
      </c>
      <c r="C129" s="600">
        <f>SUM(C121+C128)</f>
        <v>0.58105865111032862</v>
      </c>
      <c r="D129" s="600">
        <f>SUM(D121+D128)</f>
        <v>0.5871967867367397</v>
      </c>
      <c r="E129" s="601">
        <f t="shared" si="15"/>
        <v>6.1381356264110787E-3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3221</v>
      </c>
      <c r="D137" s="606">
        <v>2940</v>
      </c>
      <c r="E137" s="607">
        <f t="shared" ref="E137:E145" si="16">D137-C137</f>
        <v>-281</v>
      </c>
    </row>
    <row r="138" spans="1:5" s="421" customFormat="1" x14ac:dyDescent="0.2">
      <c r="A138" s="588">
        <v>2</v>
      </c>
      <c r="B138" s="587" t="s">
        <v>636</v>
      </c>
      <c r="C138" s="606">
        <v>4906</v>
      </c>
      <c r="D138" s="606">
        <v>5025</v>
      </c>
      <c r="E138" s="607">
        <f t="shared" si="16"/>
        <v>119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2346</v>
      </c>
      <c r="D139" s="606">
        <f>D140+D141</f>
        <v>2626</v>
      </c>
      <c r="E139" s="607">
        <f t="shared" si="16"/>
        <v>280</v>
      </c>
    </row>
    <row r="140" spans="1:5" s="421" customFormat="1" x14ac:dyDescent="0.2">
      <c r="A140" s="588">
        <v>4</v>
      </c>
      <c r="B140" s="587" t="s">
        <v>115</v>
      </c>
      <c r="C140" s="606">
        <v>2282</v>
      </c>
      <c r="D140" s="606">
        <v>2528</v>
      </c>
      <c r="E140" s="607">
        <f t="shared" si="16"/>
        <v>246</v>
      </c>
    </row>
    <row r="141" spans="1:5" s="421" customFormat="1" x14ac:dyDescent="0.2">
      <c r="A141" s="588">
        <v>5</v>
      </c>
      <c r="B141" s="587" t="s">
        <v>744</v>
      </c>
      <c r="C141" s="606">
        <v>64</v>
      </c>
      <c r="D141" s="606">
        <v>98</v>
      </c>
      <c r="E141" s="607">
        <f t="shared" si="16"/>
        <v>34</v>
      </c>
    </row>
    <row r="142" spans="1:5" s="421" customFormat="1" x14ac:dyDescent="0.2">
      <c r="A142" s="588">
        <v>6</v>
      </c>
      <c r="B142" s="587" t="s">
        <v>424</v>
      </c>
      <c r="C142" s="606">
        <v>217</v>
      </c>
      <c r="D142" s="606">
        <v>212</v>
      </c>
      <c r="E142" s="607">
        <f t="shared" si="16"/>
        <v>-5</v>
      </c>
    </row>
    <row r="143" spans="1:5" s="421" customFormat="1" x14ac:dyDescent="0.2">
      <c r="A143" s="588">
        <v>7</v>
      </c>
      <c r="B143" s="587" t="s">
        <v>759</v>
      </c>
      <c r="C143" s="606">
        <v>141</v>
      </c>
      <c r="D143" s="606">
        <v>89</v>
      </c>
      <c r="E143" s="607">
        <f t="shared" si="16"/>
        <v>-52</v>
      </c>
    </row>
    <row r="144" spans="1:5" s="421" customFormat="1" x14ac:dyDescent="0.2">
      <c r="A144" s="588"/>
      <c r="B144" s="592" t="s">
        <v>808</v>
      </c>
      <c r="C144" s="608">
        <f>SUM(C138+C139+C142)</f>
        <v>7469</v>
      </c>
      <c r="D144" s="608">
        <f>SUM(D138+D139+D142)</f>
        <v>7863</v>
      </c>
      <c r="E144" s="609">
        <f t="shared" si="16"/>
        <v>394</v>
      </c>
    </row>
    <row r="145" spans="1:5" s="421" customFormat="1" x14ac:dyDescent="0.2">
      <c r="A145" s="588"/>
      <c r="B145" s="592" t="s">
        <v>138</v>
      </c>
      <c r="C145" s="608">
        <f>SUM(C137+C144)</f>
        <v>10690</v>
      </c>
      <c r="D145" s="608">
        <f>SUM(D137+D144)</f>
        <v>10803</v>
      </c>
      <c r="E145" s="609">
        <f t="shared" si="16"/>
        <v>113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11668</v>
      </c>
      <c r="D149" s="610">
        <v>10893</v>
      </c>
      <c r="E149" s="607">
        <f t="shared" ref="E149:E157" si="17">D149-C149</f>
        <v>-775</v>
      </c>
    </row>
    <row r="150" spans="1:5" s="421" customFormat="1" x14ac:dyDescent="0.2">
      <c r="A150" s="588">
        <v>2</v>
      </c>
      <c r="B150" s="587" t="s">
        <v>636</v>
      </c>
      <c r="C150" s="610">
        <v>26606</v>
      </c>
      <c r="D150" s="610">
        <v>26068</v>
      </c>
      <c r="E150" s="607">
        <f t="shared" si="17"/>
        <v>-538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9980</v>
      </c>
      <c r="D151" s="610">
        <f>D152+D153</f>
        <v>10419</v>
      </c>
      <c r="E151" s="607">
        <f t="shared" si="17"/>
        <v>439</v>
      </c>
    </row>
    <row r="152" spans="1:5" s="421" customFormat="1" x14ac:dyDescent="0.2">
      <c r="A152" s="588">
        <v>4</v>
      </c>
      <c r="B152" s="587" t="s">
        <v>115</v>
      </c>
      <c r="C152" s="610">
        <v>9668</v>
      </c>
      <c r="D152" s="610">
        <v>9794</v>
      </c>
      <c r="E152" s="607">
        <f t="shared" si="17"/>
        <v>126</v>
      </c>
    </row>
    <row r="153" spans="1:5" s="421" customFormat="1" x14ac:dyDescent="0.2">
      <c r="A153" s="588">
        <v>5</v>
      </c>
      <c r="B153" s="587" t="s">
        <v>744</v>
      </c>
      <c r="C153" s="611">
        <v>312</v>
      </c>
      <c r="D153" s="610">
        <v>625</v>
      </c>
      <c r="E153" s="607">
        <f t="shared" si="17"/>
        <v>313</v>
      </c>
    </row>
    <row r="154" spans="1:5" s="421" customFormat="1" x14ac:dyDescent="0.2">
      <c r="A154" s="588">
        <v>6</v>
      </c>
      <c r="B154" s="587" t="s">
        <v>424</v>
      </c>
      <c r="C154" s="610">
        <v>586</v>
      </c>
      <c r="D154" s="610">
        <v>539</v>
      </c>
      <c r="E154" s="607">
        <f t="shared" si="17"/>
        <v>-47</v>
      </c>
    </row>
    <row r="155" spans="1:5" s="421" customFormat="1" x14ac:dyDescent="0.2">
      <c r="A155" s="588">
        <v>7</v>
      </c>
      <c r="B155" s="587" t="s">
        <v>759</v>
      </c>
      <c r="C155" s="610">
        <v>546</v>
      </c>
      <c r="D155" s="610">
        <v>459</v>
      </c>
      <c r="E155" s="607">
        <f t="shared" si="17"/>
        <v>-87</v>
      </c>
    </row>
    <row r="156" spans="1:5" s="421" customFormat="1" x14ac:dyDescent="0.2">
      <c r="A156" s="588"/>
      <c r="B156" s="592" t="s">
        <v>809</v>
      </c>
      <c r="C156" s="608">
        <f>SUM(C150+C151+C154)</f>
        <v>37172</v>
      </c>
      <c r="D156" s="608">
        <f>SUM(D150+D151+D154)</f>
        <v>37026</v>
      </c>
      <c r="E156" s="609">
        <f t="shared" si="17"/>
        <v>-146</v>
      </c>
    </row>
    <row r="157" spans="1:5" s="421" customFormat="1" x14ac:dyDescent="0.2">
      <c r="A157" s="588"/>
      <c r="B157" s="592" t="s">
        <v>140</v>
      </c>
      <c r="C157" s="608">
        <f>SUM(C149+C156)</f>
        <v>48840</v>
      </c>
      <c r="D157" s="608">
        <f>SUM(D149+D156)</f>
        <v>47919</v>
      </c>
      <c r="E157" s="609">
        <f t="shared" si="17"/>
        <v>-921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3.6224774914622788</v>
      </c>
      <c r="D161" s="612">
        <f t="shared" si="18"/>
        <v>3.7051020408163264</v>
      </c>
      <c r="E161" s="613">
        <f t="shared" ref="E161:E169" si="19">D161-C161</f>
        <v>8.2624549354047616E-2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5.4231553200163063</v>
      </c>
      <c r="D162" s="612">
        <f t="shared" si="18"/>
        <v>5.1876616915422886</v>
      </c>
      <c r="E162" s="613">
        <f t="shared" si="19"/>
        <v>-0.23549362847401767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4.2540494458653022</v>
      </c>
      <c r="D163" s="612">
        <f t="shared" si="18"/>
        <v>3.9676313785224675</v>
      </c>
      <c r="E163" s="613">
        <f t="shared" si="19"/>
        <v>-0.2864180673428347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4.2366345311130589</v>
      </c>
      <c r="D164" s="612">
        <f t="shared" si="18"/>
        <v>3.8742088607594938</v>
      </c>
      <c r="E164" s="613">
        <f t="shared" si="19"/>
        <v>-0.3624256703535651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4.875</v>
      </c>
      <c r="D165" s="612">
        <f t="shared" si="18"/>
        <v>6.3775510204081636</v>
      </c>
      <c r="E165" s="613">
        <f t="shared" si="19"/>
        <v>1.5025510204081636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2.7004608294930876</v>
      </c>
      <c r="D166" s="612">
        <f t="shared" si="18"/>
        <v>2.5424528301886791</v>
      </c>
      <c r="E166" s="613">
        <f t="shared" si="19"/>
        <v>-0.15800799930440856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3.8723404255319149</v>
      </c>
      <c r="D167" s="612">
        <f t="shared" si="18"/>
        <v>5.1573033707865168</v>
      </c>
      <c r="E167" s="613">
        <f t="shared" si="19"/>
        <v>1.2849629452546019</v>
      </c>
    </row>
    <row r="168" spans="1:5" s="421" customFormat="1" x14ac:dyDescent="0.2">
      <c r="A168" s="588"/>
      <c r="B168" s="592" t="s">
        <v>811</v>
      </c>
      <c r="C168" s="614">
        <f t="shared" si="18"/>
        <v>4.9768375953942963</v>
      </c>
      <c r="D168" s="614">
        <f t="shared" si="18"/>
        <v>4.7088897367417015</v>
      </c>
      <c r="E168" s="615">
        <f t="shared" si="19"/>
        <v>-0.26794785865259474</v>
      </c>
    </row>
    <row r="169" spans="1:5" s="421" customFormat="1" x14ac:dyDescent="0.2">
      <c r="A169" s="588"/>
      <c r="B169" s="592" t="s">
        <v>745</v>
      </c>
      <c r="C169" s="614">
        <f t="shared" si="18"/>
        <v>4.568755846585594</v>
      </c>
      <c r="D169" s="614">
        <f t="shared" si="18"/>
        <v>4.4357123021382945</v>
      </c>
      <c r="E169" s="615">
        <f t="shared" si="19"/>
        <v>-0.13304354444729949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1.2708999999999999</v>
      </c>
      <c r="D173" s="617">
        <f t="shared" si="20"/>
        <v>1.3261000000000001</v>
      </c>
      <c r="E173" s="618">
        <f t="shared" ref="E173:E181" si="21">D173-C173</f>
        <v>5.5200000000000138E-2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1.4553</v>
      </c>
      <c r="D174" s="617">
        <f t="shared" si="20"/>
        <v>1.5431999999999999</v>
      </c>
      <c r="E174" s="618">
        <f t="shared" si="21"/>
        <v>8.7899999999999867E-2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1.0496716965046888</v>
      </c>
      <c r="D175" s="617">
        <f t="shared" si="20"/>
        <v>1.0766127951256665</v>
      </c>
      <c r="E175" s="618">
        <f t="shared" si="21"/>
        <v>2.694109862097771E-2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1.0405</v>
      </c>
      <c r="D176" s="617">
        <f t="shared" si="20"/>
        <v>1.0661</v>
      </c>
      <c r="E176" s="618">
        <f t="shared" si="21"/>
        <v>2.5600000000000067E-2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1.3767</v>
      </c>
      <c r="D177" s="617">
        <f t="shared" si="20"/>
        <v>1.3478000000000001</v>
      </c>
      <c r="E177" s="618">
        <f t="shared" si="21"/>
        <v>-2.8899999999999926E-2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0.72920000000000007</v>
      </c>
      <c r="D178" s="617">
        <f t="shared" si="20"/>
        <v>0.63119999999999998</v>
      </c>
      <c r="E178" s="618">
        <f t="shared" si="21"/>
        <v>-9.8000000000000087E-2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1.1024</v>
      </c>
      <c r="D179" s="617">
        <f t="shared" si="20"/>
        <v>1.0854999999999999</v>
      </c>
      <c r="E179" s="618">
        <f t="shared" si="21"/>
        <v>-1.6900000000000137E-2</v>
      </c>
    </row>
    <row r="180" spans="1:5" s="421" customFormat="1" x14ac:dyDescent="0.2">
      <c r="A180" s="588"/>
      <c r="B180" s="592" t="s">
        <v>813</v>
      </c>
      <c r="C180" s="619">
        <f t="shared" si="20"/>
        <v>1.3067971616012852</v>
      </c>
      <c r="D180" s="619">
        <f t="shared" si="20"/>
        <v>1.3627851456187206</v>
      </c>
      <c r="E180" s="620">
        <f t="shared" si="21"/>
        <v>5.5987984017435322E-2</v>
      </c>
    </row>
    <row r="181" spans="1:5" s="421" customFormat="1" x14ac:dyDescent="0.2">
      <c r="A181" s="588"/>
      <c r="B181" s="592" t="s">
        <v>724</v>
      </c>
      <c r="C181" s="619">
        <f t="shared" si="20"/>
        <v>1.2959810009354535</v>
      </c>
      <c r="D181" s="619">
        <f t="shared" si="20"/>
        <v>1.3528014070165695</v>
      </c>
      <c r="E181" s="620">
        <f t="shared" si="21"/>
        <v>5.6820406081115937E-2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232933513</v>
      </c>
      <c r="D185" s="589">
        <v>236897234</v>
      </c>
      <c r="E185" s="590">
        <f>D185-C185</f>
        <v>3963721</v>
      </c>
    </row>
    <row r="186" spans="1:5" s="421" customFormat="1" ht="25.5" x14ac:dyDescent="0.2">
      <c r="A186" s="588">
        <v>2</v>
      </c>
      <c r="B186" s="587" t="s">
        <v>816</v>
      </c>
      <c r="C186" s="589">
        <v>155251338</v>
      </c>
      <c r="D186" s="589">
        <v>157937775</v>
      </c>
      <c r="E186" s="590">
        <f>D186-C186</f>
        <v>2686437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77682175</v>
      </c>
      <c r="D188" s="622">
        <f>+D185-D186</f>
        <v>78959459</v>
      </c>
      <c r="E188" s="590">
        <f t="shared" ref="E188:E197" si="22">D188-C188</f>
        <v>1277284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0.33349505616222774</v>
      </c>
      <c r="D189" s="623">
        <f>IF(D185=0,0,+D188/D185)</f>
        <v>0.33330680002789731</v>
      </c>
      <c r="E189" s="599">
        <f t="shared" si="22"/>
        <v>-1.8825613433043342E-4</v>
      </c>
    </row>
    <row r="190" spans="1:5" s="421" customFormat="1" x14ac:dyDescent="0.2">
      <c r="A190" s="588">
        <v>5</v>
      </c>
      <c r="B190" s="587" t="s">
        <v>763</v>
      </c>
      <c r="C190" s="589">
        <v>10032789</v>
      </c>
      <c r="D190" s="589">
        <v>9607784</v>
      </c>
      <c r="E190" s="622">
        <f t="shared" si="22"/>
        <v>-425005</v>
      </c>
    </row>
    <row r="191" spans="1:5" s="421" customFormat="1" x14ac:dyDescent="0.2">
      <c r="A191" s="588">
        <v>6</v>
      </c>
      <c r="B191" s="587" t="s">
        <v>749</v>
      </c>
      <c r="C191" s="589">
        <v>6433031</v>
      </c>
      <c r="D191" s="589">
        <v>6335217</v>
      </c>
      <c r="E191" s="622">
        <f t="shared" si="22"/>
        <v>-97814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5111796</v>
      </c>
      <c r="D193" s="589">
        <v>4033618</v>
      </c>
      <c r="E193" s="622">
        <f t="shared" si="22"/>
        <v>-1078178</v>
      </c>
    </row>
    <row r="194" spans="1:5" s="421" customFormat="1" x14ac:dyDescent="0.2">
      <c r="A194" s="588">
        <v>9</v>
      </c>
      <c r="B194" s="587" t="s">
        <v>819</v>
      </c>
      <c r="C194" s="589">
        <v>8128981</v>
      </c>
      <c r="D194" s="589">
        <v>8681323</v>
      </c>
      <c r="E194" s="622">
        <f t="shared" si="22"/>
        <v>552342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13240777</v>
      </c>
      <c r="D195" s="589">
        <f>+D193+D194</f>
        <v>12714941</v>
      </c>
      <c r="E195" s="625">
        <f t="shared" si="22"/>
        <v>-525836</v>
      </c>
    </row>
    <row r="196" spans="1:5" s="421" customFormat="1" x14ac:dyDescent="0.2">
      <c r="A196" s="588">
        <v>11</v>
      </c>
      <c r="B196" s="587" t="s">
        <v>821</v>
      </c>
      <c r="C196" s="589">
        <v>7047373</v>
      </c>
      <c r="D196" s="589">
        <v>6576794</v>
      </c>
      <c r="E196" s="622">
        <f t="shared" si="22"/>
        <v>-470579</v>
      </c>
    </row>
    <row r="197" spans="1:5" s="421" customFormat="1" x14ac:dyDescent="0.2">
      <c r="A197" s="588">
        <v>12</v>
      </c>
      <c r="B197" s="587" t="s">
        <v>711</v>
      </c>
      <c r="C197" s="589">
        <v>252028161</v>
      </c>
      <c r="D197" s="589">
        <v>251154393</v>
      </c>
      <c r="E197" s="622">
        <f t="shared" si="22"/>
        <v>-873768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4093.5688999999998</v>
      </c>
      <c r="D203" s="629">
        <v>3898.7340000000004</v>
      </c>
      <c r="E203" s="630">
        <f t="shared" ref="E203:E211" si="23">D203-C203</f>
        <v>-194.83489999999938</v>
      </c>
    </row>
    <row r="204" spans="1:5" s="421" customFormat="1" x14ac:dyDescent="0.2">
      <c r="A204" s="588">
        <v>2</v>
      </c>
      <c r="B204" s="587" t="s">
        <v>636</v>
      </c>
      <c r="C204" s="629">
        <v>7139.7017999999998</v>
      </c>
      <c r="D204" s="629">
        <v>7754.58</v>
      </c>
      <c r="E204" s="630">
        <f t="shared" si="23"/>
        <v>614.87820000000011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2462.5297999999998</v>
      </c>
      <c r="D205" s="629">
        <f>D206+D207</f>
        <v>2827.1852000000003</v>
      </c>
      <c r="E205" s="630">
        <f t="shared" si="23"/>
        <v>364.65540000000055</v>
      </c>
    </row>
    <row r="206" spans="1:5" s="421" customFormat="1" x14ac:dyDescent="0.2">
      <c r="A206" s="588">
        <v>4</v>
      </c>
      <c r="B206" s="587" t="s">
        <v>115</v>
      </c>
      <c r="C206" s="629">
        <v>2374.4209999999998</v>
      </c>
      <c r="D206" s="629">
        <v>2695.1008000000002</v>
      </c>
      <c r="E206" s="630">
        <f t="shared" si="23"/>
        <v>320.67980000000034</v>
      </c>
    </row>
    <row r="207" spans="1:5" s="421" customFormat="1" x14ac:dyDescent="0.2">
      <c r="A207" s="588">
        <v>5</v>
      </c>
      <c r="B207" s="587" t="s">
        <v>744</v>
      </c>
      <c r="C207" s="629">
        <v>88.108800000000002</v>
      </c>
      <c r="D207" s="629">
        <v>132.08440000000002</v>
      </c>
      <c r="E207" s="630">
        <f t="shared" si="23"/>
        <v>43.975600000000014</v>
      </c>
    </row>
    <row r="208" spans="1:5" s="421" customFormat="1" x14ac:dyDescent="0.2">
      <c r="A208" s="588">
        <v>6</v>
      </c>
      <c r="B208" s="587" t="s">
        <v>424</v>
      </c>
      <c r="C208" s="629">
        <v>158.2364</v>
      </c>
      <c r="D208" s="629">
        <v>133.81440000000001</v>
      </c>
      <c r="E208" s="630">
        <f t="shared" si="23"/>
        <v>-24.421999999999997</v>
      </c>
    </row>
    <row r="209" spans="1:5" s="421" customFormat="1" x14ac:dyDescent="0.2">
      <c r="A209" s="588">
        <v>7</v>
      </c>
      <c r="B209" s="587" t="s">
        <v>759</v>
      </c>
      <c r="C209" s="629">
        <v>155.4384</v>
      </c>
      <c r="D209" s="629">
        <v>96.609499999999997</v>
      </c>
      <c r="E209" s="630">
        <f t="shared" si="23"/>
        <v>-58.828900000000004</v>
      </c>
    </row>
    <row r="210" spans="1:5" s="421" customFormat="1" x14ac:dyDescent="0.2">
      <c r="A210" s="588"/>
      <c r="B210" s="592" t="s">
        <v>824</v>
      </c>
      <c r="C210" s="631">
        <f>C204+C205+C208</f>
        <v>9760.4679999999989</v>
      </c>
      <c r="D210" s="631">
        <f>D204+D205+D208</f>
        <v>10715.579599999999</v>
      </c>
      <c r="E210" s="632">
        <f t="shared" si="23"/>
        <v>955.11160000000018</v>
      </c>
    </row>
    <row r="211" spans="1:5" s="421" customFormat="1" x14ac:dyDescent="0.2">
      <c r="A211" s="588"/>
      <c r="B211" s="592" t="s">
        <v>725</v>
      </c>
      <c r="C211" s="631">
        <f>C210+C203</f>
        <v>13854.036899999999</v>
      </c>
      <c r="D211" s="631">
        <f>D210+D203</f>
        <v>14614.313599999999</v>
      </c>
      <c r="E211" s="632">
        <f t="shared" si="23"/>
        <v>760.27670000000035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9164.4767269928416</v>
      </c>
      <c r="D215" s="633">
        <f>IF(D14*D137=0,0,D25/D14*D137)</f>
        <v>8899.1962519182398</v>
      </c>
      <c r="E215" s="633">
        <f t="shared" ref="E215:E223" si="24">D215-C215</f>
        <v>-265.28047507460178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5602.6640734525818</v>
      </c>
      <c r="D216" s="633">
        <f>IF(D15*D138=0,0,D26/D15*D138)</f>
        <v>6326.5147185251644</v>
      </c>
      <c r="E216" s="633">
        <f t="shared" si="24"/>
        <v>723.85064507258267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5558.7544393940998</v>
      </c>
      <c r="D217" s="633">
        <f>D218+D219</f>
        <v>6556.9515789880043</v>
      </c>
      <c r="E217" s="633">
        <f t="shared" si="24"/>
        <v>998.19713959390447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5483.8494897365154</v>
      </c>
      <c r="D218" s="633">
        <f t="shared" si="25"/>
        <v>6431.1431030530348</v>
      </c>
      <c r="E218" s="633">
        <f t="shared" si="24"/>
        <v>947.29361331651944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74.904949657584112</v>
      </c>
      <c r="D219" s="633">
        <f t="shared" si="25"/>
        <v>125.80847593496965</v>
      </c>
      <c r="E219" s="633">
        <f t="shared" si="24"/>
        <v>50.903526277385538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607.72654862551178</v>
      </c>
      <c r="D220" s="633">
        <f t="shared" si="25"/>
        <v>736.45628661824014</v>
      </c>
      <c r="E220" s="633">
        <f t="shared" si="24"/>
        <v>128.72973799272836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685.06854390114813</v>
      </c>
      <c r="D221" s="633">
        <f t="shared" si="25"/>
        <v>378.16314656328808</v>
      </c>
      <c r="E221" s="633">
        <f t="shared" si="24"/>
        <v>-306.90539733786005</v>
      </c>
    </row>
    <row r="222" spans="1:5" s="421" customFormat="1" x14ac:dyDescent="0.2">
      <c r="A222" s="588"/>
      <c r="B222" s="592" t="s">
        <v>826</v>
      </c>
      <c r="C222" s="634">
        <f>C216+C218+C219+C220</f>
        <v>11769.145061472193</v>
      </c>
      <c r="D222" s="634">
        <f>D216+D218+D219+D220</f>
        <v>13619.922584131409</v>
      </c>
      <c r="E222" s="634">
        <f t="shared" si="24"/>
        <v>1850.7775226592166</v>
      </c>
    </row>
    <row r="223" spans="1:5" s="421" customFormat="1" x14ac:dyDescent="0.2">
      <c r="A223" s="588"/>
      <c r="B223" s="592" t="s">
        <v>827</v>
      </c>
      <c r="C223" s="634">
        <f>C215+C222</f>
        <v>20933.621788465032</v>
      </c>
      <c r="D223" s="634">
        <f>D215+D222</f>
        <v>22519.118836049649</v>
      </c>
      <c r="E223" s="634">
        <f t="shared" si="24"/>
        <v>1585.4970475846167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12141.043723485393</v>
      </c>
      <c r="D227" s="636">
        <f t="shared" si="26"/>
        <v>12310.246095270924</v>
      </c>
      <c r="E227" s="636">
        <f t="shared" ref="E227:E235" si="27">D227-C227</f>
        <v>169.2023717855318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8540.34576065908</v>
      </c>
      <c r="D228" s="636">
        <f t="shared" si="26"/>
        <v>7672.8903435131242</v>
      </c>
      <c r="E228" s="636">
        <f t="shared" si="27"/>
        <v>-867.45541714595583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5329.1074893794184</v>
      </c>
      <c r="D229" s="636">
        <f t="shared" si="26"/>
        <v>4955.1592870534259</v>
      </c>
      <c r="E229" s="636">
        <f t="shared" si="27"/>
        <v>-373.9482023259925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5071.2653737479586</v>
      </c>
      <c r="D230" s="636">
        <f t="shared" si="26"/>
        <v>4988.4312304756832</v>
      </c>
      <c r="E230" s="636">
        <f t="shared" si="27"/>
        <v>-82.834143272275469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12277.627206363042</v>
      </c>
      <c r="D231" s="636">
        <f t="shared" si="26"/>
        <v>4276.2657815760222</v>
      </c>
      <c r="E231" s="636">
        <f t="shared" si="27"/>
        <v>-8001.36142478702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6851.4703317315107</v>
      </c>
      <c r="D232" s="636">
        <f t="shared" si="26"/>
        <v>7072.9906497357533</v>
      </c>
      <c r="E232" s="636">
        <f t="shared" si="27"/>
        <v>221.52031800424265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2527.747326272015</v>
      </c>
      <c r="D233" s="636">
        <f t="shared" si="26"/>
        <v>3773.0450939089842</v>
      </c>
      <c r="E233" s="636">
        <f t="shared" si="27"/>
        <v>1245.2977676369692</v>
      </c>
    </row>
    <row r="234" spans="1:5" x14ac:dyDescent="0.2">
      <c r="A234" s="588"/>
      <c r="B234" s="592" t="s">
        <v>829</v>
      </c>
      <c r="C234" s="637">
        <f t="shared" si="26"/>
        <v>7702.7822846199597</v>
      </c>
      <c r="D234" s="637">
        <f t="shared" si="26"/>
        <v>6948.3561113203814</v>
      </c>
      <c r="E234" s="637">
        <f t="shared" si="27"/>
        <v>-754.42617329957829</v>
      </c>
    </row>
    <row r="235" spans="1:5" s="421" customFormat="1" x14ac:dyDescent="0.2">
      <c r="A235" s="588"/>
      <c r="B235" s="592" t="s">
        <v>830</v>
      </c>
      <c r="C235" s="637">
        <f t="shared" si="26"/>
        <v>9014.1927512839247</v>
      </c>
      <c r="D235" s="637">
        <f t="shared" si="26"/>
        <v>8378.7744913315673</v>
      </c>
      <c r="E235" s="637">
        <f t="shared" si="27"/>
        <v>-635.4182599523574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11910.215962304692</v>
      </c>
      <c r="D239" s="636">
        <f t="shared" si="28"/>
        <v>12722.044080733254</v>
      </c>
      <c r="E239" s="638">
        <f t="shared" ref="E239:E247" si="29">D239-C239</f>
        <v>811.82811842856245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6815.0964433015388</v>
      </c>
      <c r="D240" s="636">
        <f t="shared" si="28"/>
        <v>6086.9116272248548</v>
      </c>
      <c r="E240" s="638">
        <f t="shared" si="29"/>
        <v>-728.184816076684</v>
      </c>
    </row>
    <row r="241" spans="1:5" x14ac:dyDescent="0.2">
      <c r="A241" s="588">
        <v>3</v>
      </c>
      <c r="B241" s="587" t="s">
        <v>778</v>
      </c>
      <c r="C241" s="636">
        <f t="shared" si="28"/>
        <v>4276.0032412208575</v>
      </c>
      <c r="D241" s="636">
        <f t="shared" si="28"/>
        <v>3072.7684591365596</v>
      </c>
      <c r="E241" s="638">
        <f t="shared" si="29"/>
        <v>-1203.2347820842979</v>
      </c>
    </row>
    <row r="242" spans="1:5" x14ac:dyDescent="0.2">
      <c r="A242" s="588">
        <v>4</v>
      </c>
      <c r="B242" s="587" t="s">
        <v>115</v>
      </c>
      <c r="C242" s="636">
        <f t="shared" si="28"/>
        <v>4263.9481706715269</v>
      </c>
      <c r="D242" s="636">
        <f t="shared" si="28"/>
        <v>3018.4784709244736</v>
      </c>
      <c r="E242" s="638">
        <f t="shared" si="29"/>
        <v>-1245.4696997470533</v>
      </c>
    </row>
    <row r="243" spans="1:5" x14ac:dyDescent="0.2">
      <c r="A243" s="588">
        <v>5</v>
      </c>
      <c r="B243" s="587" t="s">
        <v>744</v>
      </c>
      <c r="C243" s="636">
        <f t="shared" si="28"/>
        <v>5158.5643107214464</v>
      </c>
      <c r="D243" s="636">
        <f t="shared" si="28"/>
        <v>5847.9923115855645</v>
      </c>
      <c r="E243" s="638">
        <f t="shared" si="29"/>
        <v>689.42800086411808</v>
      </c>
    </row>
    <row r="244" spans="1:5" x14ac:dyDescent="0.2">
      <c r="A244" s="588">
        <v>6</v>
      </c>
      <c r="B244" s="587" t="s">
        <v>424</v>
      </c>
      <c r="C244" s="636">
        <f t="shared" si="28"/>
        <v>3465.2822141191455</v>
      </c>
      <c r="D244" s="636">
        <f t="shared" si="28"/>
        <v>3133.3835312837787</v>
      </c>
      <c r="E244" s="638">
        <f t="shared" si="29"/>
        <v>-331.8986828353668</v>
      </c>
    </row>
    <row r="245" spans="1:5" x14ac:dyDescent="0.2">
      <c r="A245" s="588">
        <v>7</v>
      </c>
      <c r="B245" s="587" t="s">
        <v>759</v>
      </c>
      <c r="C245" s="636">
        <f t="shared" si="28"/>
        <v>2615.5747712429697</v>
      </c>
      <c r="D245" s="636">
        <f t="shared" si="28"/>
        <v>3785.5407461298464</v>
      </c>
      <c r="E245" s="638">
        <f t="shared" si="29"/>
        <v>1169.9659748868767</v>
      </c>
    </row>
    <row r="246" spans="1:5" ht="25.5" x14ac:dyDescent="0.2">
      <c r="A246" s="588"/>
      <c r="B246" s="592" t="s">
        <v>832</v>
      </c>
      <c r="C246" s="637">
        <f t="shared" si="28"/>
        <v>5442.8670617462039</v>
      </c>
      <c r="D246" s="637">
        <f t="shared" si="28"/>
        <v>4476.1289664766418</v>
      </c>
      <c r="E246" s="639">
        <f t="shared" si="29"/>
        <v>-966.73809526956211</v>
      </c>
    </row>
    <row r="247" spans="1:5" x14ac:dyDescent="0.2">
      <c r="A247" s="588"/>
      <c r="B247" s="592" t="s">
        <v>833</v>
      </c>
      <c r="C247" s="637">
        <f t="shared" si="28"/>
        <v>8274.1911911030384</v>
      </c>
      <c r="D247" s="637">
        <f t="shared" si="28"/>
        <v>7734.7829756626088</v>
      </c>
      <c r="E247" s="639">
        <f t="shared" si="29"/>
        <v>-539.40821544042956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13990113.153104283</v>
      </c>
      <c r="D251" s="622">
        <f>((IF((IF(D15=0,0,D26/D15)*D138)=0,0,D59/(IF(D15=0,0,D26/D15)*D138)))-(IF((IF(D17=0,0,D28/D17)*D140)=0,0,D61/(IF(D17=0,0,D28/D17)*D140))))*(IF(D17=0,0,D28/D17)*D140)</f>
        <v>19733532.73032045</v>
      </c>
      <c r="E251" s="622">
        <f>D251-C251</f>
        <v>5743419.577216167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-205204.92744615901</v>
      </c>
      <c r="D252" s="622">
        <f>IF(D231=0,0,(D228-D231)*D207)+IF(D243=0,0,(D240-D243)*D219)</f>
        <v>478699.19226073014</v>
      </c>
      <c r="E252" s="622">
        <f>D252-C252</f>
        <v>683904.11970688915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3811548.8774421089</v>
      </c>
      <c r="D253" s="622">
        <f>IF(D233=0,0,(D228-D233)*D209+IF(D221=0,0,(D240-D245)*D221))</f>
        <v>1247055.7534456463</v>
      </c>
      <c r="E253" s="622">
        <f>D253-C253</f>
        <v>-2564493.1239964627</v>
      </c>
    </row>
    <row r="254" spans="1:5" ht="15" customHeight="1" x14ac:dyDescent="0.2">
      <c r="A254" s="588"/>
      <c r="B254" s="592" t="s">
        <v>760</v>
      </c>
      <c r="C254" s="640">
        <f>+C251+C252+C253</f>
        <v>17596457.103100233</v>
      </c>
      <c r="D254" s="640">
        <f>+D251+D252+D253</f>
        <v>21459287.676026829</v>
      </c>
      <c r="E254" s="640">
        <f>D254-C254</f>
        <v>3862830.5729265958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701705462</v>
      </c>
      <c r="D258" s="625">
        <f>+D44</f>
        <v>738603146</v>
      </c>
      <c r="E258" s="622">
        <f t="shared" ref="E258:E271" si="30">D258-C258</f>
        <v>36897684</v>
      </c>
    </row>
    <row r="259" spans="1:5" x14ac:dyDescent="0.2">
      <c r="A259" s="588">
        <v>2</v>
      </c>
      <c r="B259" s="587" t="s">
        <v>743</v>
      </c>
      <c r="C259" s="622">
        <f>+(C43-C76)</f>
        <v>306257731</v>
      </c>
      <c r="D259" s="625">
        <f>+(D43-D76)</f>
        <v>343962994</v>
      </c>
      <c r="E259" s="622">
        <f t="shared" si="30"/>
        <v>37705263</v>
      </c>
    </row>
    <row r="260" spans="1:5" x14ac:dyDescent="0.2">
      <c r="A260" s="588">
        <v>3</v>
      </c>
      <c r="B260" s="587" t="s">
        <v>747</v>
      </c>
      <c r="C260" s="622">
        <f>C195</f>
        <v>13240777</v>
      </c>
      <c r="D260" s="622">
        <f>D195</f>
        <v>12714941</v>
      </c>
      <c r="E260" s="622">
        <f t="shared" si="30"/>
        <v>-525836</v>
      </c>
    </row>
    <row r="261" spans="1:5" x14ac:dyDescent="0.2">
      <c r="A261" s="588">
        <v>4</v>
      </c>
      <c r="B261" s="587" t="s">
        <v>748</v>
      </c>
      <c r="C261" s="622">
        <f>C188</f>
        <v>77682175</v>
      </c>
      <c r="D261" s="622">
        <f>D188</f>
        <v>78959459</v>
      </c>
      <c r="E261" s="622">
        <f t="shared" si="30"/>
        <v>1277284</v>
      </c>
    </row>
    <row r="262" spans="1:5" x14ac:dyDescent="0.2">
      <c r="A262" s="588">
        <v>5</v>
      </c>
      <c r="B262" s="587" t="s">
        <v>749</v>
      </c>
      <c r="C262" s="622">
        <f>C191</f>
        <v>6433031</v>
      </c>
      <c r="D262" s="622">
        <f>D191</f>
        <v>6335217</v>
      </c>
      <c r="E262" s="622">
        <f t="shared" si="30"/>
        <v>-97814</v>
      </c>
    </row>
    <row r="263" spans="1:5" x14ac:dyDescent="0.2">
      <c r="A263" s="588">
        <v>6</v>
      </c>
      <c r="B263" s="587" t="s">
        <v>750</v>
      </c>
      <c r="C263" s="622">
        <f>+C259+C260+C261+C262</f>
        <v>403613714</v>
      </c>
      <c r="D263" s="622">
        <f>+D259+D260+D261+D262</f>
        <v>441972611</v>
      </c>
      <c r="E263" s="622">
        <f t="shared" si="30"/>
        <v>38358897</v>
      </c>
    </row>
    <row r="264" spans="1:5" x14ac:dyDescent="0.2">
      <c r="A264" s="588">
        <v>7</v>
      </c>
      <c r="B264" s="587" t="s">
        <v>655</v>
      </c>
      <c r="C264" s="622">
        <f>+C258-C263</f>
        <v>298091748</v>
      </c>
      <c r="D264" s="622">
        <f>+D258-D263</f>
        <v>296630535</v>
      </c>
      <c r="E264" s="622">
        <f t="shared" si="30"/>
        <v>-1461213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298091748</v>
      </c>
      <c r="D266" s="622">
        <f>+D264+D265</f>
        <v>296630535</v>
      </c>
      <c r="E266" s="641">
        <f t="shared" si="30"/>
        <v>-1461213</v>
      </c>
    </row>
    <row r="267" spans="1:5" x14ac:dyDescent="0.2">
      <c r="A267" s="588">
        <v>10</v>
      </c>
      <c r="B267" s="587" t="s">
        <v>838</v>
      </c>
      <c r="C267" s="642">
        <f>IF(C258=0,0,C266/C258)</f>
        <v>0.42481035725499311</v>
      </c>
      <c r="D267" s="642">
        <f>IF(D258=0,0,D266/D258)</f>
        <v>0.40161016996263915</v>
      </c>
      <c r="E267" s="643">
        <f t="shared" si="30"/>
        <v>-2.3200187292353958E-2</v>
      </c>
    </row>
    <row r="268" spans="1:5" x14ac:dyDescent="0.2">
      <c r="A268" s="588">
        <v>11</v>
      </c>
      <c r="B268" s="587" t="s">
        <v>717</v>
      </c>
      <c r="C268" s="622">
        <f>+C260*C267</f>
        <v>5624819.2077036956</v>
      </c>
      <c r="D268" s="644">
        <f>+D260*D267</f>
        <v>5106449.616074929</v>
      </c>
      <c r="E268" s="622">
        <f t="shared" si="30"/>
        <v>-518369.59162876662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25119004.281373598</v>
      </c>
      <c r="D269" s="644">
        <f>((D17+D18+D28+D29)*D267)-(D50+D51+D61+D62)</f>
        <v>31563460.500229955</v>
      </c>
      <c r="E269" s="622">
        <f t="shared" si="30"/>
        <v>6444456.218856357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30743823.489077292</v>
      </c>
      <c r="D271" s="622">
        <f>+D268+D269+D270</f>
        <v>36669910.116304882</v>
      </c>
      <c r="E271" s="625">
        <f t="shared" si="30"/>
        <v>5926086.6272275895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0.7459144239370995</v>
      </c>
      <c r="D276" s="623">
        <f t="shared" si="31"/>
        <v>0.745584364928771</v>
      </c>
      <c r="E276" s="650">
        <f t="shared" ref="E276:E284" si="32">D276-C276</f>
        <v>-3.3005900832849822E-4</v>
      </c>
    </row>
    <row r="277" spans="1:5" x14ac:dyDescent="0.2">
      <c r="A277" s="588">
        <v>2</v>
      </c>
      <c r="B277" s="587" t="s">
        <v>636</v>
      </c>
      <c r="C277" s="623">
        <f t="shared" si="31"/>
        <v>0.45280602998354497</v>
      </c>
      <c r="D277" s="623">
        <f t="shared" si="31"/>
        <v>0.44112876482468699</v>
      </c>
      <c r="E277" s="650">
        <f t="shared" si="32"/>
        <v>-1.1677265158857975E-2</v>
      </c>
    </row>
    <row r="278" spans="1:5" x14ac:dyDescent="0.2">
      <c r="A278" s="588">
        <v>3</v>
      </c>
      <c r="B278" s="587" t="s">
        <v>778</v>
      </c>
      <c r="C278" s="623">
        <f t="shared" si="31"/>
        <v>0.3011691197074573</v>
      </c>
      <c r="D278" s="623">
        <f t="shared" si="31"/>
        <v>0.29810566759097779</v>
      </c>
      <c r="E278" s="650">
        <f t="shared" si="32"/>
        <v>-3.0634521164795148E-3</v>
      </c>
    </row>
    <row r="279" spans="1:5" x14ac:dyDescent="0.2">
      <c r="A279" s="588">
        <v>4</v>
      </c>
      <c r="B279" s="587" t="s">
        <v>115</v>
      </c>
      <c r="C279" s="623">
        <f t="shared" si="31"/>
        <v>0.28876929671106938</v>
      </c>
      <c r="D279" s="623">
        <f t="shared" si="31"/>
        <v>0.30082769248428909</v>
      </c>
      <c r="E279" s="650">
        <f t="shared" si="32"/>
        <v>1.205839577321971E-2</v>
      </c>
    </row>
    <row r="280" spans="1:5" x14ac:dyDescent="0.2">
      <c r="A280" s="588">
        <v>5</v>
      </c>
      <c r="B280" s="587" t="s">
        <v>744</v>
      </c>
      <c r="C280" s="623">
        <f t="shared" si="31"/>
        <v>0.57692424611705551</v>
      </c>
      <c r="D280" s="623">
        <f t="shared" si="31"/>
        <v>0.24527857801061489</v>
      </c>
      <c r="E280" s="650">
        <f t="shared" si="32"/>
        <v>-0.33164566810644058</v>
      </c>
    </row>
    <row r="281" spans="1:5" x14ac:dyDescent="0.2">
      <c r="A281" s="588">
        <v>6</v>
      </c>
      <c r="B281" s="587" t="s">
        <v>424</v>
      </c>
      <c r="C281" s="623">
        <f t="shared" si="31"/>
        <v>0.37191093913213508</v>
      </c>
      <c r="D281" s="623">
        <f t="shared" si="31"/>
        <v>0.38346440710103669</v>
      </c>
      <c r="E281" s="650">
        <f t="shared" si="32"/>
        <v>1.155346796890161E-2</v>
      </c>
    </row>
    <row r="282" spans="1:5" x14ac:dyDescent="0.2">
      <c r="A282" s="588">
        <v>7</v>
      </c>
      <c r="B282" s="587" t="s">
        <v>759</v>
      </c>
      <c r="C282" s="623">
        <f t="shared" si="31"/>
        <v>0.17682736931546109</v>
      </c>
      <c r="D282" s="623">
        <f t="shared" si="31"/>
        <v>0.17462957710851684</v>
      </c>
      <c r="E282" s="650">
        <f t="shared" si="32"/>
        <v>-2.1977922069442435E-3</v>
      </c>
    </row>
    <row r="283" spans="1:5" ht="29.25" customHeight="1" x14ac:dyDescent="0.2">
      <c r="A283" s="588"/>
      <c r="B283" s="592" t="s">
        <v>845</v>
      </c>
      <c r="C283" s="651">
        <f t="shared" si="31"/>
        <v>0.41502959886521229</v>
      </c>
      <c r="D283" s="651">
        <f t="shared" si="31"/>
        <v>0.40389640170974977</v>
      </c>
      <c r="E283" s="652">
        <f t="shared" si="32"/>
        <v>-1.1133197155462515E-2</v>
      </c>
    </row>
    <row r="284" spans="1:5" x14ac:dyDescent="0.2">
      <c r="A284" s="588"/>
      <c r="B284" s="592" t="s">
        <v>846</v>
      </c>
      <c r="C284" s="651">
        <f t="shared" si="31"/>
        <v>0.50400691134984765</v>
      </c>
      <c r="D284" s="651">
        <f t="shared" si="31"/>
        <v>0.49233082103969178</v>
      </c>
      <c r="E284" s="652">
        <f t="shared" si="32"/>
        <v>-1.1676090310155873E-2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0.57575966749374408</v>
      </c>
      <c r="D287" s="623">
        <f t="shared" si="33"/>
        <v>0.58104621719099869</v>
      </c>
      <c r="E287" s="650">
        <f t="shared" ref="E287:E295" si="34">D287-C287</f>
        <v>5.2865496972546167E-3</v>
      </c>
    </row>
    <row r="288" spans="1:5" x14ac:dyDescent="0.2">
      <c r="A288" s="588">
        <v>2</v>
      </c>
      <c r="B288" s="587" t="s">
        <v>636</v>
      </c>
      <c r="C288" s="623">
        <f t="shared" si="33"/>
        <v>0.24828828273702649</v>
      </c>
      <c r="D288" s="623">
        <f t="shared" si="33"/>
        <v>0.22676768587434773</v>
      </c>
      <c r="E288" s="650">
        <f t="shared" si="34"/>
        <v>-2.1520596862678765E-2</v>
      </c>
    </row>
    <row r="289" spans="1:5" x14ac:dyDescent="0.2">
      <c r="A289" s="588">
        <v>3</v>
      </c>
      <c r="B289" s="587" t="s">
        <v>778</v>
      </c>
      <c r="C289" s="623">
        <f t="shared" si="33"/>
        <v>0.23212076964528847</v>
      </c>
      <c r="D289" s="623">
        <f t="shared" si="33"/>
        <v>0.17272343915547575</v>
      </c>
      <c r="E289" s="650">
        <f t="shared" si="34"/>
        <v>-5.9397330489812716E-2</v>
      </c>
    </row>
    <row r="290" spans="1:5" x14ac:dyDescent="0.2">
      <c r="A290" s="588">
        <v>4</v>
      </c>
      <c r="B290" s="587" t="s">
        <v>115</v>
      </c>
      <c r="C290" s="623">
        <f t="shared" si="33"/>
        <v>0.2333482296741316</v>
      </c>
      <c r="D290" s="623">
        <f t="shared" si="33"/>
        <v>0.17074341453546349</v>
      </c>
      <c r="E290" s="650">
        <f t="shared" si="34"/>
        <v>-6.2604815138668113E-2</v>
      </c>
    </row>
    <row r="291" spans="1:5" x14ac:dyDescent="0.2">
      <c r="A291" s="588">
        <v>5</v>
      </c>
      <c r="B291" s="587" t="s">
        <v>744</v>
      </c>
      <c r="C291" s="623">
        <f t="shared" si="33"/>
        <v>0.17607345469458432</v>
      </c>
      <c r="D291" s="623">
        <f t="shared" si="33"/>
        <v>0.24887213339895711</v>
      </c>
      <c r="E291" s="650">
        <f t="shared" si="34"/>
        <v>7.2798678704372788E-2</v>
      </c>
    </row>
    <row r="292" spans="1:5" x14ac:dyDescent="0.2">
      <c r="A292" s="588">
        <v>6</v>
      </c>
      <c r="B292" s="587" t="s">
        <v>424</v>
      </c>
      <c r="C292" s="623">
        <f t="shared" si="33"/>
        <v>0.2579568830630512</v>
      </c>
      <c r="D292" s="623">
        <f t="shared" si="33"/>
        <v>0.26913398477846479</v>
      </c>
      <c r="E292" s="650">
        <f t="shared" si="34"/>
        <v>1.1177101715413584E-2</v>
      </c>
    </row>
    <row r="293" spans="1:5" x14ac:dyDescent="0.2">
      <c r="A293" s="588">
        <v>7</v>
      </c>
      <c r="B293" s="587" t="s">
        <v>759</v>
      </c>
      <c r="C293" s="623">
        <f t="shared" si="33"/>
        <v>0.16597541428828669</v>
      </c>
      <c r="D293" s="623">
        <f t="shared" si="33"/>
        <v>0.16140757173017783</v>
      </c>
      <c r="E293" s="650">
        <f t="shared" si="34"/>
        <v>-4.5678425581088533E-3</v>
      </c>
    </row>
    <row r="294" spans="1:5" ht="29.25" customHeight="1" x14ac:dyDescent="0.2">
      <c r="A294" s="588"/>
      <c r="B294" s="592" t="s">
        <v>848</v>
      </c>
      <c r="C294" s="651">
        <f t="shared" si="33"/>
        <v>0.24232407924241509</v>
      </c>
      <c r="D294" s="651">
        <f t="shared" si="33"/>
        <v>0.20663160200938369</v>
      </c>
      <c r="E294" s="652">
        <f t="shared" si="34"/>
        <v>-3.56924772330314E-2</v>
      </c>
    </row>
    <row r="295" spans="1:5" x14ac:dyDescent="0.2">
      <c r="A295" s="588"/>
      <c r="B295" s="592" t="s">
        <v>849</v>
      </c>
      <c r="C295" s="651">
        <f t="shared" si="33"/>
        <v>0.38158001539156633</v>
      </c>
      <c r="D295" s="651">
        <f t="shared" si="33"/>
        <v>0.35555153236996478</v>
      </c>
      <c r="E295" s="652">
        <f t="shared" si="34"/>
        <v>-2.6028483021601545E-2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298091748</v>
      </c>
      <c r="D301" s="590">
        <f>+D48+D47+D50+D51+D52+D59+D58+D61+D62+D63</f>
        <v>296630535</v>
      </c>
      <c r="E301" s="590">
        <f>D301-C301</f>
        <v>-1461213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298091748</v>
      </c>
      <c r="D303" s="593">
        <f>+D301+D302</f>
        <v>296630535</v>
      </c>
      <c r="E303" s="593">
        <f>D303-C303</f>
        <v>-1461213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-4473809</v>
      </c>
      <c r="D305" s="654">
        <v>-11102535</v>
      </c>
      <c r="E305" s="655">
        <f>D305-C305</f>
        <v>-6628726</v>
      </c>
    </row>
    <row r="306" spans="1:5" x14ac:dyDescent="0.2">
      <c r="A306" s="588">
        <v>4</v>
      </c>
      <c r="B306" s="592" t="s">
        <v>856</v>
      </c>
      <c r="C306" s="593">
        <f>+C303+C305+C194+C190-C191</f>
        <v>305346678</v>
      </c>
      <c r="D306" s="593">
        <f>+D303+D305</f>
        <v>285528000</v>
      </c>
      <c r="E306" s="656">
        <f>D306-C306</f>
        <v>-19818678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293617939</v>
      </c>
      <c r="D308" s="589">
        <v>285528000</v>
      </c>
      <c r="E308" s="590">
        <f>D308-C308</f>
        <v>-8089939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11728739</v>
      </c>
      <c r="D310" s="658">
        <f>D306-D308</f>
        <v>0</v>
      </c>
      <c r="E310" s="656">
        <f>D310-C310</f>
        <v>-11728739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701705462</v>
      </c>
      <c r="D314" s="590">
        <f>+D14+D15+D16+D19+D25+D26+D27+D30</f>
        <v>738603146</v>
      </c>
      <c r="E314" s="590">
        <f>D314-C314</f>
        <v>36897684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701705462</v>
      </c>
      <c r="D316" s="657">
        <f>D314+D315</f>
        <v>738603146</v>
      </c>
      <c r="E316" s="593">
        <f>D316-C316</f>
        <v>36897684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701705462</v>
      </c>
      <c r="D318" s="589">
        <v>738603146</v>
      </c>
      <c r="E318" s="590">
        <f>D318-C318</f>
        <v>36897684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13240777</v>
      </c>
      <c r="D324" s="589">
        <f>+D193+D194</f>
        <v>12714941</v>
      </c>
      <c r="E324" s="590">
        <f>D324-C324</f>
        <v>-525836</v>
      </c>
    </row>
    <row r="325" spans="1:5" x14ac:dyDescent="0.2">
      <c r="A325" s="588">
        <v>2</v>
      </c>
      <c r="B325" s="587" t="s">
        <v>866</v>
      </c>
      <c r="C325" s="589">
        <v>58482</v>
      </c>
      <c r="D325" s="589">
        <v>81470</v>
      </c>
      <c r="E325" s="590">
        <f>D325-C325</f>
        <v>22988</v>
      </c>
    </row>
    <row r="326" spans="1:5" x14ac:dyDescent="0.2">
      <c r="A326" s="588"/>
      <c r="B326" s="592" t="s">
        <v>867</v>
      </c>
      <c r="C326" s="657">
        <f>C324+C325</f>
        <v>13299259</v>
      </c>
      <c r="D326" s="657">
        <f>D324+D325</f>
        <v>12796411</v>
      </c>
      <c r="E326" s="593">
        <f>D326-C326</f>
        <v>-502848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13299258</v>
      </c>
      <c r="D328" s="589">
        <v>12796411</v>
      </c>
      <c r="E328" s="590">
        <f>D328-C328</f>
        <v>-502847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1</v>
      </c>
      <c r="D330" s="657">
        <f>D326-D328</f>
        <v>0</v>
      </c>
      <c r="E330" s="593">
        <f>D330-C330</f>
        <v>-1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orientation="portrait" horizontalDpi="1200" verticalDpi="1200"/>
  <headerFooter>
    <oddHeader>_x000D_
                &amp;LOFFICE OF HEALTH CARE ACCESS&amp;CTWELVE MONTHS ACTUAL FILING&amp;RWILLIAM W. BACKUS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64371488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134881347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46993917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44691115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2302802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2468203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2087344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184343467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248714955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194848471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169816682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116648870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113692625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2956245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8574168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8869175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295039720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489888191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259219959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479383187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738603146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47994375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59500042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14009153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13444325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564828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946468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364512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74455663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122450038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113215967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38508936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20147994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19412267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735727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2307600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1431552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60964530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174180497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161210342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135420193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296630535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2940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5025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2626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2528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98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212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89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7863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10803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1.3261000000000001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1.5431999999999999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1.0766127951256665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1.0661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1.3478000000000001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0.63119999999999998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1.0854999999999999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1.3627851456187206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1.3528014070165695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236897234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157937775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78959459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0.33330680002789731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9607784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6335217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4033618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8681323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12714941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6576794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251154393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296630535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296630535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-11102535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285528000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285528000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738603146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738603146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738603146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12714941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81470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12796411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12796411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6" orientation="portrait"/>
  <headerFooter>
    <oddHeader>&amp;LOFFICE OF HEALTH CARE ACCESS&amp;CTWELVE MONTHS ACTUAL FILING&amp;RWILLIAM W. BACKUS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883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2283</v>
      </c>
      <c r="D12" s="185">
        <v>1731</v>
      </c>
      <c r="E12" s="185">
        <f>+D12-C12</f>
        <v>-552</v>
      </c>
      <c r="F12" s="77">
        <f>IF(C12=0,0,+E12/C12)</f>
        <v>-0.24178712220762155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2013</v>
      </c>
      <c r="D13" s="185">
        <v>1575</v>
      </c>
      <c r="E13" s="185">
        <f>+D13-C13</f>
        <v>-438</v>
      </c>
      <c r="F13" s="77">
        <f>IF(C13=0,0,+E13/C13)</f>
        <v>-0.21758569299552907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5111796</v>
      </c>
      <c r="D15" s="76">
        <v>4033618</v>
      </c>
      <c r="E15" s="76">
        <f>+D15-C15</f>
        <v>-1078178</v>
      </c>
      <c r="F15" s="77">
        <f>IF(C15=0,0,+E15/C15)</f>
        <v>-0.21091960633796811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2539.3919523099853</v>
      </c>
      <c r="D16" s="79">
        <f>IF(D13=0,0,+D15/+D13)</f>
        <v>2561.0273015873017</v>
      </c>
      <c r="E16" s="79">
        <f>+D16-C16</f>
        <v>21.635349277316436</v>
      </c>
      <c r="F16" s="80">
        <f>IF(C16=0,0,+E16/C16)</f>
        <v>8.5198936137588395E-3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0.38005499999999998</v>
      </c>
      <c r="D18" s="704">
        <v>0.35559400000000002</v>
      </c>
      <c r="E18" s="704">
        <f>+D18-C18</f>
        <v>-2.4460999999999955E-2</v>
      </c>
      <c r="F18" s="77">
        <f>IF(C18=0,0,+E18/C18)</f>
        <v>-6.4361737116996109E-2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1942763.6287799999</v>
      </c>
      <c r="D19" s="79">
        <f>+D15*D18</f>
        <v>1434330.3590920002</v>
      </c>
      <c r="E19" s="79">
        <f>+D19-C19</f>
        <v>-508433.26968799974</v>
      </c>
      <c r="F19" s="80">
        <f>IF(C19=0,0,+E19/C19)</f>
        <v>-0.26170619119901956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965.10860843517139</v>
      </c>
      <c r="D20" s="79">
        <f>IF(D13=0,0,+D19/D13)</f>
        <v>910.685942280635</v>
      </c>
      <c r="E20" s="79">
        <f>+D20-C20</f>
        <v>-54.422666154536387</v>
      </c>
      <c r="F20" s="80">
        <f>IF(C20=0,0,+E20/C20)</f>
        <v>-5.6390198656270804E-2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1092936</v>
      </c>
      <c r="D22" s="76">
        <v>1132798</v>
      </c>
      <c r="E22" s="76">
        <f>+D22-C22</f>
        <v>39862</v>
      </c>
      <c r="F22" s="77">
        <f>IF(C22=0,0,+E22/C22)</f>
        <v>3.647240094570954E-2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2288970</v>
      </c>
      <c r="D23" s="185">
        <v>1619052</v>
      </c>
      <c r="E23" s="185">
        <f>+D23-C23</f>
        <v>-669918</v>
      </c>
      <c r="F23" s="77">
        <f>IF(C23=0,0,+E23/C23)</f>
        <v>-0.29267224996395758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1729890</v>
      </c>
      <c r="D24" s="185">
        <v>1281768</v>
      </c>
      <c r="E24" s="185">
        <f>+D24-C24</f>
        <v>-448122</v>
      </c>
      <c r="F24" s="77">
        <f>IF(C24=0,0,+E24/C24)</f>
        <v>-0.25904652897005009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5111796</v>
      </c>
      <c r="D25" s="79">
        <f>+D22+D23+D24</f>
        <v>4033618</v>
      </c>
      <c r="E25" s="79">
        <f>+E22+E23+E24</f>
        <v>-1078178</v>
      </c>
      <c r="F25" s="80">
        <f>IF(C25=0,0,+E25/C25)</f>
        <v>-0.21091960633796811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1610</v>
      </c>
      <c r="D27" s="185">
        <v>1713</v>
      </c>
      <c r="E27" s="185">
        <f>+D27-C27</f>
        <v>103</v>
      </c>
      <c r="F27" s="77">
        <f>IF(C27=0,0,+E27/C27)</f>
        <v>6.3975155279503107E-2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394</v>
      </c>
      <c r="D28" s="185">
        <v>352</v>
      </c>
      <c r="E28" s="185">
        <f>+D28-C28</f>
        <v>-42</v>
      </c>
      <c r="F28" s="77">
        <f>IF(C28=0,0,+E28/C28)</f>
        <v>-0.1065989847715736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2273</v>
      </c>
      <c r="D29" s="185">
        <v>1642</v>
      </c>
      <c r="E29" s="185">
        <f>+D29-C29</f>
        <v>-631</v>
      </c>
      <c r="F29" s="77">
        <f>IF(C29=0,0,+E29/C29)</f>
        <v>-0.27760668719753628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5797</v>
      </c>
      <c r="D30" s="185">
        <v>4576</v>
      </c>
      <c r="E30" s="185">
        <f>+D30-C30</f>
        <v>-1221</v>
      </c>
      <c r="F30" s="77">
        <f>IF(C30=0,0,+E30/C30)</f>
        <v>-0.21062618595825428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1267806</v>
      </c>
      <c r="D33" s="76">
        <v>1463260</v>
      </c>
      <c r="E33" s="76">
        <f>+D33-C33</f>
        <v>195454</v>
      </c>
      <c r="F33" s="77">
        <f>IF(C33=0,0,+E33/C33)</f>
        <v>0.1541671202060883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2220206</v>
      </c>
      <c r="D34" s="185">
        <v>2622408</v>
      </c>
      <c r="E34" s="185">
        <f>+D34-C34</f>
        <v>402202</v>
      </c>
      <c r="F34" s="77">
        <f>IF(C34=0,0,+E34/C34)</f>
        <v>0.18115526216936625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4640969</v>
      </c>
      <c r="D35" s="185">
        <v>4595655</v>
      </c>
      <c r="E35" s="185">
        <f>+D35-C35</f>
        <v>-45314</v>
      </c>
      <c r="F35" s="77">
        <f>IF(C35=0,0,+E35/C35)</f>
        <v>-9.7639092180964795E-3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8128981</v>
      </c>
      <c r="D36" s="79">
        <f>+D33+D34+D35</f>
        <v>8681323</v>
      </c>
      <c r="E36" s="79">
        <f>+E33+E34+E35</f>
        <v>552342</v>
      </c>
      <c r="F36" s="80">
        <f>IF(C36=0,0,+E36/C36)</f>
        <v>6.7947261778567331E-2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5111796</v>
      </c>
      <c r="D39" s="76">
        <f>+D25</f>
        <v>4033618</v>
      </c>
      <c r="E39" s="76">
        <f>+D39-C39</f>
        <v>-1078178</v>
      </c>
      <c r="F39" s="77">
        <f>IF(C39=0,0,+E39/C39)</f>
        <v>-0.21091960633796811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8128981</v>
      </c>
      <c r="D40" s="185">
        <f>+D36</f>
        <v>8681323</v>
      </c>
      <c r="E40" s="185">
        <f>+D40-C40</f>
        <v>552342</v>
      </c>
      <c r="F40" s="77">
        <f>IF(C40=0,0,+E40/C40)</f>
        <v>6.7947261778567331E-2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13240777</v>
      </c>
      <c r="D41" s="79">
        <f>+D39+D40</f>
        <v>12714941</v>
      </c>
      <c r="E41" s="79">
        <f>+E39+E40</f>
        <v>-525836</v>
      </c>
      <c r="F41" s="80">
        <f>IF(C41=0,0,+E41/C41)</f>
        <v>-3.9713379358326174E-2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2360742</v>
      </c>
      <c r="D43" s="76">
        <f t="shared" si="0"/>
        <v>2596058</v>
      </c>
      <c r="E43" s="76">
        <f>+D43-C43</f>
        <v>235316</v>
      </c>
      <c r="F43" s="77">
        <f>IF(C43=0,0,+E43/C43)</f>
        <v>9.9678829791650256E-2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4509176</v>
      </c>
      <c r="D44" s="185">
        <f t="shared" si="0"/>
        <v>4241460</v>
      </c>
      <c r="E44" s="185">
        <f>+D44-C44</f>
        <v>-267716</v>
      </c>
      <c r="F44" s="77">
        <f>IF(C44=0,0,+E44/C44)</f>
        <v>-5.937137960461069E-2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6370859</v>
      </c>
      <c r="D45" s="185">
        <f t="shared" si="0"/>
        <v>5877423</v>
      </c>
      <c r="E45" s="185">
        <f>+D45-C45</f>
        <v>-493436</v>
      </c>
      <c r="F45" s="77">
        <f>IF(C45=0,0,+E45/C45)</f>
        <v>-7.7452035902850783E-2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13240777</v>
      </c>
      <c r="D46" s="79">
        <f>+D43+D44+D45</f>
        <v>12714941</v>
      </c>
      <c r="E46" s="79">
        <f>+E43+E44+E45</f>
        <v>-525836</v>
      </c>
      <c r="F46" s="80">
        <f>IF(C46=0,0,+E46/C46)</f>
        <v>-3.9713379358326174E-2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912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4" orientation="portrait" horizontalDpi="1200" verticalDpi="1200"/>
  <headerFooter>
    <oddHeader>_x000D_
                  &amp;LOFFICE OF HEALTH CARE ACCESS&amp;CTWELVE MONTHS ACTUAL FILING&amp;RWILLIAM W. BACKUS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913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914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232933513</v>
      </c>
      <c r="D15" s="76">
        <v>236897234</v>
      </c>
      <c r="E15" s="76">
        <f>+D15-C15</f>
        <v>3963721</v>
      </c>
      <c r="F15" s="77">
        <f>IF(C15=0,0,E15/C15)</f>
        <v>1.7016533812375896E-2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77682175</v>
      </c>
      <c r="D17" s="76">
        <v>78959459</v>
      </c>
      <c r="E17" s="76">
        <f>+D17-C17</f>
        <v>1277284</v>
      </c>
      <c r="F17" s="77">
        <f>IF(C17=0,0,E17/C17)</f>
        <v>1.6442433544117424E-2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155251338</v>
      </c>
      <c r="D19" s="79">
        <f>+D15-D17</f>
        <v>157937775</v>
      </c>
      <c r="E19" s="79">
        <f>+D19-C19</f>
        <v>2686437</v>
      </c>
      <c r="F19" s="80">
        <f>IF(C19=0,0,E19/C19)</f>
        <v>1.7303792898712408E-2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0.33349505616222774</v>
      </c>
      <c r="D21" s="720">
        <f>IF(D15=0,0,D17/D15)</f>
        <v>0.33330680002789731</v>
      </c>
      <c r="E21" s="720">
        <f>+D21-C21</f>
        <v>-1.8825613433043342E-4</v>
      </c>
      <c r="F21" s="80">
        <f>IF(C21=0,0,E21/C21)</f>
        <v>-5.6449452803539234E-4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/>
  <headerFooter>
    <oddHeader>&amp;L&amp;12OFFICE OF HEALTH CARE ACCESS&amp;C&amp;12TWELVE MONTHS ACTUAL FILING&amp;R&amp;12WILLIAM W. BACKUS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243577407</v>
      </c>
      <c r="D10" s="744">
        <v>247780251</v>
      </c>
      <c r="E10" s="744">
        <v>248714955</v>
      </c>
    </row>
    <row r="11" spans="1:6" ht="26.1" customHeight="1" x14ac:dyDescent="0.25">
      <c r="A11" s="742">
        <v>2</v>
      </c>
      <c r="B11" s="743" t="s">
        <v>933</v>
      </c>
      <c r="C11" s="744">
        <v>406849933</v>
      </c>
      <c r="D11" s="744">
        <v>453925211</v>
      </c>
      <c r="E11" s="744">
        <v>489888191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650427340</v>
      </c>
      <c r="D12" s="744">
        <f>+D11+D10</f>
        <v>701705462</v>
      </c>
      <c r="E12" s="744">
        <f>+E11+E10</f>
        <v>738603146</v>
      </c>
    </row>
    <row r="13" spans="1:6" ht="26.1" customHeight="1" x14ac:dyDescent="0.25">
      <c r="A13" s="742">
        <v>4</v>
      </c>
      <c r="B13" s="743" t="s">
        <v>507</v>
      </c>
      <c r="C13" s="744">
        <v>268008827</v>
      </c>
      <c r="D13" s="744">
        <v>293617939</v>
      </c>
      <c r="E13" s="744">
        <v>285527689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249935251</v>
      </c>
      <c r="D16" s="744">
        <v>252028161</v>
      </c>
      <c r="E16" s="744">
        <v>251154393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48465</v>
      </c>
      <c r="D19" s="747">
        <v>48840</v>
      </c>
      <c r="E19" s="747">
        <v>47919</v>
      </c>
    </row>
    <row r="20" spans="1:5" ht="26.1" customHeight="1" x14ac:dyDescent="0.25">
      <c r="A20" s="742">
        <v>2</v>
      </c>
      <c r="B20" s="743" t="s">
        <v>381</v>
      </c>
      <c r="C20" s="748">
        <v>11396</v>
      </c>
      <c r="D20" s="748">
        <v>10690</v>
      </c>
      <c r="E20" s="748">
        <v>10803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4.2528080028080026</v>
      </c>
      <c r="D21" s="749">
        <f>IF(D20=0,0,+D19/D20)</f>
        <v>4.568755846585594</v>
      </c>
      <c r="E21" s="749">
        <f>IF(E20=0,0,+E19/E20)</f>
        <v>4.4357123021382945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129416.60485407826</v>
      </c>
      <c r="D22" s="748">
        <f>IF(D10=0,0,D19*(D12/D10))</f>
        <v>138313.26195597404</v>
      </c>
      <c r="E22" s="748">
        <f>IF(E10=0,0,E19*(E12/E10))</f>
        <v>142303.9646054818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30430.859979718891</v>
      </c>
      <c r="D23" s="748">
        <f>IF(D10=0,0,D20*(D12/D10))</f>
        <v>30273.725845810044</v>
      </c>
      <c r="E23" s="748">
        <f>IF(E10=0,0,E20*(E12/E10))</f>
        <v>32081.423436069617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1.2815816075816078</v>
      </c>
      <c r="D26" s="750">
        <v>1.2959810009354535</v>
      </c>
      <c r="E26" s="750">
        <v>1.3528014070165695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62111.85261144262</v>
      </c>
      <c r="D27" s="748">
        <f>D19*D26</f>
        <v>63295.712085687548</v>
      </c>
      <c r="E27" s="748">
        <f>E19*E26</f>
        <v>64824.890622826992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14604.904000000002</v>
      </c>
      <c r="D28" s="748">
        <f>D20*D26</f>
        <v>13854.036899999999</v>
      </c>
      <c r="E28" s="748">
        <f>E20*E26</f>
        <v>14614.313599999999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165857.94049664334</v>
      </c>
      <c r="D29" s="748">
        <f>D22*D26</f>
        <v>179251.35967235084</v>
      </c>
      <c r="E29" s="748">
        <f>E22*E26</f>
        <v>192509.00354233189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38999.630452898949</v>
      </c>
      <c r="D30" s="748">
        <f>D23*D26</f>
        <v>39234.17352369841</v>
      </c>
      <c r="E30" s="748">
        <f>E23*E26</f>
        <v>43399.794763409329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13420.55792840194</v>
      </c>
      <c r="D33" s="744">
        <f>IF(D19=0,0,D12/D19)</f>
        <v>14367.433701883701</v>
      </c>
      <c r="E33" s="744">
        <f>IF(E19=0,0,E12/E19)</f>
        <v>15413.575951084122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57075.056160056163</v>
      </c>
      <c r="D34" s="744">
        <f>IF(D20=0,0,D12/D20)</f>
        <v>65641.296725912063</v>
      </c>
      <c r="E34" s="744">
        <f>IF(E20=0,0,E12/E20)</f>
        <v>68370.188466166801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5025.8414732281035</v>
      </c>
      <c r="D35" s="744">
        <f>IF(D22=0,0,D12/D22)</f>
        <v>5073.3057125307123</v>
      </c>
      <c r="E35" s="744">
        <f>IF(E22=0,0,E12/E22)</f>
        <v>5190.3202278845556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21373.938838188838</v>
      </c>
      <c r="D36" s="744">
        <f>IF(D23=0,0,D12/D23)</f>
        <v>23178.695135640784</v>
      </c>
      <c r="E36" s="744">
        <f>IF(E23=0,0,E12/E23)</f>
        <v>23022.767286864761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3921.5930093691441</v>
      </c>
      <c r="D37" s="744">
        <f>IF(D29=0,0,D12/D29)</f>
        <v>3914.6451289553966</v>
      </c>
      <c r="E37" s="744">
        <f>IF(E29=0,0,E12/E29)</f>
        <v>3836.7200100206451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16677.782134001016</v>
      </c>
      <c r="D38" s="744">
        <f>IF(D30=0,0,D12/D30)</f>
        <v>17885.057820222784</v>
      </c>
      <c r="E38" s="744">
        <f>IF(E30=0,0,E12/E30)</f>
        <v>17018.586148308736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1882.1186606976903</v>
      </c>
      <c r="D39" s="744">
        <f>IF(D22=0,0,D10/D22)</f>
        <v>1791.4424654294537</v>
      </c>
      <c r="E39" s="744">
        <f>IF(E22=0,0,E10/E22)</f>
        <v>1747.7724931243347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8004.2893024494169</v>
      </c>
      <c r="D40" s="744">
        <f>IF(D23=0,0,D10/D23)</f>
        <v>8184.6632377525275</v>
      </c>
      <c r="E40" s="744">
        <f>IF(E23=0,0,E10/E23)</f>
        <v>7752.6159490905293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5529.9458784689987</v>
      </c>
      <c r="D43" s="744">
        <f>IF(D19=0,0,D13/D19)</f>
        <v>6011.8333128583126</v>
      </c>
      <c r="E43" s="744">
        <f>IF(E19=0,0,E13/E19)</f>
        <v>5958.5485715478198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23517.798087048086</v>
      </c>
      <c r="D44" s="744">
        <f>IF(D20=0,0,D13/D20)</f>
        <v>27466.598596819458</v>
      </c>
      <c r="E44" s="744">
        <f>IF(E20=0,0,E13/E20)</f>
        <v>26430.40720170323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2070.8998455197407</v>
      </c>
      <c r="D45" s="744">
        <f>IF(D22=0,0,D13/D22)</f>
        <v>2122.8473311074131</v>
      </c>
      <c r="E45" s="744">
        <f>IF(E22=0,0,E13/E22)</f>
        <v>2006.4633462011147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8807.1394360402082</v>
      </c>
      <c r="D46" s="744">
        <f>IF(D23=0,0,D13/D23)</f>
        <v>9698.7711554056186</v>
      </c>
      <c r="E46" s="744">
        <f>IF(E23=0,0,E13/E23)</f>
        <v>8900.0941485338517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1615.8938558954553</v>
      </c>
      <c r="D47" s="744">
        <f>IF(D29=0,0,D13/D29)</f>
        <v>1638.023496930216</v>
      </c>
      <c r="E47" s="744">
        <f>IF(E29=0,0,E13/E29)</f>
        <v>1483.1913507734391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6872.0863220404735</v>
      </c>
      <c r="D48" s="744">
        <f>IF(D30=0,0,D13/D30)</f>
        <v>7483.7294284445043</v>
      </c>
      <c r="E48" s="744">
        <f>IF(E30=0,0,E13/E30)</f>
        <v>6579.0101210508583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5157.0257092747343</v>
      </c>
      <c r="D51" s="744">
        <f>IF(D19=0,0,D16/D19)</f>
        <v>5160.2817567567572</v>
      </c>
      <c r="E51" s="744">
        <f>IF(E19=0,0,E16/E19)</f>
        <v>5241.227759343893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21931.840207090208</v>
      </c>
      <c r="D52" s="744">
        <f>IF(D20=0,0,D16/D20)</f>
        <v>23576.067446211411</v>
      </c>
      <c r="E52" s="744">
        <f>IF(E20=0,0,E16/E20)</f>
        <v>23248.578450430436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1931.2456178386901</v>
      </c>
      <c r="D53" s="744">
        <f>IF(D22=0,0,D16/D22)</f>
        <v>1822.1547047326676</v>
      </c>
      <c r="E53" s="744">
        <f>IF(E22=0,0,E16/E22)</f>
        <v>1764.9149389217023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8213.2168189322656</v>
      </c>
      <c r="D54" s="744">
        <f>IF(D23=0,0,D16/D23)</f>
        <v>8324.9799606308225</v>
      </c>
      <c r="E54" s="744">
        <f>IF(E23=0,0,E16/E23)</f>
        <v>7828.6549068026516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1506.9236374911952</v>
      </c>
      <c r="D55" s="744">
        <f>IF(D29=0,0,D16/D29)</f>
        <v>1406.0041801673142</v>
      </c>
      <c r="E55" s="744">
        <f>IF(E29=0,0,E16/E29)</f>
        <v>1304.6371254255246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6408.6569051431006</v>
      </c>
      <c r="D56" s="744">
        <f>IF(D30=0,0,D16/D30)</f>
        <v>6423.6898184632018</v>
      </c>
      <c r="E56" s="744">
        <f>IF(E30=0,0,E16/E30)</f>
        <v>5786.9949470763404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40513043</v>
      </c>
      <c r="D59" s="752">
        <v>39084390</v>
      </c>
      <c r="E59" s="752">
        <v>36651849</v>
      </c>
    </row>
    <row r="60" spans="1:6" ht="26.1" customHeight="1" x14ac:dyDescent="0.25">
      <c r="A60" s="742">
        <v>2</v>
      </c>
      <c r="B60" s="743" t="s">
        <v>969</v>
      </c>
      <c r="C60" s="752">
        <v>6901497</v>
      </c>
      <c r="D60" s="752">
        <v>6219772</v>
      </c>
      <c r="E60" s="752">
        <v>6103468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47414540</v>
      </c>
      <c r="D61" s="755">
        <f>D59+D60</f>
        <v>45304162</v>
      </c>
      <c r="E61" s="755">
        <f>E59+E60</f>
        <v>42755317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12360010</v>
      </c>
      <c r="D64" s="744">
        <v>13219670</v>
      </c>
      <c r="E64" s="752">
        <v>13820490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2034733</v>
      </c>
      <c r="D65" s="752">
        <v>2522646</v>
      </c>
      <c r="E65" s="752">
        <v>2650717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14394743</v>
      </c>
      <c r="D66" s="757">
        <f>D64+D65</f>
        <v>15742316</v>
      </c>
      <c r="E66" s="757">
        <f>E64+E65</f>
        <v>16471207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62652464</v>
      </c>
      <c r="D69" s="752">
        <v>57862829</v>
      </c>
      <c r="E69" s="752">
        <v>58034107</v>
      </c>
    </row>
    <row r="70" spans="1:6" ht="26.1" customHeight="1" x14ac:dyDescent="0.25">
      <c r="A70" s="742">
        <v>2</v>
      </c>
      <c r="B70" s="743" t="s">
        <v>977</v>
      </c>
      <c r="C70" s="752">
        <v>17944384</v>
      </c>
      <c r="D70" s="752">
        <v>12705071</v>
      </c>
      <c r="E70" s="752">
        <v>15015799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80596848</v>
      </c>
      <c r="D71" s="755">
        <f>D69+D70</f>
        <v>70567900</v>
      </c>
      <c r="E71" s="755">
        <f>E69+E70</f>
        <v>73049906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115525517</v>
      </c>
      <c r="D75" s="744">
        <f t="shared" si="0"/>
        <v>110166889</v>
      </c>
      <c r="E75" s="744">
        <f t="shared" si="0"/>
        <v>108506446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26880614</v>
      </c>
      <c r="D76" s="744">
        <f t="shared" si="0"/>
        <v>21447489</v>
      </c>
      <c r="E76" s="744">
        <f t="shared" si="0"/>
        <v>23769984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142406131</v>
      </c>
      <c r="D77" s="757">
        <f>D75+D76</f>
        <v>131614378</v>
      </c>
      <c r="E77" s="757">
        <f>E75+E76</f>
        <v>132276430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442.7</v>
      </c>
      <c r="D80" s="749">
        <v>423.1</v>
      </c>
      <c r="E80" s="749">
        <v>398</v>
      </c>
    </row>
    <row r="81" spans="1:5" ht="26.1" customHeight="1" x14ac:dyDescent="0.25">
      <c r="A81" s="742">
        <v>2</v>
      </c>
      <c r="B81" s="743" t="s">
        <v>617</v>
      </c>
      <c r="C81" s="749">
        <v>44</v>
      </c>
      <c r="D81" s="749">
        <v>42.4</v>
      </c>
      <c r="E81" s="749">
        <v>44.3</v>
      </c>
    </row>
    <row r="82" spans="1:5" ht="26.1" customHeight="1" x14ac:dyDescent="0.25">
      <c r="A82" s="742">
        <v>3</v>
      </c>
      <c r="B82" s="743" t="s">
        <v>983</v>
      </c>
      <c r="C82" s="749">
        <v>1045</v>
      </c>
      <c r="D82" s="749">
        <v>991.5</v>
      </c>
      <c r="E82" s="749">
        <v>981.2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1531.7</v>
      </c>
      <c r="D83" s="759">
        <f>D80+D81+D82</f>
        <v>1457</v>
      </c>
      <c r="E83" s="759">
        <f>E80+E81+E82</f>
        <v>1423.5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91513.537384233117</v>
      </c>
      <c r="D86" s="752">
        <f>IF(D80=0,0,D59/D80)</f>
        <v>92376.246750177263</v>
      </c>
      <c r="E86" s="752">
        <f>IF(E80=0,0,E59/E80)</f>
        <v>92090.072864321613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15589.55726225435</v>
      </c>
      <c r="D87" s="752">
        <f>IF(D80=0,0,D60/D80)</f>
        <v>14700.477428503898</v>
      </c>
      <c r="E87" s="752">
        <f>IF(E80=0,0,E60/E80)</f>
        <v>15335.346733668342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107103.09464648747</v>
      </c>
      <c r="D88" s="755">
        <f>+D86+D87</f>
        <v>107076.72417868116</v>
      </c>
      <c r="E88" s="755">
        <f>+E86+E87</f>
        <v>107425.41959798995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280909.31818181818</v>
      </c>
      <c r="D91" s="744">
        <f>IF(D81=0,0,D64/D81)</f>
        <v>311784.66981132078</v>
      </c>
      <c r="E91" s="744">
        <f>IF(E81=0,0,E64/E81)</f>
        <v>311974.94356659142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46243.931818181816</v>
      </c>
      <c r="D92" s="744">
        <f>IF(D81=0,0,D65/D81)</f>
        <v>59496.367924528306</v>
      </c>
      <c r="E92" s="744">
        <f>IF(E81=0,0,E65/E81)</f>
        <v>59835.598194130929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327153.25</v>
      </c>
      <c r="D93" s="757">
        <f>+D91+D92</f>
        <v>371281.0377358491</v>
      </c>
      <c r="E93" s="757">
        <f>+E91+E92</f>
        <v>371810.54176072235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59954.51100478469</v>
      </c>
      <c r="D96" s="752">
        <f>IF(D82=0,0,D69/D82)</f>
        <v>58358.879475542111</v>
      </c>
      <c r="E96" s="752">
        <f>IF(E82=0,0,E69/E82)</f>
        <v>59146.05279249898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17171.659330143542</v>
      </c>
      <c r="D97" s="752">
        <f>IF(D82=0,0,D70/D82)</f>
        <v>12813.989914271306</v>
      </c>
      <c r="E97" s="752">
        <f>IF(E82=0,0,E70/E82)</f>
        <v>15303.504891969016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77126.170334928232</v>
      </c>
      <c r="D98" s="757">
        <f>+D96+D97</f>
        <v>71172.869389813422</v>
      </c>
      <c r="E98" s="757">
        <f>+E96+E97</f>
        <v>74449.557684467989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75423.070444604033</v>
      </c>
      <c r="D101" s="744">
        <f>IF(D83=0,0,D75/D83)</f>
        <v>75612.14070006863</v>
      </c>
      <c r="E101" s="744">
        <f>IF(E83=0,0,E75/E83)</f>
        <v>76225.111345275727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17549.529281190833</v>
      </c>
      <c r="D102" s="761">
        <f>IF(D83=0,0,D76/D83)</f>
        <v>14720.308167467399</v>
      </c>
      <c r="E102" s="761">
        <f>IF(E83=0,0,E76/E83)</f>
        <v>16698.267650158061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92972.599725794862</v>
      </c>
      <c r="D103" s="757">
        <f>+D101+D102</f>
        <v>90332.448867536034</v>
      </c>
      <c r="E103" s="757">
        <f>+E101+E102</f>
        <v>92923.378995433784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2938.3293304446506</v>
      </c>
      <c r="D108" s="744">
        <f>IF(D19=0,0,D77/D19)</f>
        <v>2694.8070843570845</v>
      </c>
      <c r="E108" s="744">
        <f>IF(E19=0,0,E77/E19)</f>
        <v>2760.4171622947056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12496.150491400491</v>
      </c>
      <c r="D109" s="744">
        <f>IF(D20=0,0,D77/D20)</f>
        <v>12311.915622076707</v>
      </c>
      <c r="E109" s="744">
        <f>IF(E20=0,0,E77/E20)</f>
        <v>12244.416365824309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1100.36985717998</v>
      </c>
      <c r="D110" s="744">
        <f>IF(D22=0,0,D77/D22)</f>
        <v>951.56730554076341</v>
      </c>
      <c r="E110" s="744">
        <f>IF(E22=0,0,E77/E22)</f>
        <v>929.53439749003644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4679.6617346637177</v>
      </c>
      <c r="D111" s="744">
        <f>IF(D23=0,0,D77/D23)</f>
        <v>4347.4786906090631</v>
      </c>
      <c r="E111" s="744">
        <f>IF(E23=0,0,E77/E23)</f>
        <v>4123.1471622072622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858.60303446178409</v>
      </c>
      <c r="D112" s="744">
        <f>IF(D29=0,0,D77/D29)</f>
        <v>734.24479591437796</v>
      </c>
      <c r="E112" s="744">
        <f>IF(E29=0,0,E77/E29)</f>
        <v>687.11814806580196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3651.4738561943109</v>
      </c>
      <c r="D113" s="744">
        <f>IF(D30=0,0,D77/D30)</f>
        <v>3354.585204158861</v>
      </c>
      <c r="E113" s="744">
        <f>IF(E30=0,0,E77/E30)</f>
        <v>3047.8584223979601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/>
  <headerFooter>
    <oddHeader>&amp;L&amp;"Arial,Bold"&amp;12OFFICE OF HEALTH CARE ACCESS&amp;C&amp;"Arial,Bold"&amp;12TWELVE MONTHS ACTUAL FILING&amp;R&amp;"Arial,Bold"&amp;12WILLIAM W. BACKUS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701705462</v>
      </c>
      <c r="D12" s="76">
        <v>738603146</v>
      </c>
      <c r="E12" s="76">
        <f t="shared" ref="E12:E21" si="0">D12-C12</f>
        <v>36897684</v>
      </c>
      <c r="F12" s="77">
        <f t="shared" ref="F12:F21" si="1">IF(C12=0,0,E12/C12)</f>
        <v>5.2582865601237115E-2</v>
      </c>
    </row>
    <row r="13" spans="1:8" ht="23.1" customHeight="1" x14ac:dyDescent="0.2">
      <c r="A13" s="74">
        <v>2</v>
      </c>
      <c r="B13" s="75" t="s">
        <v>72</v>
      </c>
      <c r="C13" s="76">
        <v>394788265</v>
      </c>
      <c r="D13" s="76">
        <v>440279045</v>
      </c>
      <c r="E13" s="76">
        <f t="shared" si="0"/>
        <v>45490780</v>
      </c>
      <c r="F13" s="77">
        <f t="shared" si="1"/>
        <v>0.11522829838926443</v>
      </c>
    </row>
    <row r="14" spans="1:8" ht="23.1" customHeight="1" x14ac:dyDescent="0.2">
      <c r="A14" s="74">
        <v>3</v>
      </c>
      <c r="B14" s="75" t="s">
        <v>73</v>
      </c>
      <c r="C14" s="76">
        <v>5263975</v>
      </c>
      <c r="D14" s="76">
        <v>4309525</v>
      </c>
      <c r="E14" s="76">
        <f t="shared" si="0"/>
        <v>-954450</v>
      </c>
      <c r="F14" s="77">
        <f t="shared" si="1"/>
        <v>-0.18131735048133776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301653222</v>
      </c>
      <c r="D16" s="79">
        <f>D12-D13-D14-D15</f>
        <v>294014576</v>
      </c>
      <c r="E16" s="79">
        <f t="shared" si="0"/>
        <v>-7638646</v>
      </c>
      <c r="F16" s="80">
        <f t="shared" si="1"/>
        <v>-2.5322607029869552E-2</v>
      </c>
    </row>
    <row r="17" spans="1:7" ht="23.1" customHeight="1" x14ac:dyDescent="0.2">
      <c r="A17" s="74">
        <v>5</v>
      </c>
      <c r="B17" s="75" t="s">
        <v>76</v>
      </c>
      <c r="C17" s="76">
        <v>8035283</v>
      </c>
      <c r="D17" s="76">
        <v>8486887</v>
      </c>
      <c r="E17" s="76">
        <f t="shared" si="0"/>
        <v>451604</v>
      </c>
      <c r="F17" s="77">
        <f t="shared" si="1"/>
        <v>5.6202625346238586E-2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293617939</v>
      </c>
      <c r="D18" s="79">
        <f>D16-D17</f>
        <v>285527689</v>
      </c>
      <c r="E18" s="79">
        <f t="shared" si="0"/>
        <v>-8090250</v>
      </c>
      <c r="F18" s="80">
        <f t="shared" si="1"/>
        <v>-2.7553663878827239E-2</v>
      </c>
    </row>
    <row r="19" spans="1:7" ht="23.1" customHeight="1" x14ac:dyDescent="0.2">
      <c r="A19" s="74">
        <v>6</v>
      </c>
      <c r="B19" s="75" t="s">
        <v>78</v>
      </c>
      <c r="C19" s="76">
        <v>6760427</v>
      </c>
      <c r="D19" s="76">
        <v>6358844</v>
      </c>
      <c r="E19" s="76">
        <f t="shared" si="0"/>
        <v>-401583</v>
      </c>
      <c r="F19" s="77">
        <f t="shared" si="1"/>
        <v>-5.9402017061940024E-2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287246</v>
      </c>
      <c r="D20" s="76">
        <v>217950</v>
      </c>
      <c r="E20" s="76">
        <f t="shared" si="0"/>
        <v>-69296</v>
      </c>
      <c r="F20" s="77">
        <f t="shared" si="1"/>
        <v>-0.24124269789657646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300665612</v>
      </c>
      <c r="D21" s="79">
        <f>SUM(D18:D20)</f>
        <v>292104483</v>
      </c>
      <c r="E21" s="79">
        <f t="shared" si="0"/>
        <v>-8561129</v>
      </c>
      <c r="F21" s="80">
        <f t="shared" si="1"/>
        <v>-2.8473921387458169E-2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110166889</v>
      </c>
      <c r="D24" s="76">
        <v>108506446</v>
      </c>
      <c r="E24" s="76">
        <f t="shared" ref="E24:E33" si="2">D24-C24</f>
        <v>-1660443</v>
      </c>
      <c r="F24" s="77">
        <f t="shared" ref="F24:F33" si="3">IF(C24=0,0,E24/C24)</f>
        <v>-1.5072069430952162E-2</v>
      </c>
    </row>
    <row r="25" spans="1:7" ht="23.1" customHeight="1" x14ac:dyDescent="0.2">
      <c r="A25" s="74">
        <v>2</v>
      </c>
      <c r="B25" s="75" t="s">
        <v>83</v>
      </c>
      <c r="C25" s="76">
        <v>21447489</v>
      </c>
      <c r="D25" s="76">
        <v>23769984</v>
      </c>
      <c r="E25" s="76">
        <f t="shared" si="2"/>
        <v>2322495</v>
      </c>
      <c r="F25" s="77">
        <f t="shared" si="3"/>
        <v>0.10828750162781293</v>
      </c>
    </row>
    <row r="26" spans="1:7" ht="23.1" customHeight="1" x14ac:dyDescent="0.2">
      <c r="A26" s="74">
        <v>3</v>
      </c>
      <c r="B26" s="75" t="s">
        <v>84</v>
      </c>
      <c r="C26" s="76">
        <v>2624355</v>
      </c>
      <c r="D26" s="76">
        <v>3109419</v>
      </c>
      <c r="E26" s="76">
        <f t="shared" si="2"/>
        <v>485064</v>
      </c>
      <c r="F26" s="77">
        <f t="shared" si="3"/>
        <v>0.18483170150379807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39451269</v>
      </c>
      <c r="D27" s="76">
        <v>39945030</v>
      </c>
      <c r="E27" s="76">
        <f t="shared" si="2"/>
        <v>493761</v>
      </c>
      <c r="F27" s="77">
        <f t="shared" si="3"/>
        <v>1.2515719076108807E-2</v>
      </c>
    </row>
    <row r="28" spans="1:7" ht="23.1" customHeight="1" x14ac:dyDescent="0.2">
      <c r="A28" s="74">
        <v>5</v>
      </c>
      <c r="B28" s="75" t="s">
        <v>86</v>
      </c>
      <c r="C28" s="76">
        <v>15651354</v>
      </c>
      <c r="D28" s="76">
        <v>15041302</v>
      </c>
      <c r="E28" s="76">
        <f t="shared" si="2"/>
        <v>-610052</v>
      </c>
      <c r="F28" s="77">
        <f t="shared" si="3"/>
        <v>-3.8977586220335952E-2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2992001</v>
      </c>
      <c r="D30" s="76">
        <v>3380083</v>
      </c>
      <c r="E30" s="76">
        <f t="shared" si="2"/>
        <v>388082</v>
      </c>
      <c r="F30" s="77">
        <f t="shared" si="3"/>
        <v>0.1297065074510336</v>
      </c>
    </row>
    <row r="31" spans="1:7" ht="23.1" customHeight="1" x14ac:dyDescent="0.2">
      <c r="A31" s="74">
        <v>8</v>
      </c>
      <c r="B31" s="75" t="s">
        <v>89</v>
      </c>
      <c r="C31" s="76">
        <v>1363097</v>
      </c>
      <c r="D31" s="76">
        <v>3154911</v>
      </c>
      <c r="E31" s="76">
        <f t="shared" si="2"/>
        <v>1791814</v>
      </c>
      <c r="F31" s="77">
        <f t="shared" si="3"/>
        <v>1.3145168685720825</v>
      </c>
    </row>
    <row r="32" spans="1:7" ht="23.1" customHeight="1" x14ac:dyDescent="0.2">
      <c r="A32" s="74">
        <v>9</v>
      </c>
      <c r="B32" s="75" t="s">
        <v>90</v>
      </c>
      <c r="C32" s="76">
        <v>58331707</v>
      </c>
      <c r="D32" s="76">
        <v>54247218</v>
      </c>
      <c r="E32" s="76">
        <f t="shared" si="2"/>
        <v>-4084489</v>
      </c>
      <c r="F32" s="77">
        <f t="shared" si="3"/>
        <v>-7.0021763635341586E-2</v>
      </c>
    </row>
    <row r="33" spans="1:6" ht="23.1" customHeight="1" x14ac:dyDescent="0.25">
      <c r="A33" s="71"/>
      <c r="B33" s="78" t="s">
        <v>91</v>
      </c>
      <c r="C33" s="79">
        <f>SUM(C24:C32)</f>
        <v>252028161</v>
      </c>
      <c r="D33" s="79">
        <f>SUM(D24:D32)</f>
        <v>251154393</v>
      </c>
      <c r="E33" s="79">
        <f t="shared" si="2"/>
        <v>-873768</v>
      </c>
      <c r="F33" s="80">
        <f t="shared" si="3"/>
        <v>-3.4669459021287705E-3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48637451</v>
      </c>
      <c r="D35" s="79">
        <f>+D21-D33</f>
        <v>40950090</v>
      </c>
      <c r="E35" s="79">
        <f>D35-C35</f>
        <v>-7687361</v>
      </c>
      <c r="F35" s="80">
        <f>IF(C35=0,0,E35/C35)</f>
        <v>-0.15805435609690976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8426323</v>
      </c>
      <c r="D38" s="76">
        <v>-1452426</v>
      </c>
      <c r="E38" s="76">
        <f>D38-C38</f>
        <v>-9878749</v>
      </c>
      <c r="F38" s="77">
        <f>IF(C38=0,0,E38/C38)</f>
        <v>-1.1723677100913412</v>
      </c>
    </row>
    <row r="39" spans="1:6" ht="23.1" customHeight="1" x14ac:dyDescent="0.2">
      <c r="A39" s="85">
        <v>2</v>
      </c>
      <c r="B39" s="75" t="s">
        <v>95</v>
      </c>
      <c r="C39" s="76">
        <v>222728</v>
      </c>
      <c r="D39" s="76">
        <v>166697</v>
      </c>
      <c r="E39" s="76">
        <f>D39-C39</f>
        <v>-56031</v>
      </c>
      <c r="F39" s="77">
        <f>IF(C39=0,0,E39/C39)</f>
        <v>-0.25156693365899213</v>
      </c>
    </row>
    <row r="40" spans="1:6" ht="23.1" customHeight="1" x14ac:dyDescent="0.2">
      <c r="A40" s="85">
        <v>3</v>
      </c>
      <c r="B40" s="75" t="s">
        <v>96</v>
      </c>
      <c r="C40" s="76">
        <v>-186851</v>
      </c>
      <c r="D40" s="76">
        <v>56355</v>
      </c>
      <c r="E40" s="76">
        <f>D40-C40</f>
        <v>243206</v>
      </c>
      <c r="F40" s="77">
        <f>IF(C40=0,0,E40/C40)</f>
        <v>-1.3016039518118714</v>
      </c>
    </row>
    <row r="41" spans="1:6" ht="23.1" customHeight="1" x14ac:dyDescent="0.25">
      <c r="A41" s="83"/>
      <c r="B41" s="78" t="s">
        <v>97</v>
      </c>
      <c r="C41" s="79">
        <f>SUM(C38:C40)</f>
        <v>8462200</v>
      </c>
      <c r="D41" s="79">
        <f>SUM(D38:D40)</f>
        <v>-1229374</v>
      </c>
      <c r="E41" s="79">
        <f>D41-C41</f>
        <v>-9691574</v>
      </c>
      <c r="F41" s="80">
        <f>IF(C41=0,0,E41/C41)</f>
        <v>-1.1452782964240977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57099651</v>
      </c>
      <c r="D43" s="79">
        <f>D35+D41</f>
        <v>39720716</v>
      </c>
      <c r="E43" s="79">
        <f>D43-C43</f>
        <v>-17378935</v>
      </c>
      <c r="F43" s="80">
        <f>IF(C43=0,0,E43/C43)</f>
        <v>-0.30436149250719591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604064</v>
      </c>
      <c r="D46" s="76">
        <v>404190</v>
      </c>
      <c r="E46" s="76">
        <f>D46-C46</f>
        <v>-199874</v>
      </c>
      <c r="F46" s="77">
        <f>IF(C46=0,0,E46/C46)</f>
        <v>-0.33088215818191452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604064</v>
      </c>
      <c r="D48" s="79">
        <f>SUM(D46:D47)</f>
        <v>404190</v>
      </c>
      <c r="E48" s="79">
        <f>D48-C48</f>
        <v>-199874</v>
      </c>
      <c r="F48" s="80">
        <f>IF(C48=0,0,E48/C48)</f>
        <v>-0.33088215818191452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57703715</v>
      </c>
      <c r="D50" s="79">
        <f>D43+D48</f>
        <v>40124906</v>
      </c>
      <c r="E50" s="79">
        <f>D50-C50</f>
        <v>-17578809</v>
      </c>
      <c r="F50" s="80">
        <f>IF(C50=0,0,E50/C50)</f>
        <v>-0.30463912072212335</v>
      </c>
    </row>
    <row r="51" spans="1:6" ht="23.1" customHeight="1" x14ac:dyDescent="0.2">
      <c r="A51" s="85"/>
      <c r="B51" s="75" t="s">
        <v>104</v>
      </c>
      <c r="C51" s="76">
        <v>2433472</v>
      </c>
      <c r="D51" s="76">
        <v>386964</v>
      </c>
      <c r="E51" s="76">
        <f>D51-C51</f>
        <v>-2046508</v>
      </c>
      <c r="F51" s="77">
        <f>IF(C51=0,0,E51/C51)</f>
        <v>-0.84098276043447384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4" orientation="portrait" horizontalDpi="1200" verticalDpi="1200"/>
  <headerFooter>
    <oddHeader>&amp;LOFFICE OF HEALTH CARE ACCESS&amp;CTWELVE MONTHS ACTUAL FILING&amp;RWILLIAM W. BACKUS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115697392</v>
      </c>
      <c r="D14" s="113">
        <v>115970254</v>
      </c>
      <c r="E14" s="113">
        <f t="shared" ref="E14:E25" si="0">D14-C14</f>
        <v>272862</v>
      </c>
      <c r="F14" s="114">
        <f t="shared" ref="F14:F25" si="1">IF(C14=0,0,E14/C14)</f>
        <v>2.3584109830237141E-3</v>
      </c>
    </row>
    <row r="15" spans="1:6" x14ac:dyDescent="0.2">
      <c r="A15" s="115">
        <v>2</v>
      </c>
      <c r="B15" s="116" t="s">
        <v>114</v>
      </c>
      <c r="C15" s="113">
        <v>18964070</v>
      </c>
      <c r="D15" s="113">
        <v>18911093</v>
      </c>
      <c r="E15" s="113">
        <f t="shared" si="0"/>
        <v>-52977</v>
      </c>
      <c r="F15" s="114">
        <f t="shared" si="1"/>
        <v>-2.7935459002207861E-3</v>
      </c>
    </row>
    <row r="16" spans="1:6" x14ac:dyDescent="0.2">
      <c r="A16" s="115">
        <v>3</v>
      </c>
      <c r="B16" s="116" t="s">
        <v>115</v>
      </c>
      <c r="C16" s="113">
        <v>41698751</v>
      </c>
      <c r="D16" s="113">
        <v>44691115</v>
      </c>
      <c r="E16" s="113">
        <f t="shared" si="0"/>
        <v>2992364</v>
      </c>
      <c r="F16" s="114">
        <f t="shared" si="1"/>
        <v>7.1761477939710952E-2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2915085</v>
      </c>
      <c r="D18" s="113">
        <v>2468203</v>
      </c>
      <c r="E18" s="113">
        <f t="shared" si="0"/>
        <v>-446882</v>
      </c>
      <c r="F18" s="114">
        <f t="shared" si="1"/>
        <v>-0.15329981801559817</v>
      </c>
    </row>
    <row r="19" spans="1:6" x14ac:dyDescent="0.2">
      <c r="A19" s="115">
        <v>6</v>
      </c>
      <c r="B19" s="116" t="s">
        <v>118</v>
      </c>
      <c r="C19" s="113">
        <v>2775071</v>
      </c>
      <c r="D19" s="113">
        <v>4194185</v>
      </c>
      <c r="E19" s="113">
        <f t="shared" si="0"/>
        <v>1419114</v>
      </c>
      <c r="F19" s="114">
        <f t="shared" si="1"/>
        <v>0.5113793484923449</v>
      </c>
    </row>
    <row r="20" spans="1:6" x14ac:dyDescent="0.2">
      <c r="A20" s="115">
        <v>7</v>
      </c>
      <c r="B20" s="116" t="s">
        <v>119</v>
      </c>
      <c r="C20" s="113">
        <v>58975895</v>
      </c>
      <c r="D20" s="113">
        <v>55184438</v>
      </c>
      <c r="E20" s="113">
        <f t="shared" si="0"/>
        <v>-3791457</v>
      </c>
      <c r="F20" s="114">
        <f t="shared" si="1"/>
        <v>-6.4288248614115986E-2</v>
      </c>
    </row>
    <row r="21" spans="1:6" x14ac:dyDescent="0.2">
      <c r="A21" s="115">
        <v>8</v>
      </c>
      <c r="B21" s="116" t="s">
        <v>120</v>
      </c>
      <c r="C21" s="113">
        <v>2656936</v>
      </c>
      <c r="D21" s="113">
        <v>2905521</v>
      </c>
      <c r="E21" s="113">
        <f t="shared" si="0"/>
        <v>248585</v>
      </c>
      <c r="F21" s="114">
        <f t="shared" si="1"/>
        <v>9.356077827994351E-2</v>
      </c>
    </row>
    <row r="22" spans="1:6" x14ac:dyDescent="0.2">
      <c r="A22" s="115">
        <v>9</v>
      </c>
      <c r="B22" s="116" t="s">
        <v>121</v>
      </c>
      <c r="C22" s="113">
        <v>2221992</v>
      </c>
      <c r="D22" s="113">
        <v>2087344</v>
      </c>
      <c r="E22" s="113">
        <f t="shared" si="0"/>
        <v>-134648</v>
      </c>
      <c r="F22" s="114">
        <f t="shared" si="1"/>
        <v>-6.0597877940154601E-2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1875059</v>
      </c>
      <c r="D24" s="113">
        <v>2302802</v>
      </c>
      <c r="E24" s="113">
        <f t="shared" si="0"/>
        <v>427743</v>
      </c>
      <c r="F24" s="114">
        <f t="shared" si="1"/>
        <v>0.22812242174779568</v>
      </c>
    </row>
    <row r="25" spans="1:6" ht="15.75" x14ac:dyDescent="0.25">
      <c r="A25" s="117"/>
      <c r="B25" s="118" t="s">
        <v>124</v>
      </c>
      <c r="C25" s="119">
        <f>SUM(C14:C24)</f>
        <v>247780251</v>
      </c>
      <c r="D25" s="119">
        <f>SUM(D14:D24)</f>
        <v>248714955</v>
      </c>
      <c r="E25" s="119">
        <f t="shared" si="0"/>
        <v>934704</v>
      </c>
      <c r="F25" s="120">
        <f t="shared" si="1"/>
        <v>3.7723103283158754E-3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126392923</v>
      </c>
      <c r="D27" s="113">
        <v>137140136</v>
      </c>
      <c r="E27" s="113">
        <f t="shared" ref="E27:E38" si="2">D27-C27</f>
        <v>10747213</v>
      </c>
      <c r="F27" s="114">
        <f t="shared" ref="F27:F38" si="3">IF(C27=0,0,E27/C27)</f>
        <v>8.5030180052090412E-2</v>
      </c>
    </row>
    <row r="28" spans="1:6" x14ac:dyDescent="0.2">
      <c r="A28" s="115">
        <v>2</v>
      </c>
      <c r="B28" s="116" t="s">
        <v>114</v>
      </c>
      <c r="C28" s="113">
        <v>27390798</v>
      </c>
      <c r="D28" s="113">
        <v>32676546</v>
      </c>
      <c r="E28" s="113">
        <f t="shared" si="2"/>
        <v>5285748</v>
      </c>
      <c r="F28" s="114">
        <f t="shared" si="3"/>
        <v>0.19297531966757595</v>
      </c>
    </row>
    <row r="29" spans="1:6" x14ac:dyDescent="0.2">
      <c r="A29" s="115">
        <v>3</v>
      </c>
      <c r="B29" s="116" t="s">
        <v>115</v>
      </c>
      <c r="C29" s="113">
        <v>100205817</v>
      </c>
      <c r="D29" s="113">
        <v>113692625</v>
      </c>
      <c r="E29" s="113">
        <f t="shared" si="2"/>
        <v>13486808</v>
      </c>
      <c r="F29" s="114">
        <f t="shared" si="3"/>
        <v>0.13459106870013346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8163938</v>
      </c>
      <c r="D31" s="113">
        <v>8574168</v>
      </c>
      <c r="E31" s="113">
        <f t="shared" si="2"/>
        <v>410230</v>
      </c>
      <c r="F31" s="114">
        <f t="shared" si="3"/>
        <v>5.0249034228334412E-2</v>
      </c>
    </row>
    <row r="32" spans="1:6" x14ac:dyDescent="0.2">
      <c r="A32" s="115">
        <v>6</v>
      </c>
      <c r="B32" s="116" t="s">
        <v>118</v>
      </c>
      <c r="C32" s="113">
        <v>9495014</v>
      </c>
      <c r="D32" s="113">
        <v>9565485</v>
      </c>
      <c r="E32" s="113">
        <f t="shared" si="2"/>
        <v>70471</v>
      </c>
      <c r="F32" s="114">
        <f t="shared" si="3"/>
        <v>7.4218953231664532E-3</v>
      </c>
    </row>
    <row r="33" spans="1:6" x14ac:dyDescent="0.2">
      <c r="A33" s="115">
        <v>7</v>
      </c>
      <c r="B33" s="116" t="s">
        <v>119</v>
      </c>
      <c r="C33" s="113">
        <v>164298535</v>
      </c>
      <c r="D33" s="113">
        <v>171030226</v>
      </c>
      <c r="E33" s="113">
        <f t="shared" si="2"/>
        <v>6731691</v>
      </c>
      <c r="F33" s="114">
        <f t="shared" si="3"/>
        <v>4.0972312991104883E-2</v>
      </c>
    </row>
    <row r="34" spans="1:6" x14ac:dyDescent="0.2">
      <c r="A34" s="115">
        <v>8</v>
      </c>
      <c r="B34" s="116" t="s">
        <v>120</v>
      </c>
      <c r="C34" s="113">
        <v>4987772</v>
      </c>
      <c r="D34" s="113">
        <v>5383585</v>
      </c>
      <c r="E34" s="113">
        <f t="shared" si="2"/>
        <v>395813</v>
      </c>
      <c r="F34" s="114">
        <f t="shared" si="3"/>
        <v>7.9356674683606229E-2</v>
      </c>
    </row>
    <row r="35" spans="1:6" x14ac:dyDescent="0.2">
      <c r="A35" s="115">
        <v>9</v>
      </c>
      <c r="B35" s="116" t="s">
        <v>121</v>
      </c>
      <c r="C35" s="113">
        <v>10795864</v>
      </c>
      <c r="D35" s="113">
        <v>8869175</v>
      </c>
      <c r="E35" s="113">
        <f t="shared" si="2"/>
        <v>-1926689</v>
      </c>
      <c r="F35" s="114">
        <f t="shared" si="3"/>
        <v>-0.1784654752968359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2194550</v>
      </c>
      <c r="D37" s="113">
        <v>2956245</v>
      </c>
      <c r="E37" s="113">
        <f t="shared" si="2"/>
        <v>761695</v>
      </c>
      <c r="F37" s="114">
        <f t="shared" si="3"/>
        <v>0.34708482376797067</v>
      </c>
    </row>
    <row r="38" spans="1:6" ht="15.75" x14ac:dyDescent="0.25">
      <c r="A38" s="117"/>
      <c r="B38" s="118" t="s">
        <v>126</v>
      </c>
      <c r="C38" s="119">
        <f>SUM(C27:C37)</f>
        <v>453925211</v>
      </c>
      <c r="D38" s="119">
        <f>SUM(D27:D37)</f>
        <v>489888191</v>
      </c>
      <c r="E38" s="119">
        <f t="shared" si="2"/>
        <v>35962980</v>
      </c>
      <c r="F38" s="120">
        <f t="shared" si="3"/>
        <v>7.922666361882244E-2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242090315</v>
      </c>
      <c r="D41" s="119">
        <f t="shared" si="4"/>
        <v>253110390</v>
      </c>
      <c r="E41" s="123">
        <f t="shared" ref="E41:E52" si="5">D41-C41</f>
        <v>11020075</v>
      </c>
      <c r="F41" s="124">
        <f t="shared" ref="F41:F52" si="6">IF(C41=0,0,E41/C41)</f>
        <v>4.5520511632198092E-2</v>
      </c>
    </row>
    <row r="42" spans="1:6" ht="15.75" x14ac:dyDescent="0.25">
      <c r="A42" s="121">
        <v>2</v>
      </c>
      <c r="B42" s="122" t="s">
        <v>114</v>
      </c>
      <c r="C42" s="119">
        <f t="shared" si="4"/>
        <v>46354868</v>
      </c>
      <c r="D42" s="119">
        <f t="shared" si="4"/>
        <v>51587639</v>
      </c>
      <c r="E42" s="123">
        <f t="shared" si="5"/>
        <v>5232771</v>
      </c>
      <c r="F42" s="124">
        <f t="shared" si="6"/>
        <v>0.11288503723060973</v>
      </c>
    </row>
    <row r="43" spans="1:6" ht="15.75" x14ac:dyDescent="0.25">
      <c r="A43" s="121">
        <v>3</v>
      </c>
      <c r="B43" s="122" t="s">
        <v>115</v>
      </c>
      <c r="C43" s="119">
        <f t="shared" si="4"/>
        <v>141904568</v>
      </c>
      <c r="D43" s="119">
        <f t="shared" si="4"/>
        <v>158383740</v>
      </c>
      <c r="E43" s="123">
        <f t="shared" si="5"/>
        <v>16479172</v>
      </c>
      <c r="F43" s="124">
        <f t="shared" si="6"/>
        <v>0.11612855197163209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11079023</v>
      </c>
      <c r="D45" s="119">
        <f t="shared" si="4"/>
        <v>11042371</v>
      </c>
      <c r="E45" s="123">
        <f t="shared" si="5"/>
        <v>-36652</v>
      </c>
      <c r="F45" s="124">
        <f t="shared" si="6"/>
        <v>-3.3082339480656371E-3</v>
      </c>
    </row>
    <row r="46" spans="1:6" ht="15.75" x14ac:dyDescent="0.25">
      <c r="A46" s="121">
        <v>6</v>
      </c>
      <c r="B46" s="122" t="s">
        <v>118</v>
      </c>
      <c r="C46" s="119">
        <f t="shared" si="4"/>
        <v>12270085</v>
      </c>
      <c r="D46" s="119">
        <f t="shared" si="4"/>
        <v>13759670</v>
      </c>
      <c r="E46" s="123">
        <f t="shared" si="5"/>
        <v>1489585</v>
      </c>
      <c r="F46" s="124">
        <f t="shared" si="6"/>
        <v>0.12139972950472633</v>
      </c>
    </row>
    <row r="47" spans="1:6" ht="15.75" x14ac:dyDescent="0.25">
      <c r="A47" s="121">
        <v>7</v>
      </c>
      <c r="B47" s="122" t="s">
        <v>119</v>
      </c>
      <c r="C47" s="119">
        <f t="shared" si="4"/>
        <v>223274430</v>
      </c>
      <c r="D47" s="119">
        <f t="shared" si="4"/>
        <v>226214664</v>
      </c>
      <c r="E47" s="123">
        <f t="shared" si="5"/>
        <v>2940234</v>
      </c>
      <c r="F47" s="124">
        <f t="shared" si="6"/>
        <v>1.3168700061175837E-2</v>
      </c>
    </row>
    <row r="48" spans="1:6" ht="15.75" x14ac:dyDescent="0.25">
      <c r="A48" s="121">
        <v>8</v>
      </c>
      <c r="B48" s="122" t="s">
        <v>120</v>
      </c>
      <c r="C48" s="119">
        <f t="shared" si="4"/>
        <v>7644708</v>
      </c>
      <c r="D48" s="119">
        <f t="shared" si="4"/>
        <v>8289106</v>
      </c>
      <c r="E48" s="123">
        <f t="shared" si="5"/>
        <v>644398</v>
      </c>
      <c r="F48" s="124">
        <f t="shared" si="6"/>
        <v>8.429334383994784E-2</v>
      </c>
    </row>
    <row r="49" spans="1:6" ht="15.75" x14ac:dyDescent="0.25">
      <c r="A49" s="121">
        <v>9</v>
      </c>
      <c r="B49" s="122" t="s">
        <v>121</v>
      </c>
      <c r="C49" s="119">
        <f t="shared" si="4"/>
        <v>13017856</v>
      </c>
      <c r="D49" s="119">
        <f t="shared" si="4"/>
        <v>10956519</v>
      </c>
      <c r="E49" s="123">
        <f t="shared" si="5"/>
        <v>-2061337</v>
      </c>
      <c r="F49" s="124">
        <f t="shared" si="6"/>
        <v>-0.15834688907297792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4069609</v>
      </c>
      <c r="D51" s="119">
        <f t="shared" si="4"/>
        <v>5259047</v>
      </c>
      <c r="E51" s="123">
        <f t="shared" si="5"/>
        <v>1189438</v>
      </c>
      <c r="F51" s="124">
        <f t="shared" si="6"/>
        <v>0.29227328718803208</v>
      </c>
    </row>
    <row r="52" spans="1:6" ht="18.75" customHeight="1" thickBot="1" x14ac:dyDescent="0.3">
      <c r="A52" s="125"/>
      <c r="B52" s="126" t="s">
        <v>128</v>
      </c>
      <c r="C52" s="127">
        <f>SUM(C41:C51)</f>
        <v>701705462</v>
      </c>
      <c r="D52" s="128">
        <f>SUM(D41:D51)</f>
        <v>738603146</v>
      </c>
      <c r="E52" s="127">
        <f t="shared" si="5"/>
        <v>36897684</v>
      </c>
      <c r="F52" s="129">
        <f t="shared" si="6"/>
        <v>5.2582865601237115E-2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53013589</v>
      </c>
      <c r="D57" s="113">
        <v>51455512</v>
      </c>
      <c r="E57" s="113">
        <f t="shared" ref="E57:E68" si="7">D57-C57</f>
        <v>-1558077</v>
      </c>
      <c r="F57" s="114">
        <f t="shared" ref="F57:F68" si="8">IF(C57=0,0,E57/C57)</f>
        <v>-2.9390143723338556E-2</v>
      </c>
    </row>
    <row r="58" spans="1:6" x14ac:dyDescent="0.2">
      <c r="A58" s="115">
        <v>2</v>
      </c>
      <c r="B58" s="116" t="s">
        <v>114</v>
      </c>
      <c r="C58" s="113">
        <v>7961933</v>
      </c>
      <c r="D58" s="113">
        <v>8044530</v>
      </c>
      <c r="E58" s="113">
        <f t="shared" si="7"/>
        <v>82597</v>
      </c>
      <c r="F58" s="114">
        <f t="shared" si="8"/>
        <v>1.0373988326704081E-2</v>
      </c>
    </row>
    <row r="59" spans="1:6" x14ac:dyDescent="0.2">
      <c r="A59" s="115">
        <v>3</v>
      </c>
      <c r="B59" s="116" t="s">
        <v>115</v>
      </c>
      <c r="C59" s="113">
        <v>12041319</v>
      </c>
      <c r="D59" s="113">
        <v>13444325</v>
      </c>
      <c r="E59" s="113">
        <f t="shared" si="7"/>
        <v>1403006</v>
      </c>
      <c r="F59" s="114">
        <f t="shared" si="8"/>
        <v>0.11651597304248812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1084152</v>
      </c>
      <c r="D61" s="113">
        <v>946468</v>
      </c>
      <c r="E61" s="113">
        <f t="shared" si="7"/>
        <v>-137684</v>
      </c>
      <c r="F61" s="114">
        <f t="shared" si="8"/>
        <v>-0.12699695245685108</v>
      </c>
    </row>
    <row r="62" spans="1:6" x14ac:dyDescent="0.2">
      <c r="A62" s="115">
        <v>6</v>
      </c>
      <c r="B62" s="116" t="s">
        <v>118</v>
      </c>
      <c r="C62" s="113">
        <v>2363147</v>
      </c>
      <c r="D62" s="113">
        <v>3685257</v>
      </c>
      <c r="E62" s="113">
        <f t="shared" si="7"/>
        <v>1322110</v>
      </c>
      <c r="F62" s="114">
        <f t="shared" si="8"/>
        <v>0.55947006259026633</v>
      </c>
    </row>
    <row r="63" spans="1:6" x14ac:dyDescent="0.2">
      <c r="A63" s="115">
        <v>7</v>
      </c>
      <c r="B63" s="116" t="s">
        <v>119</v>
      </c>
      <c r="C63" s="113">
        <v>44903263</v>
      </c>
      <c r="D63" s="113">
        <v>41448856</v>
      </c>
      <c r="E63" s="113">
        <f t="shared" si="7"/>
        <v>-3454407</v>
      </c>
      <c r="F63" s="114">
        <f t="shared" si="8"/>
        <v>-7.692997722682203E-2</v>
      </c>
    </row>
    <row r="64" spans="1:6" x14ac:dyDescent="0.2">
      <c r="A64" s="115">
        <v>8</v>
      </c>
      <c r="B64" s="116" t="s">
        <v>120</v>
      </c>
      <c r="C64" s="113">
        <v>2040880</v>
      </c>
      <c r="D64" s="113">
        <v>2495750</v>
      </c>
      <c r="E64" s="113">
        <f t="shared" si="7"/>
        <v>454870</v>
      </c>
      <c r="F64" s="114">
        <f t="shared" si="8"/>
        <v>0.22287934616439967</v>
      </c>
    </row>
    <row r="65" spans="1:6" x14ac:dyDescent="0.2">
      <c r="A65" s="115">
        <v>9</v>
      </c>
      <c r="B65" s="116" t="s">
        <v>121</v>
      </c>
      <c r="C65" s="113">
        <v>392909</v>
      </c>
      <c r="D65" s="113">
        <v>364512</v>
      </c>
      <c r="E65" s="113">
        <f t="shared" si="7"/>
        <v>-28397</v>
      </c>
      <c r="F65" s="114">
        <f t="shared" si="8"/>
        <v>-7.2273732594570247E-2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1081767</v>
      </c>
      <c r="D67" s="113">
        <v>564828</v>
      </c>
      <c r="E67" s="113">
        <f t="shared" si="7"/>
        <v>-516939</v>
      </c>
      <c r="F67" s="114">
        <f t="shared" si="8"/>
        <v>-0.47786538136216022</v>
      </c>
    </row>
    <row r="68" spans="1:6" ht="15.75" x14ac:dyDescent="0.25">
      <c r="A68" s="117"/>
      <c r="B68" s="118" t="s">
        <v>131</v>
      </c>
      <c r="C68" s="119">
        <f>SUM(C57:C67)</f>
        <v>124882959</v>
      </c>
      <c r="D68" s="119">
        <f>SUM(D57:D67)</f>
        <v>122450038</v>
      </c>
      <c r="E68" s="119">
        <f t="shared" si="7"/>
        <v>-2432921</v>
      </c>
      <c r="F68" s="120">
        <f t="shared" si="8"/>
        <v>-1.9481609176156694E-2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31926672</v>
      </c>
      <c r="D70" s="113">
        <v>31049066</v>
      </c>
      <c r="E70" s="113">
        <f t="shared" ref="E70:E81" si="9">D70-C70</f>
        <v>-877606</v>
      </c>
      <c r="F70" s="114">
        <f t="shared" ref="F70:F81" si="10">IF(C70=0,0,E70/C70)</f>
        <v>-2.7488176656809079E-2</v>
      </c>
    </row>
    <row r="71" spans="1:6" x14ac:dyDescent="0.2">
      <c r="A71" s="115">
        <v>2</v>
      </c>
      <c r="B71" s="116" t="s">
        <v>114</v>
      </c>
      <c r="C71" s="113">
        <v>6256024</v>
      </c>
      <c r="D71" s="113">
        <v>7459870</v>
      </c>
      <c r="E71" s="113">
        <f t="shared" si="9"/>
        <v>1203846</v>
      </c>
      <c r="F71" s="114">
        <f t="shared" si="10"/>
        <v>0.1924298883763873</v>
      </c>
    </row>
    <row r="72" spans="1:6" x14ac:dyDescent="0.2">
      <c r="A72" s="115">
        <v>3</v>
      </c>
      <c r="B72" s="116" t="s">
        <v>115</v>
      </c>
      <c r="C72" s="113">
        <v>23382850</v>
      </c>
      <c r="D72" s="113">
        <v>19412267</v>
      </c>
      <c r="E72" s="113">
        <f t="shared" si="9"/>
        <v>-3970583</v>
      </c>
      <c r="F72" s="114">
        <f t="shared" si="10"/>
        <v>-0.16980748711128027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2105944</v>
      </c>
      <c r="D74" s="113">
        <v>2307600</v>
      </c>
      <c r="E74" s="113">
        <f t="shared" si="9"/>
        <v>201656</v>
      </c>
      <c r="F74" s="114">
        <f t="shared" si="10"/>
        <v>9.5755632628407972E-2</v>
      </c>
    </row>
    <row r="75" spans="1:6" x14ac:dyDescent="0.2">
      <c r="A75" s="115">
        <v>6</v>
      </c>
      <c r="B75" s="116" t="s">
        <v>118</v>
      </c>
      <c r="C75" s="113">
        <v>7674041</v>
      </c>
      <c r="D75" s="113">
        <v>7500484</v>
      </c>
      <c r="E75" s="113">
        <f t="shared" si="9"/>
        <v>-173557</v>
      </c>
      <c r="F75" s="114">
        <f t="shared" si="10"/>
        <v>-2.2616115811734651E-2</v>
      </c>
    </row>
    <row r="76" spans="1:6" x14ac:dyDescent="0.2">
      <c r="A76" s="115">
        <v>7</v>
      </c>
      <c r="B76" s="116" t="s">
        <v>119</v>
      </c>
      <c r="C76" s="113">
        <v>95992108</v>
      </c>
      <c r="D76" s="113">
        <v>99893070</v>
      </c>
      <c r="E76" s="113">
        <f t="shared" si="9"/>
        <v>3900962</v>
      </c>
      <c r="F76" s="114">
        <f t="shared" si="10"/>
        <v>4.0638361645313592E-2</v>
      </c>
    </row>
    <row r="77" spans="1:6" x14ac:dyDescent="0.2">
      <c r="A77" s="115">
        <v>8</v>
      </c>
      <c r="B77" s="116" t="s">
        <v>120</v>
      </c>
      <c r="C77" s="113">
        <v>3692900</v>
      </c>
      <c r="D77" s="113">
        <v>4390861</v>
      </c>
      <c r="E77" s="113">
        <f t="shared" si="9"/>
        <v>697961</v>
      </c>
      <c r="F77" s="114">
        <f t="shared" si="10"/>
        <v>0.18900078529069295</v>
      </c>
    </row>
    <row r="78" spans="1:6" x14ac:dyDescent="0.2">
      <c r="A78" s="115">
        <v>9</v>
      </c>
      <c r="B78" s="116" t="s">
        <v>121</v>
      </c>
      <c r="C78" s="113">
        <v>1791848</v>
      </c>
      <c r="D78" s="113">
        <v>1431552</v>
      </c>
      <c r="E78" s="113">
        <f t="shared" si="9"/>
        <v>-360296</v>
      </c>
      <c r="F78" s="114">
        <f t="shared" si="10"/>
        <v>-0.20107509119077063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386402</v>
      </c>
      <c r="D80" s="113">
        <v>735727</v>
      </c>
      <c r="E80" s="113">
        <f t="shared" si="9"/>
        <v>349325</v>
      </c>
      <c r="F80" s="114">
        <f t="shared" si="10"/>
        <v>0.90404552771465985</v>
      </c>
    </row>
    <row r="81" spans="1:6" ht="15.75" x14ac:dyDescent="0.25">
      <c r="A81" s="117"/>
      <c r="B81" s="118" t="s">
        <v>133</v>
      </c>
      <c r="C81" s="119">
        <f>SUM(C70:C80)</f>
        <v>173208789</v>
      </c>
      <c r="D81" s="119">
        <f>SUM(D70:D80)</f>
        <v>174180497</v>
      </c>
      <c r="E81" s="119">
        <f t="shared" si="9"/>
        <v>971708</v>
      </c>
      <c r="F81" s="120">
        <f t="shared" si="10"/>
        <v>5.6100386453253248E-3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84940261</v>
      </c>
      <c r="D84" s="119">
        <f t="shared" si="11"/>
        <v>82504578</v>
      </c>
      <c r="E84" s="119">
        <f t="shared" ref="E84:E95" si="12">D84-C84</f>
        <v>-2435683</v>
      </c>
      <c r="F84" s="120">
        <f t="shared" ref="F84:F95" si="13">IF(C84=0,0,E84/C84)</f>
        <v>-2.8675247418888907E-2</v>
      </c>
    </row>
    <row r="85" spans="1:6" ht="15.75" x14ac:dyDescent="0.25">
      <c r="A85" s="130">
        <v>2</v>
      </c>
      <c r="B85" s="122" t="s">
        <v>114</v>
      </c>
      <c r="C85" s="119">
        <f t="shared" si="11"/>
        <v>14217957</v>
      </c>
      <c r="D85" s="119">
        <f t="shared" si="11"/>
        <v>15504400</v>
      </c>
      <c r="E85" s="119">
        <f t="shared" si="12"/>
        <v>1286443</v>
      </c>
      <c r="F85" s="120">
        <f t="shared" si="13"/>
        <v>9.0480158295597607E-2</v>
      </c>
    </row>
    <row r="86" spans="1:6" ht="15.75" x14ac:dyDescent="0.25">
      <c r="A86" s="130">
        <v>3</v>
      </c>
      <c r="B86" s="122" t="s">
        <v>115</v>
      </c>
      <c r="C86" s="119">
        <f t="shared" si="11"/>
        <v>35424169</v>
      </c>
      <c r="D86" s="119">
        <f t="shared" si="11"/>
        <v>32856592</v>
      </c>
      <c r="E86" s="119">
        <f t="shared" si="12"/>
        <v>-2567577</v>
      </c>
      <c r="F86" s="120">
        <f t="shared" si="13"/>
        <v>-7.2480938084955496E-2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3190096</v>
      </c>
      <c r="D88" s="119">
        <f t="shared" si="11"/>
        <v>3254068</v>
      </c>
      <c r="E88" s="119">
        <f t="shared" si="12"/>
        <v>63972</v>
      </c>
      <c r="F88" s="120">
        <f t="shared" si="13"/>
        <v>2.0053315009955813E-2</v>
      </c>
    </row>
    <row r="89" spans="1:6" ht="15.75" x14ac:dyDescent="0.25">
      <c r="A89" s="130">
        <v>6</v>
      </c>
      <c r="B89" s="122" t="s">
        <v>118</v>
      </c>
      <c r="C89" s="119">
        <f t="shared" si="11"/>
        <v>10037188</v>
      </c>
      <c r="D89" s="119">
        <f t="shared" si="11"/>
        <v>11185741</v>
      </c>
      <c r="E89" s="119">
        <f t="shared" si="12"/>
        <v>1148553</v>
      </c>
      <c r="F89" s="120">
        <f t="shared" si="13"/>
        <v>0.1144297586136675</v>
      </c>
    </row>
    <row r="90" spans="1:6" ht="15.75" x14ac:dyDescent="0.25">
      <c r="A90" s="130">
        <v>7</v>
      </c>
      <c r="B90" s="122" t="s">
        <v>119</v>
      </c>
      <c r="C90" s="119">
        <f t="shared" si="11"/>
        <v>140895371</v>
      </c>
      <c r="D90" s="119">
        <f t="shared" si="11"/>
        <v>141341926</v>
      </c>
      <c r="E90" s="119">
        <f t="shared" si="12"/>
        <v>446555</v>
      </c>
      <c r="F90" s="120">
        <f t="shared" si="13"/>
        <v>3.1694085961134948E-3</v>
      </c>
    </row>
    <row r="91" spans="1:6" ht="15.75" x14ac:dyDescent="0.25">
      <c r="A91" s="130">
        <v>8</v>
      </c>
      <c r="B91" s="122" t="s">
        <v>120</v>
      </c>
      <c r="C91" s="119">
        <f t="shared" si="11"/>
        <v>5733780</v>
      </c>
      <c r="D91" s="119">
        <f t="shared" si="11"/>
        <v>6886611</v>
      </c>
      <c r="E91" s="119">
        <f t="shared" si="12"/>
        <v>1152831</v>
      </c>
      <c r="F91" s="120">
        <f t="shared" si="13"/>
        <v>0.20105951047999748</v>
      </c>
    </row>
    <row r="92" spans="1:6" ht="15.75" x14ac:dyDescent="0.25">
      <c r="A92" s="130">
        <v>9</v>
      </c>
      <c r="B92" s="122" t="s">
        <v>121</v>
      </c>
      <c r="C92" s="119">
        <f t="shared" si="11"/>
        <v>2184757</v>
      </c>
      <c r="D92" s="119">
        <f t="shared" si="11"/>
        <v>1796064</v>
      </c>
      <c r="E92" s="119">
        <f t="shared" si="12"/>
        <v>-388693</v>
      </c>
      <c r="F92" s="120">
        <f t="shared" si="13"/>
        <v>-0.17791131919934344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1468169</v>
      </c>
      <c r="D94" s="119">
        <f t="shared" si="11"/>
        <v>1300555</v>
      </c>
      <c r="E94" s="119">
        <f t="shared" si="12"/>
        <v>-167614</v>
      </c>
      <c r="F94" s="120">
        <f t="shared" si="13"/>
        <v>-0.11416533110289075</v>
      </c>
    </row>
    <row r="95" spans="1:6" ht="18.75" customHeight="1" thickBot="1" x14ac:dyDescent="0.3">
      <c r="A95" s="131"/>
      <c r="B95" s="132" t="s">
        <v>134</v>
      </c>
      <c r="C95" s="128">
        <f>SUM(C84:C94)</f>
        <v>298091748</v>
      </c>
      <c r="D95" s="128">
        <f>SUM(D84:D94)</f>
        <v>296630535</v>
      </c>
      <c r="E95" s="128">
        <f t="shared" si="12"/>
        <v>-1461213</v>
      </c>
      <c r="F95" s="129">
        <f t="shared" si="13"/>
        <v>-4.9018901388709355E-3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4221</v>
      </c>
      <c r="D100" s="133">
        <v>4330</v>
      </c>
      <c r="E100" s="133">
        <f t="shared" ref="E100:E111" si="14">D100-C100</f>
        <v>109</v>
      </c>
      <c r="F100" s="114">
        <f t="shared" ref="F100:F111" si="15">IF(C100=0,0,E100/C100)</f>
        <v>2.5823264629234777E-2</v>
      </c>
    </row>
    <row r="101" spans="1:6" x14ac:dyDescent="0.2">
      <c r="A101" s="115">
        <v>2</v>
      </c>
      <c r="B101" s="116" t="s">
        <v>114</v>
      </c>
      <c r="C101" s="133">
        <v>685</v>
      </c>
      <c r="D101" s="133">
        <v>695</v>
      </c>
      <c r="E101" s="133">
        <f t="shared" si="14"/>
        <v>10</v>
      </c>
      <c r="F101" s="114">
        <f t="shared" si="15"/>
        <v>1.4598540145985401E-2</v>
      </c>
    </row>
    <row r="102" spans="1:6" x14ac:dyDescent="0.2">
      <c r="A102" s="115">
        <v>3</v>
      </c>
      <c r="B102" s="116" t="s">
        <v>115</v>
      </c>
      <c r="C102" s="133">
        <v>2282</v>
      </c>
      <c r="D102" s="133">
        <v>2528</v>
      </c>
      <c r="E102" s="133">
        <f t="shared" si="14"/>
        <v>246</v>
      </c>
      <c r="F102" s="114">
        <f t="shared" si="15"/>
        <v>0.10780017528483786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217</v>
      </c>
      <c r="D104" s="133">
        <v>212</v>
      </c>
      <c r="E104" s="133">
        <f t="shared" si="14"/>
        <v>-5</v>
      </c>
      <c r="F104" s="114">
        <f t="shared" si="15"/>
        <v>-2.3041474654377881E-2</v>
      </c>
    </row>
    <row r="105" spans="1:6" x14ac:dyDescent="0.2">
      <c r="A105" s="115">
        <v>6</v>
      </c>
      <c r="B105" s="116" t="s">
        <v>118</v>
      </c>
      <c r="C105" s="133">
        <v>122</v>
      </c>
      <c r="D105" s="133">
        <v>144</v>
      </c>
      <c r="E105" s="133">
        <f t="shared" si="14"/>
        <v>22</v>
      </c>
      <c r="F105" s="114">
        <f t="shared" si="15"/>
        <v>0.18032786885245902</v>
      </c>
    </row>
    <row r="106" spans="1:6" x14ac:dyDescent="0.2">
      <c r="A106" s="115">
        <v>7</v>
      </c>
      <c r="B106" s="116" t="s">
        <v>119</v>
      </c>
      <c r="C106" s="133">
        <v>2878</v>
      </c>
      <c r="D106" s="133">
        <v>2614</v>
      </c>
      <c r="E106" s="133">
        <f t="shared" si="14"/>
        <v>-264</v>
      </c>
      <c r="F106" s="114">
        <f t="shared" si="15"/>
        <v>-9.1730368311327304E-2</v>
      </c>
    </row>
    <row r="107" spans="1:6" x14ac:dyDescent="0.2">
      <c r="A107" s="115">
        <v>8</v>
      </c>
      <c r="B107" s="116" t="s">
        <v>120</v>
      </c>
      <c r="C107" s="133">
        <v>80</v>
      </c>
      <c r="D107" s="133">
        <v>93</v>
      </c>
      <c r="E107" s="133">
        <f t="shared" si="14"/>
        <v>13</v>
      </c>
      <c r="F107" s="114">
        <f t="shared" si="15"/>
        <v>0.16250000000000001</v>
      </c>
    </row>
    <row r="108" spans="1:6" x14ac:dyDescent="0.2">
      <c r="A108" s="115">
        <v>9</v>
      </c>
      <c r="B108" s="116" t="s">
        <v>121</v>
      </c>
      <c r="C108" s="133">
        <v>141</v>
      </c>
      <c r="D108" s="133">
        <v>89</v>
      </c>
      <c r="E108" s="133">
        <f t="shared" si="14"/>
        <v>-52</v>
      </c>
      <c r="F108" s="114">
        <f t="shared" si="15"/>
        <v>-0.36879432624113473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64</v>
      </c>
      <c r="D110" s="133">
        <v>98</v>
      </c>
      <c r="E110" s="133">
        <f t="shared" si="14"/>
        <v>34</v>
      </c>
      <c r="F110" s="114">
        <f t="shared" si="15"/>
        <v>0.53125</v>
      </c>
    </row>
    <row r="111" spans="1:6" ht="15.75" x14ac:dyDescent="0.25">
      <c r="A111" s="117"/>
      <c r="B111" s="118" t="s">
        <v>138</v>
      </c>
      <c r="C111" s="134">
        <f>SUM(C100:C110)</f>
        <v>10690</v>
      </c>
      <c r="D111" s="134">
        <f>SUM(D100:D110)</f>
        <v>10803</v>
      </c>
      <c r="E111" s="134">
        <f t="shared" si="14"/>
        <v>113</v>
      </c>
      <c r="F111" s="120">
        <f t="shared" si="15"/>
        <v>1.0570626753975678E-2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22940</v>
      </c>
      <c r="D113" s="133">
        <v>22557</v>
      </c>
      <c r="E113" s="133">
        <f t="shared" ref="E113:E124" si="16">D113-C113</f>
        <v>-383</v>
      </c>
      <c r="F113" s="114">
        <f t="shared" ref="F113:F124" si="17">IF(C113=0,0,E113/C113)</f>
        <v>-1.6695727986050568E-2</v>
      </c>
    </row>
    <row r="114" spans="1:6" x14ac:dyDescent="0.2">
      <c r="A114" s="115">
        <v>2</v>
      </c>
      <c r="B114" s="116" t="s">
        <v>114</v>
      </c>
      <c r="C114" s="133">
        <v>3666</v>
      </c>
      <c r="D114" s="133">
        <v>3511</v>
      </c>
      <c r="E114" s="133">
        <f t="shared" si="16"/>
        <v>-155</v>
      </c>
      <c r="F114" s="114">
        <f t="shared" si="17"/>
        <v>-4.2280414620840152E-2</v>
      </c>
    </row>
    <row r="115" spans="1:6" x14ac:dyDescent="0.2">
      <c r="A115" s="115">
        <v>3</v>
      </c>
      <c r="B115" s="116" t="s">
        <v>115</v>
      </c>
      <c r="C115" s="133">
        <v>9668</v>
      </c>
      <c r="D115" s="133">
        <v>9794</v>
      </c>
      <c r="E115" s="133">
        <f t="shared" si="16"/>
        <v>126</v>
      </c>
      <c r="F115" s="114">
        <f t="shared" si="17"/>
        <v>1.3032685146876293E-2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586</v>
      </c>
      <c r="D117" s="133">
        <v>539</v>
      </c>
      <c r="E117" s="133">
        <f t="shared" si="16"/>
        <v>-47</v>
      </c>
      <c r="F117" s="114">
        <f t="shared" si="17"/>
        <v>-8.0204778156996587E-2</v>
      </c>
    </row>
    <row r="118" spans="1:6" x14ac:dyDescent="0.2">
      <c r="A118" s="115">
        <v>6</v>
      </c>
      <c r="B118" s="116" t="s">
        <v>118</v>
      </c>
      <c r="C118" s="133">
        <v>440</v>
      </c>
      <c r="D118" s="133">
        <v>603</v>
      </c>
      <c r="E118" s="133">
        <f t="shared" si="16"/>
        <v>163</v>
      </c>
      <c r="F118" s="114">
        <f t="shared" si="17"/>
        <v>0.37045454545454548</v>
      </c>
    </row>
    <row r="119" spans="1:6" x14ac:dyDescent="0.2">
      <c r="A119" s="115">
        <v>7</v>
      </c>
      <c r="B119" s="116" t="s">
        <v>119</v>
      </c>
      <c r="C119" s="133">
        <v>10413</v>
      </c>
      <c r="D119" s="133">
        <v>9521</v>
      </c>
      <c r="E119" s="133">
        <f t="shared" si="16"/>
        <v>-892</v>
      </c>
      <c r="F119" s="114">
        <f t="shared" si="17"/>
        <v>-8.5662153077883413E-2</v>
      </c>
    </row>
    <row r="120" spans="1:6" x14ac:dyDescent="0.2">
      <c r="A120" s="115">
        <v>8</v>
      </c>
      <c r="B120" s="116" t="s">
        <v>120</v>
      </c>
      <c r="C120" s="133">
        <v>269</v>
      </c>
      <c r="D120" s="133">
        <v>310</v>
      </c>
      <c r="E120" s="133">
        <f t="shared" si="16"/>
        <v>41</v>
      </c>
      <c r="F120" s="114">
        <f t="shared" si="17"/>
        <v>0.15241635687732341</v>
      </c>
    </row>
    <row r="121" spans="1:6" x14ac:dyDescent="0.2">
      <c r="A121" s="115">
        <v>9</v>
      </c>
      <c r="B121" s="116" t="s">
        <v>121</v>
      </c>
      <c r="C121" s="133">
        <v>546</v>
      </c>
      <c r="D121" s="133">
        <v>459</v>
      </c>
      <c r="E121" s="133">
        <f t="shared" si="16"/>
        <v>-87</v>
      </c>
      <c r="F121" s="114">
        <f t="shared" si="17"/>
        <v>-0.15934065934065933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312</v>
      </c>
      <c r="D123" s="133">
        <v>625</v>
      </c>
      <c r="E123" s="133">
        <f t="shared" si="16"/>
        <v>313</v>
      </c>
      <c r="F123" s="114">
        <f t="shared" si="17"/>
        <v>1.0032051282051282</v>
      </c>
    </row>
    <row r="124" spans="1:6" ht="15.75" x14ac:dyDescent="0.25">
      <c r="A124" s="117"/>
      <c r="B124" s="118" t="s">
        <v>140</v>
      </c>
      <c r="C124" s="134">
        <f>SUM(C113:C123)</f>
        <v>48840</v>
      </c>
      <c r="D124" s="134">
        <f>SUM(D113:D123)</f>
        <v>47919</v>
      </c>
      <c r="E124" s="134">
        <f t="shared" si="16"/>
        <v>-921</v>
      </c>
      <c r="F124" s="120">
        <f t="shared" si="17"/>
        <v>-1.8857493857493857E-2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116679</v>
      </c>
      <c r="D126" s="133">
        <v>123809</v>
      </c>
      <c r="E126" s="133">
        <f t="shared" ref="E126:E137" si="18">D126-C126</f>
        <v>7130</v>
      </c>
      <c r="F126" s="114">
        <f t="shared" ref="F126:F137" si="19">IF(C126=0,0,E126/C126)</f>
        <v>6.1107825744135619E-2</v>
      </c>
    </row>
    <row r="127" spans="1:6" x14ac:dyDescent="0.2">
      <c r="A127" s="115">
        <v>2</v>
      </c>
      <c r="B127" s="116" t="s">
        <v>114</v>
      </c>
      <c r="C127" s="133">
        <v>16673</v>
      </c>
      <c r="D127" s="133">
        <v>17965</v>
      </c>
      <c r="E127" s="133">
        <f t="shared" si="18"/>
        <v>1292</v>
      </c>
      <c r="F127" s="114">
        <f t="shared" si="19"/>
        <v>7.7490553589635941E-2</v>
      </c>
    </row>
    <row r="128" spans="1:6" x14ac:dyDescent="0.2">
      <c r="A128" s="115">
        <v>3</v>
      </c>
      <c r="B128" s="116" t="s">
        <v>115</v>
      </c>
      <c r="C128" s="133">
        <v>91277</v>
      </c>
      <c r="D128" s="133">
        <v>100074</v>
      </c>
      <c r="E128" s="133">
        <f t="shared" si="18"/>
        <v>8797</v>
      </c>
      <c r="F128" s="114">
        <f t="shared" si="19"/>
        <v>9.6376962433033508E-2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6884</v>
      </c>
      <c r="D130" s="133">
        <v>7046</v>
      </c>
      <c r="E130" s="133">
        <f t="shared" si="18"/>
        <v>162</v>
      </c>
      <c r="F130" s="114">
        <f t="shared" si="19"/>
        <v>2.3532829750145264E-2</v>
      </c>
    </row>
    <row r="131" spans="1:6" x14ac:dyDescent="0.2">
      <c r="A131" s="115">
        <v>6</v>
      </c>
      <c r="B131" s="116" t="s">
        <v>118</v>
      </c>
      <c r="C131" s="133">
        <v>7685</v>
      </c>
      <c r="D131" s="133">
        <v>7462</v>
      </c>
      <c r="E131" s="133">
        <f t="shared" si="18"/>
        <v>-223</v>
      </c>
      <c r="F131" s="114">
        <f t="shared" si="19"/>
        <v>-2.9017566688353938E-2</v>
      </c>
    </row>
    <row r="132" spans="1:6" x14ac:dyDescent="0.2">
      <c r="A132" s="115">
        <v>7</v>
      </c>
      <c r="B132" s="116" t="s">
        <v>119</v>
      </c>
      <c r="C132" s="133">
        <v>160039</v>
      </c>
      <c r="D132" s="133">
        <v>162028</v>
      </c>
      <c r="E132" s="133">
        <f t="shared" si="18"/>
        <v>1989</v>
      </c>
      <c r="F132" s="114">
        <f t="shared" si="19"/>
        <v>1.2428220621223576E-2</v>
      </c>
    </row>
    <row r="133" spans="1:6" x14ac:dyDescent="0.2">
      <c r="A133" s="115">
        <v>8</v>
      </c>
      <c r="B133" s="116" t="s">
        <v>120</v>
      </c>
      <c r="C133" s="133">
        <v>4253</v>
      </c>
      <c r="D133" s="133">
        <v>4285</v>
      </c>
      <c r="E133" s="133">
        <f t="shared" si="18"/>
        <v>32</v>
      </c>
      <c r="F133" s="114">
        <f t="shared" si="19"/>
        <v>7.5241006348459915E-3</v>
      </c>
    </row>
    <row r="134" spans="1:6" x14ac:dyDescent="0.2">
      <c r="A134" s="115">
        <v>9</v>
      </c>
      <c r="B134" s="116" t="s">
        <v>121</v>
      </c>
      <c r="C134" s="133">
        <v>9073</v>
      </c>
      <c r="D134" s="133">
        <v>7231</v>
      </c>
      <c r="E134" s="133">
        <f t="shared" si="18"/>
        <v>-1842</v>
      </c>
      <c r="F134" s="114">
        <f t="shared" si="19"/>
        <v>-0.20301994930012124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1016</v>
      </c>
      <c r="D136" s="133">
        <v>1283</v>
      </c>
      <c r="E136" s="133">
        <f t="shared" si="18"/>
        <v>267</v>
      </c>
      <c r="F136" s="114">
        <f t="shared" si="19"/>
        <v>0.26279527559055116</v>
      </c>
    </row>
    <row r="137" spans="1:6" ht="15.75" x14ac:dyDescent="0.25">
      <c r="A137" s="117"/>
      <c r="B137" s="118" t="s">
        <v>142</v>
      </c>
      <c r="C137" s="134">
        <f>SUM(C126:C136)</f>
        <v>413579</v>
      </c>
      <c r="D137" s="134">
        <f>SUM(D126:D136)</f>
        <v>431183</v>
      </c>
      <c r="E137" s="134">
        <f t="shared" si="18"/>
        <v>17604</v>
      </c>
      <c r="F137" s="120">
        <f t="shared" si="19"/>
        <v>4.2565023852758482E-2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25567324</v>
      </c>
      <c r="D142" s="113">
        <v>31681895</v>
      </c>
      <c r="E142" s="113">
        <f t="shared" ref="E142:E153" si="20">D142-C142</f>
        <v>6114571</v>
      </c>
      <c r="F142" s="114">
        <f t="shared" ref="F142:F153" si="21">IF(C142=0,0,E142/C142)</f>
        <v>0.23915568950430635</v>
      </c>
    </row>
    <row r="143" spans="1:6" x14ac:dyDescent="0.2">
      <c r="A143" s="115">
        <v>2</v>
      </c>
      <c r="B143" s="116" t="s">
        <v>114</v>
      </c>
      <c r="C143" s="113">
        <v>4965978</v>
      </c>
      <c r="D143" s="113">
        <v>5692989</v>
      </c>
      <c r="E143" s="113">
        <f t="shared" si="20"/>
        <v>727011</v>
      </c>
      <c r="F143" s="114">
        <f t="shared" si="21"/>
        <v>0.14639835295283224</v>
      </c>
    </row>
    <row r="144" spans="1:6" x14ac:dyDescent="0.2">
      <c r="A144" s="115">
        <v>3</v>
      </c>
      <c r="B144" s="116" t="s">
        <v>115</v>
      </c>
      <c r="C144" s="113">
        <v>49578900</v>
      </c>
      <c r="D144" s="113">
        <v>54728713</v>
      </c>
      <c r="E144" s="113">
        <f t="shared" si="20"/>
        <v>5149813</v>
      </c>
      <c r="F144" s="114">
        <f t="shared" si="21"/>
        <v>0.10387106208487885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3172718</v>
      </c>
      <c r="D146" s="113">
        <v>2880047</v>
      </c>
      <c r="E146" s="113">
        <f t="shared" si="20"/>
        <v>-292671</v>
      </c>
      <c r="F146" s="114">
        <f t="shared" si="21"/>
        <v>-9.2246143527410882E-2</v>
      </c>
    </row>
    <row r="147" spans="1:6" x14ac:dyDescent="0.2">
      <c r="A147" s="115">
        <v>6</v>
      </c>
      <c r="B147" s="116" t="s">
        <v>118</v>
      </c>
      <c r="C147" s="113">
        <v>2983504</v>
      </c>
      <c r="D147" s="113">
        <v>3814777</v>
      </c>
      <c r="E147" s="113">
        <f t="shared" si="20"/>
        <v>831273</v>
      </c>
      <c r="F147" s="114">
        <f t="shared" si="21"/>
        <v>0.27862305530678022</v>
      </c>
    </row>
    <row r="148" spans="1:6" x14ac:dyDescent="0.2">
      <c r="A148" s="115">
        <v>7</v>
      </c>
      <c r="B148" s="116" t="s">
        <v>119</v>
      </c>
      <c r="C148" s="113">
        <v>40588931</v>
      </c>
      <c r="D148" s="113">
        <v>41139146</v>
      </c>
      <c r="E148" s="113">
        <f t="shared" si="20"/>
        <v>550215</v>
      </c>
      <c r="F148" s="114">
        <f t="shared" si="21"/>
        <v>1.3555789385041947E-2</v>
      </c>
    </row>
    <row r="149" spans="1:6" x14ac:dyDescent="0.2">
      <c r="A149" s="115">
        <v>8</v>
      </c>
      <c r="B149" s="116" t="s">
        <v>120</v>
      </c>
      <c r="C149" s="113">
        <v>1827402</v>
      </c>
      <c r="D149" s="113">
        <v>2116334</v>
      </c>
      <c r="E149" s="113">
        <f t="shared" si="20"/>
        <v>288932</v>
      </c>
      <c r="F149" s="114">
        <f t="shared" si="21"/>
        <v>0.15811080430031269</v>
      </c>
    </row>
    <row r="150" spans="1:6" x14ac:dyDescent="0.2">
      <c r="A150" s="115">
        <v>9</v>
      </c>
      <c r="B150" s="116" t="s">
        <v>121</v>
      </c>
      <c r="C150" s="113">
        <v>6921351</v>
      </c>
      <c r="D150" s="113">
        <v>6256095</v>
      </c>
      <c r="E150" s="113">
        <f t="shared" si="20"/>
        <v>-665256</v>
      </c>
      <c r="F150" s="114">
        <f t="shared" si="21"/>
        <v>-9.6116495175580602E-2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1209439</v>
      </c>
      <c r="D152" s="113">
        <v>1664830</v>
      </c>
      <c r="E152" s="113">
        <f t="shared" si="20"/>
        <v>455391</v>
      </c>
      <c r="F152" s="114">
        <f t="shared" si="21"/>
        <v>0.3765307717048979</v>
      </c>
    </row>
    <row r="153" spans="1:6" ht="33.75" customHeight="1" x14ac:dyDescent="0.25">
      <c r="A153" s="117"/>
      <c r="B153" s="118" t="s">
        <v>146</v>
      </c>
      <c r="C153" s="119">
        <f>SUM(C142:C152)</f>
        <v>136815547</v>
      </c>
      <c r="D153" s="119">
        <f>SUM(D142:D152)</f>
        <v>149974826</v>
      </c>
      <c r="E153" s="119">
        <f t="shared" si="20"/>
        <v>13159279</v>
      </c>
      <c r="F153" s="120">
        <f t="shared" si="21"/>
        <v>9.6182629010721998E-2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6079242</v>
      </c>
      <c r="D155" s="113">
        <v>7265211</v>
      </c>
      <c r="E155" s="113">
        <f t="shared" ref="E155:E166" si="22">D155-C155</f>
        <v>1185969</v>
      </c>
      <c r="F155" s="114">
        <f t="shared" ref="F155:F166" si="23">IF(C155=0,0,E155/C155)</f>
        <v>0.19508501224330271</v>
      </c>
    </row>
    <row r="156" spans="1:6" x14ac:dyDescent="0.2">
      <c r="A156" s="115">
        <v>2</v>
      </c>
      <c r="B156" s="116" t="s">
        <v>114</v>
      </c>
      <c r="C156" s="113">
        <v>1128550</v>
      </c>
      <c r="D156" s="113">
        <v>1377879</v>
      </c>
      <c r="E156" s="113">
        <f t="shared" si="22"/>
        <v>249329</v>
      </c>
      <c r="F156" s="114">
        <f t="shared" si="23"/>
        <v>0.22092862522706128</v>
      </c>
    </row>
    <row r="157" spans="1:6" x14ac:dyDescent="0.2">
      <c r="A157" s="115">
        <v>3</v>
      </c>
      <c r="B157" s="116" t="s">
        <v>115</v>
      </c>
      <c r="C157" s="113">
        <v>11253139</v>
      </c>
      <c r="D157" s="113">
        <v>10079031</v>
      </c>
      <c r="E157" s="113">
        <f t="shared" si="22"/>
        <v>-1174108</v>
      </c>
      <c r="F157" s="114">
        <f t="shared" si="23"/>
        <v>-0.10433604348084566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891549</v>
      </c>
      <c r="D159" s="113">
        <v>799873</v>
      </c>
      <c r="E159" s="113">
        <f t="shared" si="22"/>
        <v>-91676</v>
      </c>
      <c r="F159" s="114">
        <f t="shared" si="23"/>
        <v>-0.10282777502975159</v>
      </c>
    </row>
    <row r="160" spans="1:6" x14ac:dyDescent="0.2">
      <c r="A160" s="115">
        <v>6</v>
      </c>
      <c r="B160" s="116" t="s">
        <v>118</v>
      </c>
      <c r="C160" s="113">
        <v>2398907</v>
      </c>
      <c r="D160" s="113">
        <v>3055614</v>
      </c>
      <c r="E160" s="113">
        <f t="shared" si="22"/>
        <v>656707</v>
      </c>
      <c r="F160" s="114">
        <f t="shared" si="23"/>
        <v>0.27375258815785691</v>
      </c>
    </row>
    <row r="161" spans="1:6" x14ac:dyDescent="0.2">
      <c r="A161" s="115">
        <v>7</v>
      </c>
      <c r="B161" s="116" t="s">
        <v>119</v>
      </c>
      <c r="C161" s="113">
        <v>30587740</v>
      </c>
      <c r="D161" s="113">
        <v>31973262</v>
      </c>
      <c r="E161" s="113">
        <f t="shared" si="22"/>
        <v>1385522</v>
      </c>
      <c r="F161" s="114">
        <f t="shared" si="23"/>
        <v>4.5296644995674741E-2</v>
      </c>
    </row>
    <row r="162" spans="1:6" x14ac:dyDescent="0.2">
      <c r="A162" s="115">
        <v>8</v>
      </c>
      <c r="B162" s="116" t="s">
        <v>120</v>
      </c>
      <c r="C162" s="113">
        <v>1543635</v>
      </c>
      <c r="D162" s="113">
        <v>1828698</v>
      </c>
      <c r="E162" s="113">
        <f t="shared" si="22"/>
        <v>285063</v>
      </c>
      <c r="F162" s="114">
        <f t="shared" si="23"/>
        <v>0.18466995112186496</v>
      </c>
    </row>
    <row r="163" spans="1:6" x14ac:dyDescent="0.2">
      <c r="A163" s="115">
        <v>9</v>
      </c>
      <c r="B163" s="116" t="s">
        <v>121</v>
      </c>
      <c r="C163" s="113">
        <v>1148857</v>
      </c>
      <c r="D163" s="113">
        <v>1009781</v>
      </c>
      <c r="E163" s="113">
        <f t="shared" si="22"/>
        <v>-139076</v>
      </c>
      <c r="F163" s="114">
        <f t="shared" si="23"/>
        <v>-0.12105597128276191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238602</v>
      </c>
      <c r="D165" s="113">
        <v>325881</v>
      </c>
      <c r="E165" s="113">
        <f t="shared" si="22"/>
        <v>87279</v>
      </c>
      <c r="F165" s="114">
        <f t="shared" si="23"/>
        <v>0.3657932456559459</v>
      </c>
    </row>
    <row r="166" spans="1:6" ht="33.75" customHeight="1" x14ac:dyDescent="0.25">
      <c r="A166" s="117"/>
      <c r="B166" s="118" t="s">
        <v>148</v>
      </c>
      <c r="C166" s="119">
        <f>SUM(C155:C165)</f>
        <v>55270221</v>
      </c>
      <c r="D166" s="119">
        <f>SUM(D155:D165)</f>
        <v>57715230</v>
      </c>
      <c r="E166" s="119">
        <f t="shared" si="22"/>
        <v>2445009</v>
      </c>
      <c r="F166" s="120">
        <f t="shared" si="23"/>
        <v>4.4237366085436859E-2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11015</v>
      </c>
      <c r="D168" s="133">
        <v>12023</v>
      </c>
      <c r="E168" s="133">
        <f t="shared" ref="E168:E179" si="24">D168-C168</f>
        <v>1008</v>
      </c>
      <c r="F168" s="114">
        <f t="shared" ref="F168:F179" si="25">IF(C168=0,0,E168/C168)</f>
        <v>9.1511575124829783E-2</v>
      </c>
    </row>
    <row r="169" spans="1:6" x14ac:dyDescent="0.2">
      <c r="A169" s="115">
        <v>2</v>
      </c>
      <c r="B169" s="116" t="s">
        <v>114</v>
      </c>
      <c r="C169" s="133">
        <v>1769</v>
      </c>
      <c r="D169" s="133">
        <v>2107</v>
      </c>
      <c r="E169" s="133">
        <f t="shared" si="24"/>
        <v>338</v>
      </c>
      <c r="F169" s="114">
        <f t="shared" si="25"/>
        <v>0.19106840022611646</v>
      </c>
    </row>
    <row r="170" spans="1:6" x14ac:dyDescent="0.2">
      <c r="A170" s="115">
        <v>3</v>
      </c>
      <c r="B170" s="116" t="s">
        <v>115</v>
      </c>
      <c r="C170" s="133">
        <v>29965</v>
      </c>
      <c r="D170" s="133">
        <v>31199</v>
      </c>
      <c r="E170" s="133">
        <f t="shared" si="24"/>
        <v>1234</v>
      </c>
      <c r="F170" s="114">
        <f t="shared" si="25"/>
        <v>4.1181378274653763E-2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1740</v>
      </c>
      <c r="D172" s="133">
        <v>1551</v>
      </c>
      <c r="E172" s="133">
        <f t="shared" si="24"/>
        <v>-189</v>
      </c>
      <c r="F172" s="114">
        <f t="shared" si="25"/>
        <v>-0.10862068965517241</v>
      </c>
    </row>
    <row r="173" spans="1:6" x14ac:dyDescent="0.2">
      <c r="A173" s="115">
        <v>6</v>
      </c>
      <c r="B173" s="116" t="s">
        <v>118</v>
      </c>
      <c r="C173" s="133">
        <v>1529</v>
      </c>
      <c r="D173" s="133">
        <v>1697</v>
      </c>
      <c r="E173" s="133">
        <f t="shared" si="24"/>
        <v>168</v>
      </c>
      <c r="F173" s="114">
        <f t="shared" si="25"/>
        <v>0.10987573577501634</v>
      </c>
    </row>
    <row r="174" spans="1:6" x14ac:dyDescent="0.2">
      <c r="A174" s="115">
        <v>7</v>
      </c>
      <c r="B174" s="116" t="s">
        <v>119</v>
      </c>
      <c r="C174" s="133">
        <v>20180</v>
      </c>
      <c r="D174" s="133">
        <v>19542</v>
      </c>
      <c r="E174" s="133">
        <f t="shared" si="24"/>
        <v>-638</v>
      </c>
      <c r="F174" s="114">
        <f t="shared" si="25"/>
        <v>-3.1615460852329039E-2</v>
      </c>
    </row>
    <row r="175" spans="1:6" x14ac:dyDescent="0.2">
      <c r="A175" s="115">
        <v>8</v>
      </c>
      <c r="B175" s="116" t="s">
        <v>120</v>
      </c>
      <c r="C175" s="133">
        <v>1264</v>
      </c>
      <c r="D175" s="133">
        <v>1337</v>
      </c>
      <c r="E175" s="133">
        <f t="shared" si="24"/>
        <v>73</v>
      </c>
      <c r="F175" s="114">
        <f t="shared" si="25"/>
        <v>5.7753164556962028E-2</v>
      </c>
    </row>
    <row r="176" spans="1:6" x14ac:dyDescent="0.2">
      <c r="A176" s="115">
        <v>9</v>
      </c>
      <c r="B176" s="116" t="s">
        <v>121</v>
      </c>
      <c r="C176" s="133">
        <v>4087</v>
      </c>
      <c r="D176" s="133">
        <v>3383</v>
      </c>
      <c r="E176" s="133">
        <f t="shared" si="24"/>
        <v>-704</v>
      </c>
      <c r="F176" s="114">
        <f t="shared" si="25"/>
        <v>-0.17225348666503548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538</v>
      </c>
      <c r="D178" s="133">
        <v>538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72087</v>
      </c>
      <c r="D179" s="134">
        <f>SUM(D168:D178)</f>
        <v>73377</v>
      </c>
      <c r="E179" s="134">
        <f t="shared" si="24"/>
        <v>1290</v>
      </c>
      <c r="F179" s="120">
        <f t="shared" si="25"/>
        <v>1.7895043489117315E-2</v>
      </c>
    </row>
  </sheetData>
  <mergeCells count="23">
    <mergeCell ref="A10:A11"/>
    <mergeCell ref="B10:B11"/>
    <mergeCell ref="C10:F11"/>
    <mergeCell ref="A2:F2"/>
    <mergeCell ref="A3:F3"/>
    <mergeCell ref="A4:F4"/>
    <mergeCell ref="A5:F5"/>
    <mergeCell ref="C9:F9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4" fitToHeight="2" orientation="portrait" horizontalDpi="1200" verticalDpi="1200"/>
  <headerFooter>
    <oddHeader>&amp;LOFFICE OF HEALTH CARE ACCESS&amp;CTWELVE MONTHS ACTUAL FILING&amp;RWILLIAM W. BACKUS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B61" sqref="B61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39084390</v>
      </c>
      <c r="D15" s="157">
        <v>36651849</v>
      </c>
      <c r="E15" s="157">
        <f>+D15-C15</f>
        <v>-2432541</v>
      </c>
      <c r="F15" s="161">
        <f>IF(C15=0,0,E15/C15)</f>
        <v>-6.2238172324040365E-2</v>
      </c>
    </row>
    <row r="16" spans="1:6" ht="15" customHeight="1" x14ac:dyDescent="0.2">
      <c r="A16" s="147">
        <v>2</v>
      </c>
      <c r="B16" s="160" t="s">
        <v>157</v>
      </c>
      <c r="C16" s="157">
        <v>13219670</v>
      </c>
      <c r="D16" s="157">
        <v>13820490</v>
      </c>
      <c r="E16" s="157">
        <f>+D16-C16</f>
        <v>600820</v>
      </c>
      <c r="F16" s="161">
        <f>IF(C16=0,0,E16/C16)</f>
        <v>4.5448940858584218E-2</v>
      </c>
    </row>
    <row r="17" spans="1:6" ht="15" customHeight="1" x14ac:dyDescent="0.2">
      <c r="A17" s="147">
        <v>3</v>
      </c>
      <c r="B17" s="160" t="s">
        <v>158</v>
      </c>
      <c r="C17" s="157">
        <v>57862829</v>
      </c>
      <c r="D17" s="157">
        <v>58034107</v>
      </c>
      <c r="E17" s="157">
        <f>+D17-C17</f>
        <v>171278</v>
      </c>
      <c r="F17" s="161">
        <f>IF(C17=0,0,E17/C17)</f>
        <v>2.9600695811122543E-3</v>
      </c>
    </row>
    <row r="18" spans="1:6" ht="15.75" customHeight="1" x14ac:dyDescent="0.25">
      <c r="A18" s="147"/>
      <c r="B18" s="162" t="s">
        <v>159</v>
      </c>
      <c r="C18" s="158">
        <f>SUM(C15:C17)</f>
        <v>110166889</v>
      </c>
      <c r="D18" s="158">
        <f>SUM(D15:D17)</f>
        <v>108506446</v>
      </c>
      <c r="E18" s="158">
        <f>+D18-C18</f>
        <v>-1660443</v>
      </c>
      <c r="F18" s="159">
        <f>IF(C18=0,0,E18/C18)</f>
        <v>-1.5072069430952162E-2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6219772</v>
      </c>
      <c r="D21" s="157">
        <v>6103468</v>
      </c>
      <c r="E21" s="157">
        <f>+D21-C21</f>
        <v>-116304</v>
      </c>
      <c r="F21" s="161">
        <f>IF(C21=0,0,E21/C21)</f>
        <v>-1.8699077715388923E-2</v>
      </c>
    </row>
    <row r="22" spans="1:6" ht="15" customHeight="1" x14ac:dyDescent="0.2">
      <c r="A22" s="147">
        <v>2</v>
      </c>
      <c r="B22" s="160" t="s">
        <v>162</v>
      </c>
      <c r="C22" s="157">
        <v>2522646</v>
      </c>
      <c r="D22" s="157">
        <v>2650717</v>
      </c>
      <c r="E22" s="157">
        <f>+D22-C22</f>
        <v>128071</v>
      </c>
      <c r="F22" s="161">
        <f>IF(C22=0,0,E22/C22)</f>
        <v>5.0768518452450326E-2</v>
      </c>
    </row>
    <row r="23" spans="1:6" ht="15" customHeight="1" x14ac:dyDescent="0.2">
      <c r="A23" s="147">
        <v>3</v>
      </c>
      <c r="B23" s="160" t="s">
        <v>163</v>
      </c>
      <c r="C23" s="157">
        <v>12705071</v>
      </c>
      <c r="D23" s="157">
        <v>15015799</v>
      </c>
      <c r="E23" s="157">
        <f>+D23-C23</f>
        <v>2310728</v>
      </c>
      <c r="F23" s="161">
        <f>IF(C23=0,0,E23/C23)</f>
        <v>0.18187446571530375</v>
      </c>
    </row>
    <row r="24" spans="1:6" ht="15.75" customHeight="1" x14ac:dyDescent="0.25">
      <c r="A24" s="147"/>
      <c r="B24" s="162" t="s">
        <v>164</v>
      </c>
      <c r="C24" s="158">
        <f>SUM(C21:C23)</f>
        <v>21447489</v>
      </c>
      <c r="D24" s="158">
        <f>SUM(D21:D23)</f>
        <v>23769984</v>
      </c>
      <c r="E24" s="158">
        <f>+D24-C24</f>
        <v>2322495</v>
      </c>
      <c r="F24" s="159">
        <f>IF(C24=0,0,E24/C24)</f>
        <v>0.10828750162781293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1441445</v>
      </c>
      <c r="D27" s="157">
        <v>842904</v>
      </c>
      <c r="E27" s="157">
        <f>+D27-C27</f>
        <v>-598541</v>
      </c>
      <c r="F27" s="161">
        <f>IF(C27=0,0,E27/C27)</f>
        <v>-0.41523679363416571</v>
      </c>
    </row>
    <row r="28" spans="1:6" ht="15" customHeight="1" x14ac:dyDescent="0.2">
      <c r="A28" s="147">
        <v>2</v>
      </c>
      <c r="B28" s="160" t="s">
        <v>167</v>
      </c>
      <c r="C28" s="157">
        <v>2624355</v>
      </c>
      <c r="D28" s="157">
        <v>3109419</v>
      </c>
      <c r="E28" s="157">
        <f>+D28-C28</f>
        <v>485064</v>
      </c>
      <c r="F28" s="161">
        <f>IF(C28=0,0,E28/C28)</f>
        <v>0.18483170150379807</v>
      </c>
    </row>
    <row r="29" spans="1:6" ht="15" customHeight="1" x14ac:dyDescent="0.2">
      <c r="A29" s="147">
        <v>3</v>
      </c>
      <c r="B29" s="160" t="s">
        <v>168</v>
      </c>
      <c r="C29" s="157">
        <v>11505728</v>
      </c>
      <c r="D29" s="157">
        <v>4555789</v>
      </c>
      <c r="E29" s="157">
        <f>+D29-C29</f>
        <v>-6949939</v>
      </c>
      <c r="F29" s="161">
        <f>IF(C29=0,0,E29/C29)</f>
        <v>-0.60404165646884755</v>
      </c>
    </row>
    <row r="30" spans="1:6" ht="15.75" customHeight="1" x14ac:dyDescent="0.25">
      <c r="A30" s="147"/>
      <c r="B30" s="162" t="s">
        <v>169</v>
      </c>
      <c r="C30" s="158">
        <f>SUM(C27:C29)</f>
        <v>15571528</v>
      </c>
      <c r="D30" s="158">
        <f>SUM(D27:D29)</f>
        <v>8508112</v>
      </c>
      <c r="E30" s="158">
        <f>+D30-C30</f>
        <v>-7063416</v>
      </c>
      <c r="F30" s="159">
        <f>IF(C30=0,0,E30/C30)</f>
        <v>-0.45361097510790205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24741168</v>
      </c>
      <c r="D33" s="157">
        <v>25236043</v>
      </c>
      <c r="E33" s="157">
        <f>+D33-C33</f>
        <v>494875</v>
      </c>
      <c r="F33" s="161">
        <f>IF(C33=0,0,E33/C33)</f>
        <v>2.0002087209464E-2</v>
      </c>
    </row>
    <row r="34" spans="1:6" ht="15" customHeight="1" x14ac:dyDescent="0.2">
      <c r="A34" s="147">
        <v>2</v>
      </c>
      <c r="B34" s="160" t="s">
        <v>173</v>
      </c>
      <c r="C34" s="157">
        <v>14710101</v>
      </c>
      <c r="D34" s="157">
        <v>14708987</v>
      </c>
      <c r="E34" s="157">
        <f>+D34-C34</f>
        <v>-1114</v>
      </c>
      <c r="F34" s="161">
        <f>IF(C34=0,0,E34/C34)</f>
        <v>-7.5730275407354442E-5</v>
      </c>
    </row>
    <row r="35" spans="1:6" ht="15.75" customHeight="1" x14ac:dyDescent="0.25">
      <c r="A35" s="147"/>
      <c r="B35" s="162" t="s">
        <v>174</v>
      </c>
      <c r="C35" s="158">
        <f>SUM(C33:C34)</f>
        <v>39451269</v>
      </c>
      <c r="D35" s="158">
        <f>SUM(D33:D34)</f>
        <v>39945030</v>
      </c>
      <c r="E35" s="158">
        <f>+D35-C35</f>
        <v>493761</v>
      </c>
      <c r="F35" s="159">
        <f>IF(C35=0,0,E35/C35)</f>
        <v>1.2515719076108807E-2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9877709</v>
      </c>
      <c r="D38" s="157">
        <v>8802588</v>
      </c>
      <c r="E38" s="157">
        <f>+D38-C38</f>
        <v>-1075121</v>
      </c>
      <c r="F38" s="161">
        <f>IF(C38=0,0,E38/C38)</f>
        <v>-0.10884315381228582</v>
      </c>
    </row>
    <row r="39" spans="1:6" ht="15" customHeight="1" x14ac:dyDescent="0.2">
      <c r="A39" s="147">
        <v>2</v>
      </c>
      <c r="B39" s="160" t="s">
        <v>178</v>
      </c>
      <c r="C39" s="157">
        <v>5761447</v>
      </c>
      <c r="D39" s="157">
        <v>6187096</v>
      </c>
      <c r="E39" s="157">
        <f>+D39-C39</f>
        <v>425649</v>
      </c>
      <c r="F39" s="161">
        <f>IF(C39=0,0,E39/C39)</f>
        <v>7.3878836340940043E-2</v>
      </c>
    </row>
    <row r="40" spans="1:6" ht="15" customHeight="1" x14ac:dyDescent="0.2">
      <c r="A40" s="147">
        <v>3</v>
      </c>
      <c r="B40" s="160" t="s">
        <v>179</v>
      </c>
      <c r="C40" s="157">
        <v>12198</v>
      </c>
      <c r="D40" s="157">
        <v>51618</v>
      </c>
      <c r="E40" s="157">
        <f>+D40-C40</f>
        <v>39420</v>
      </c>
      <c r="F40" s="161">
        <f>IF(C40=0,0,E40/C40)</f>
        <v>3.2316773241515002</v>
      </c>
    </row>
    <row r="41" spans="1:6" ht="15.75" customHeight="1" x14ac:dyDescent="0.25">
      <c r="A41" s="147"/>
      <c r="B41" s="162" t="s">
        <v>180</v>
      </c>
      <c r="C41" s="158">
        <f>SUM(C38:C40)</f>
        <v>15651354</v>
      </c>
      <c r="D41" s="158">
        <f>SUM(D38:D40)</f>
        <v>15041302</v>
      </c>
      <c r="E41" s="158">
        <f>+D41-C41</f>
        <v>-610052</v>
      </c>
      <c r="F41" s="159">
        <f>IF(C41=0,0,E41/C41)</f>
        <v>-3.8977586220335952E-2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2992001</v>
      </c>
      <c r="D47" s="157">
        <v>3380083</v>
      </c>
      <c r="E47" s="157">
        <f>+D47-C47</f>
        <v>388082</v>
      </c>
      <c r="F47" s="161">
        <f>IF(C47=0,0,E47/C47)</f>
        <v>0.1297065074510336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1363097</v>
      </c>
      <c r="D50" s="157">
        <v>3154911</v>
      </c>
      <c r="E50" s="157">
        <f>+D50-C50</f>
        <v>1791814</v>
      </c>
      <c r="F50" s="161">
        <f>IF(C50=0,0,E50/C50)</f>
        <v>1.3145168685720825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313514</v>
      </c>
      <c r="D53" s="157">
        <v>317756</v>
      </c>
      <c r="E53" s="157">
        <f t="shared" ref="E53:E59" si="0">+D53-C53</f>
        <v>4242</v>
      </c>
      <c r="F53" s="161">
        <f t="shared" ref="F53:F59" si="1">IF(C53=0,0,E53/C53)</f>
        <v>1.3530496245781688E-2</v>
      </c>
    </row>
    <row r="54" spans="1:6" ht="15" customHeight="1" x14ac:dyDescent="0.2">
      <c r="A54" s="147">
        <v>2</v>
      </c>
      <c r="B54" s="160" t="s">
        <v>189</v>
      </c>
      <c r="C54" s="157">
        <v>1362030</v>
      </c>
      <c r="D54" s="157">
        <v>1266105</v>
      </c>
      <c r="E54" s="157">
        <f t="shared" si="0"/>
        <v>-95925</v>
      </c>
      <c r="F54" s="161">
        <f t="shared" si="1"/>
        <v>-7.0427964141758989E-2</v>
      </c>
    </row>
    <row r="55" spans="1:6" ht="15" customHeight="1" x14ac:dyDescent="0.2">
      <c r="A55" s="147">
        <v>3</v>
      </c>
      <c r="B55" s="160" t="s">
        <v>190</v>
      </c>
      <c r="C55" s="157">
        <v>21754</v>
      </c>
      <c r="D55" s="157">
        <v>12664</v>
      </c>
      <c r="E55" s="157">
        <f t="shared" si="0"/>
        <v>-9090</v>
      </c>
      <c r="F55" s="161">
        <f t="shared" si="1"/>
        <v>-0.41785418773558886</v>
      </c>
    </row>
    <row r="56" spans="1:6" ht="15" customHeight="1" x14ac:dyDescent="0.2">
      <c r="A56" s="147">
        <v>4</v>
      </c>
      <c r="B56" s="160" t="s">
        <v>191</v>
      </c>
      <c r="C56" s="157">
        <v>2567193</v>
      </c>
      <c r="D56" s="157">
        <v>3024095</v>
      </c>
      <c r="E56" s="157">
        <f t="shared" si="0"/>
        <v>456902</v>
      </c>
      <c r="F56" s="161">
        <f t="shared" si="1"/>
        <v>0.1779772693365867</v>
      </c>
    </row>
    <row r="57" spans="1:6" ht="15" customHeight="1" x14ac:dyDescent="0.2">
      <c r="A57" s="147">
        <v>5</v>
      </c>
      <c r="B57" s="160" t="s">
        <v>192</v>
      </c>
      <c r="C57" s="157">
        <v>484442</v>
      </c>
      <c r="D57" s="157">
        <v>594297</v>
      </c>
      <c r="E57" s="157">
        <f t="shared" si="0"/>
        <v>109855</v>
      </c>
      <c r="F57" s="161">
        <f t="shared" si="1"/>
        <v>0.22676605248925569</v>
      </c>
    </row>
    <row r="58" spans="1:6" ht="15" customHeight="1" x14ac:dyDescent="0.2">
      <c r="A58" s="147">
        <v>6</v>
      </c>
      <c r="B58" s="160" t="s">
        <v>193</v>
      </c>
      <c r="C58" s="157">
        <v>78328</v>
      </c>
      <c r="D58" s="157">
        <v>81354</v>
      </c>
      <c r="E58" s="157">
        <f t="shared" si="0"/>
        <v>3026</v>
      </c>
      <c r="F58" s="161">
        <f t="shared" si="1"/>
        <v>3.8632417526299666E-2</v>
      </c>
    </row>
    <row r="59" spans="1:6" ht="15.75" customHeight="1" x14ac:dyDescent="0.25">
      <c r="A59" s="147"/>
      <c r="B59" s="162" t="s">
        <v>194</v>
      </c>
      <c r="C59" s="158">
        <f>SUM(C53:C58)</f>
        <v>4827261</v>
      </c>
      <c r="D59" s="158">
        <f>SUM(D53:D58)</f>
        <v>5296271</v>
      </c>
      <c r="E59" s="158">
        <f t="shared" si="0"/>
        <v>469010</v>
      </c>
      <c r="F59" s="159">
        <f t="shared" si="1"/>
        <v>9.7158616449369531E-2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596470</v>
      </c>
      <c r="D62" s="157">
        <v>342992</v>
      </c>
      <c r="E62" s="157">
        <f t="shared" ref="E62:E90" si="2">+D62-C62</f>
        <v>-253478</v>
      </c>
      <c r="F62" s="161">
        <f t="shared" ref="F62:F90" si="3">IF(C62=0,0,E62/C62)</f>
        <v>-0.4249635354669975</v>
      </c>
    </row>
    <row r="63" spans="1:6" ht="15" customHeight="1" x14ac:dyDescent="0.2">
      <c r="A63" s="147">
        <v>2</v>
      </c>
      <c r="B63" s="160" t="s">
        <v>198</v>
      </c>
      <c r="C63" s="157">
        <v>609027</v>
      </c>
      <c r="D63" s="157">
        <v>763020</v>
      </c>
      <c r="E63" s="157">
        <f t="shared" si="2"/>
        <v>153993</v>
      </c>
      <c r="F63" s="161">
        <f t="shared" si="3"/>
        <v>0.25285085882891889</v>
      </c>
    </row>
    <row r="64" spans="1:6" ht="15" customHeight="1" x14ac:dyDescent="0.2">
      <c r="A64" s="147">
        <v>3</v>
      </c>
      <c r="B64" s="160" t="s">
        <v>199</v>
      </c>
      <c r="C64" s="157">
        <v>2329706</v>
      </c>
      <c r="D64" s="157">
        <v>854820</v>
      </c>
      <c r="E64" s="157">
        <f t="shared" si="2"/>
        <v>-1474886</v>
      </c>
      <c r="F64" s="161">
        <f t="shared" si="3"/>
        <v>-0.63307816522771543</v>
      </c>
    </row>
    <row r="65" spans="1:6" ht="15" customHeight="1" x14ac:dyDescent="0.2">
      <c r="A65" s="147">
        <v>4</v>
      </c>
      <c r="B65" s="160" t="s">
        <v>200</v>
      </c>
      <c r="C65" s="157">
        <v>776693</v>
      </c>
      <c r="D65" s="157">
        <v>634103</v>
      </c>
      <c r="E65" s="157">
        <f t="shared" si="2"/>
        <v>-142590</v>
      </c>
      <c r="F65" s="161">
        <f t="shared" si="3"/>
        <v>-0.1835860500867138</v>
      </c>
    </row>
    <row r="66" spans="1:6" ht="15" customHeight="1" x14ac:dyDescent="0.2">
      <c r="A66" s="147">
        <v>5</v>
      </c>
      <c r="B66" s="160" t="s">
        <v>201</v>
      </c>
      <c r="C66" s="157">
        <v>177585</v>
      </c>
      <c r="D66" s="157">
        <v>265515</v>
      </c>
      <c r="E66" s="157">
        <f t="shared" si="2"/>
        <v>87930</v>
      </c>
      <c r="F66" s="161">
        <f t="shared" si="3"/>
        <v>0.49514317087591858</v>
      </c>
    </row>
    <row r="67" spans="1:6" ht="15" customHeight="1" x14ac:dyDescent="0.2">
      <c r="A67" s="147">
        <v>6</v>
      </c>
      <c r="B67" s="160" t="s">
        <v>202</v>
      </c>
      <c r="C67" s="157">
        <v>1431604</v>
      </c>
      <c r="D67" s="157">
        <v>2001144</v>
      </c>
      <c r="E67" s="157">
        <f t="shared" si="2"/>
        <v>569540</v>
      </c>
      <c r="F67" s="161">
        <f t="shared" si="3"/>
        <v>0.39783347909058653</v>
      </c>
    </row>
    <row r="68" spans="1:6" ht="15" customHeight="1" x14ac:dyDescent="0.2">
      <c r="A68" s="147">
        <v>7</v>
      </c>
      <c r="B68" s="160" t="s">
        <v>203</v>
      </c>
      <c r="C68" s="157">
        <v>1023656</v>
      </c>
      <c r="D68" s="157">
        <v>1184327</v>
      </c>
      <c r="E68" s="157">
        <f t="shared" si="2"/>
        <v>160671</v>
      </c>
      <c r="F68" s="161">
        <f t="shared" si="3"/>
        <v>0.15695800151613432</v>
      </c>
    </row>
    <row r="69" spans="1:6" ht="15" customHeight="1" x14ac:dyDescent="0.2">
      <c r="A69" s="147">
        <v>8</v>
      </c>
      <c r="B69" s="160" t="s">
        <v>204</v>
      </c>
      <c r="C69" s="157">
        <v>345001</v>
      </c>
      <c r="D69" s="157">
        <v>547039</v>
      </c>
      <c r="E69" s="157">
        <f t="shared" si="2"/>
        <v>202038</v>
      </c>
      <c r="F69" s="161">
        <f t="shared" si="3"/>
        <v>0.58561569386755397</v>
      </c>
    </row>
    <row r="70" spans="1:6" ht="15" customHeight="1" x14ac:dyDescent="0.2">
      <c r="A70" s="147">
        <v>9</v>
      </c>
      <c r="B70" s="160" t="s">
        <v>205</v>
      </c>
      <c r="C70" s="157">
        <v>39953</v>
      </c>
      <c r="D70" s="157">
        <v>8846</v>
      </c>
      <c r="E70" s="157">
        <f t="shared" si="2"/>
        <v>-31107</v>
      </c>
      <c r="F70" s="161">
        <f t="shared" si="3"/>
        <v>-0.77858984306560208</v>
      </c>
    </row>
    <row r="71" spans="1:6" ht="15" customHeight="1" x14ac:dyDescent="0.2">
      <c r="A71" s="147">
        <v>10</v>
      </c>
      <c r="B71" s="160" t="s">
        <v>206</v>
      </c>
      <c r="C71" s="157">
        <v>338964</v>
      </c>
      <c r="D71" s="157">
        <v>325688</v>
      </c>
      <c r="E71" s="157">
        <f t="shared" si="2"/>
        <v>-13276</v>
      </c>
      <c r="F71" s="161">
        <f t="shared" si="3"/>
        <v>-3.9166401151744731E-2</v>
      </c>
    </row>
    <row r="72" spans="1:6" ht="15" customHeight="1" x14ac:dyDescent="0.2">
      <c r="A72" s="147">
        <v>11</v>
      </c>
      <c r="B72" s="160" t="s">
        <v>207</v>
      </c>
      <c r="C72" s="157">
        <v>204168</v>
      </c>
      <c r="D72" s="157">
        <v>208210</v>
      </c>
      <c r="E72" s="157">
        <f t="shared" si="2"/>
        <v>4042</v>
      </c>
      <c r="F72" s="161">
        <f t="shared" si="3"/>
        <v>1.979742173112339E-2</v>
      </c>
    </row>
    <row r="73" spans="1:6" ht="15" customHeight="1" x14ac:dyDescent="0.2">
      <c r="A73" s="147">
        <v>12</v>
      </c>
      <c r="B73" s="160" t="s">
        <v>208</v>
      </c>
      <c r="C73" s="157">
        <v>1238836</v>
      </c>
      <c r="D73" s="157">
        <v>1118267</v>
      </c>
      <c r="E73" s="157">
        <f t="shared" si="2"/>
        <v>-120569</v>
      </c>
      <c r="F73" s="161">
        <f t="shared" si="3"/>
        <v>-9.7324423894688233E-2</v>
      </c>
    </row>
    <row r="74" spans="1:6" ht="15" customHeight="1" x14ac:dyDescent="0.2">
      <c r="A74" s="147">
        <v>13</v>
      </c>
      <c r="B74" s="160" t="s">
        <v>209</v>
      </c>
      <c r="C74" s="157">
        <v>119501</v>
      </c>
      <c r="D74" s="157">
        <v>116733</v>
      </c>
      <c r="E74" s="157">
        <f t="shared" si="2"/>
        <v>-2768</v>
      </c>
      <c r="F74" s="161">
        <f t="shared" si="3"/>
        <v>-2.3162986083798461E-2</v>
      </c>
    </row>
    <row r="75" spans="1:6" ht="15" customHeight="1" x14ac:dyDescent="0.2">
      <c r="A75" s="147">
        <v>14</v>
      </c>
      <c r="B75" s="160" t="s">
        <v>210</v>
      </c>
      <c r="C75" s="157">
        <v>766199</v>
      </c>
      <c r="D75" s="157">
        <v>173071</v>
      </c>
      <c r="E75" s="157">
        <f t="shared" si="2"/>
        <v>-593128</v>
      </c>
      <c r="F75" s="161">
        <f t="shared" si="3"/>
        <v>-0.7741174290230084</v>
      </c>
    </row>
    <row r="76" spans="1:6" ht="15" customHeight="1" x14ac:dyDescent="0.2">
      <c r="A76" s="147">
        <v>15</v>
      </c>
      <c r="B76" s="160" t="s">
        <v>211</v>
      </c>
      <c r="C76" s="157">
        <v>142824</v>
      </c>
      <c r="D76" s="157">
        <v>32857</v>
      </c>
      <c r="E76" s="157">
        <f t="shared" si="2"/>
        <v>-109967</v>
      </c>
      <c r="F76" s="161">
        <f t="shared" si="3"/>
        <v>-0.76994762784966109</v>
      </c>
    </row>
    <row r="77" spans="1:6" ht="15" customHeight="1" x14ac:dyDescent="0.2">
      <c r="A77" s="147">
        <v>16</v>
      </c>
      <c r="B77" s="160" t="s">
        <v>212</v>
      </c>
      <c r="C77" s="157">
        <v>4686168</v>
      </c>
      <c r="D77" s="157">
        <v>12723813</v>
      </c>
      <c r="E77" s="157">
        <f t="shared" si="2"/>
        <v>8037645</v>
      </c>
      <c r="F77" s="161">
        <f t="shared" si="3"/>
        <v>1.7151849869658962</v>
      </c>
    </row>
    <row r="78" spans="1:6" ht="15" customHeight="1" x14ac:dyDescent="0.2">
      <c r="A78" s="147">
        <v>17</v>
      </c>
      <c r="B78" s="160" t="s">
        <v>213</v>
      </c>
      <c r="C78" s="157">
        <v>3308235</v>
      </c>
      <c r="D78" s="157">
        <v>3394278</v>
      </c>
      <c r="E78" s="157">
        <f t="shared" si="2"/>
        <v>86043</v>
      </c>
      <c r="F78" s="161">
        <f t="shared" si="3"/>
        <v>2.6008732753265713E-2</v>
      </c>
    </row>
    <row r="79" spans="1:6" ht="15" customHeight="1" x14ac:dyDescent="0.2">
      <c r="A79" s="147">
        <v>18</v>
      </c>
      <c r="B79" s="160" t="s">
        <v>214</v>
      </c>
      <c r="C79" s="157">
        <v>293115</v>
      </c>
      <c r="D79" s="157">
        <v>136269</v>
      </c>
      <c r="E79" s="157">
        <f t="shared" si="2"/>
        <v>-156846</v>
      </c>
      <c r="F79" s="161">
        <f t="shared" si="3"/>
        <v>-0.53510055780154542</v>
      </c>
    </row>
    <row r="80" spans="1:6" ht="15" customHeight="1" x14ac:dyDescent="0.2">
      <c r="A80" s="147">
        <v>19</v>
      </c>
      <c r="B80" s="160" t="s">
        <v>215</v>
      </c>
      <c r="C80" s="157">
        <v>1417277</v>
      </c>
      <c r="D80" s="157">
        <v>1404597</v>
      </c>
      <c r="E80" s="157">
        <f t="shared" si="2"/>
        <v>-12680</v>
      </c>
      <c r="F80" s="161">
        <f t="shared" si="3"/>
        <v>-8.9467337718738115E-3</v>
      </c>
    </row>
    <row r="81" spans="1:6" ht="15" customHeight="1" x14ac:dyDescent="0.2">
      <c r="A81" s="147">
        <v>20</v>
      </c>
      <c r="B81" s="160" t="s">
        <v>216</v>
      </c>
      <c r="C81" s="157">
        <v>3931104</v>
      </c>
      <c r="D81" s="157">
        <v>3841474</v>
      </c>
      <c r="E81" s="157">
        <f t="shared" si="2"/>
        <v>-89630</v>
      </c>
      <c r="F81" s="161">
        <f t="shared" si="3"/>
        <v>-2.2800210831359333E-2</v>
      </c>
    </row>
    <row r="82" spans="1:6" ht="15" customHeight="1" x14ac:dyDescent="0.2">
      <c r="A82" s="147">
        <v>21</v>
      </c>
      <c r="B82" s="160" t="s">
        <v>217</v>
      </c>
      <c r="C82" s="157">
        <v>668991</v>
      </c>
      <c r="D82" s="157">
        <v>800737</v>
      </c>
      <c r="E82" s="157">
        <f t="shared" si="2"/>
        <v>131746</v>
      </c>
      <c r="F82" s="161">
        <f t="shared" si="3"/>
        <v>0.19693239520412084</v>
      </c>
    </row>
    <row r="83" spans="1:6" ht="15" customHeight="1" x14ac:dyDescent="0.2">
      <c r="A83" s="147">
        <v>22</v>
      </c>
      <c r="B83" s="160" t="s">
        <v>218</v>
      </c>
      <c r="C83" s="157">
        <v>331873</v>
      </c>
      <c r="D83" s="157">
        <v>205978</v>
      </c>
      <c r="E83" s="157">
        <f t="shared" si="2"/>
        <v>-125895</v>
      </c>
      <c r="F83" s="161">
        <f t="shared" si="3"/>
        <v>-0.37934691885148836</v>
      </c>
    </row>
    <row r="84" spans="1:6" ht="15" customHeight="1" x14ac:dyDescent="0.2">
      <c r="A84" s="147">
        <v>23</v>
      </c>
      <c r="B84" s="160" t="s">
        <v>219</v>
      </c>
      <c r="C84" s="157">
        <v>801288</v>
      </c>
      <c r="D84" s="157">
        <v>835345</v>
      </c>
      <c r="E84" s="157">
        <f t="shared" si="2"/>
        <v>34057</v>
      </c>
      <c r="F84" s="161">
        <f t="shared" si="3"/>
        <v>4.2502820459060911E-2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277944</v>
      </c>
      <c r="D86" s="157">
        <v>212994</v>
      </c>
      <c r="E86" s="157">
        <f t="shared" si="2"/>
        <v>-64950</v>
      </c>
      <c r="F86" s="161">
        <f t="shared" si="3"/>
        <v>-0.233680165788792</v>
      </c>
    </row>
    <row r="87" spans="1:6" ht="15" customHeight="1" x14ac:dyDescent="0.2">
      <c r="A87" s="147">
        <v>26</v>
      </c>
      <c r="B87" s="160" t="s">
        <v>222</v>
      </c>
      <c r="C87" s="157">
        <v>3871960</v>
      </c>
      <c r="D87" s="157">
        <v>3814804</v>
      </c>
      <c r="E87" s="157">
        <f t="shared" si="2"/>
        <v>-57156</v>
      </c>
      <c r="F87" s="161">
        <f t="shared" si="3"/>
        <v>-1.4761516131364994E-2</v>
      </c>
    </row>
    <row r="88" spans="1:6" ht="15" customHeight="1" x14ac:dyDescent="0.2">
      <c r="A88" s="147">
        <v>27</v>
      </c>
      <c r="B88" s="160" t="s">
        <v>223</v>
      </c>
      <c r="C88" s="157">
        <v>4413492</v>
      </c>
      <c r="D88" s="157">
        <v>2208734</v>
      </c>
      <c r="E88" s="157">
        <f t="shared" si="2"/>
        <v>-2204758</v>
      </c>
      <c r="F88" s="161">
        <f t="shared" si="3"/>
        <v>-0.49954956302175241</v>
      </c>
    </row>
    <row r="89" spans="1:6" ht="15" customHeight="1" x14ac:dyDescent="0.2">
      <c r="A89" s="147">
        <v>28</v>
      </c>
      <c r="B89" s="160" t="s">
        <v>224</v>
      </c>
      <c r="C89" s="157">
        <v>6415639</v>
      </c>
      <c r="D89" s="157">
        <v>5396599</v>
      </c>
      <c r="E89" s="157">
        <f t="shared" si="2"/>
        <v>-1019040</v>
      </c>
      <c r="F89" s="161">
        <f t="shared" si="3"/>
        <v>-0.15883686722398191</v>
      </c>
    </row>
    <row r="90" spans="1:6" ht="15.75" customHeight="1" x14ac:dyDescent="0.25">
      <c r="A90" s="147"/>
      <c r="B90" s="162" t="s">
        <v>225</v>
      </c>
      <c r="C90" s="158">
        <f>SUM(C62:C89)</f>
        <v>40557273</v>
      </c>
      <c r="D90" s="158">
        <f>SUM(D62:D89)</f>
        <v>43552254</v>
      </c>
      <c r="E90" s="158">
        <f t="shared" si="2"/>
        <v>2994981</v>
      </c>
      <c r="F90" s="159">
        <f t="shared" si="3"/>
        <v>7.3845719360865314E-2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252028161</v>
      </c>
      <c r="D95" s="158">
        <f>+D93+D90+D59+D50+D47+D44+D41+D35+D30+D24+D18</f>
        <v>251154393</v>
      </c>
      <c r="E95" s="158">
        <f>+D95-C95</f>
        <v>-873768</v>
      </c>
      <c r="F95" s="159">
        <f>IF(C95=0,0,E95/C95)</f>
        <v>-3.4669459021287705E-3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39256951</v>
      </c>
      <c r="D103" s="157">
        <v>37434164</v>
      </c>
      <c r="E103" s="157">
        <f t="shared" ref="E103:E121" si="4">D103-C103</f>
        <v>-1822787</v>
      </c>
      <c r="F103" s="161">
        <f t="shared" ref="F103:F121" si="5">IF(C103=0,0,E103/C103)</f>
        <v>-4.6432210183618185E-2</v>
      </c>
    </row>
    <row r="104" spans="1:6" ht="15" customHeight="1" x14ac:dyDescent="0.2">
      <c r="A104" s="147">
        <v>2</v>
      </c>
      <c r="B104" s="169" t="s">
        <v>234</v>
      </c>
      <c r="C104" s="157">
        <v>1743743</v>
      </c>
      <c r="D104" s="157">
        <v>1524642</v>
      </c>
      <c r="E104" s="157">
        <f t="shared" si="4"/>
        <v>-219101</v>
      </c>
      <c r="F104" s="161">
        <f t="shared" si="5"/>
        <v>-0.12564982339714051</v>
      </c>
    </row>
    <row r="105" spans="1:6" ht="15" customHeight="1" x14ac:dyDescent="0.2">
      <c r="A105" s="147">
        <v>3</v>
      </c>
      <c r="B105" s="169" t="s">
        <v>235</v>
      </c>
      <c r="C105" s="157">
        <v>2546899</v>
      </c>
      <c r="D105" s="157">
        <v>3085123</v>
      </c>
      <c r="E105" s="157">
        <f t="shared" si="4"/>
        <v>538224</v>
      </c>
      <c r="F105" s="161">
        <f t="shared" si="5"/>
        <v>0.21132522334022669</v>
      </c>
    </row>
    <row r="106" spans="1:6" ht="15" customHeight="1" x14ac:dyDescent="0.2">
      <c r="A106" s="147">
        <v>4</v>
      </c>
      <c r="B106" s="169" t="s">
        <v>236</v>
      </c>
      <c r="C106" s="157">
        <v>3019025</v>
      </c>
      <c r="D106" s="157">
        <v>2935593</v>
      </c>
      <c r="E106" s="157">
        <f t="shared" si="4"/>
        <v>-83432</v>
      </c>
      <c r="F106" s="161">
        <f t="shared" si="5"/>
        <v>-2.7635412094964434E-2</v>
      </c>
    </row>
    <row r="107" spans="1:6" ht="15" customHeight="1" x14ac:dyDescent="0.2">
      <c r="A107" s="147">
        <v>5</v>
      </c>
      <c r="B107" s="169" t="s">
        <v>237</v>
      </c>
      <c r="C107" s="157">
        <v>9395651</v>
      </c>
      <c r="D107" s="157">
        <v>10412014</v>
      </c>
      <c r="E107" s="157">
        <f t="shared" si="4"/>
        <v>1016363</v>
      </c>
      <c r="F107" s="161">
        <f t="shared" si="5"/>
        <v>0.10817377103513104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24339808</v>
      </c>
      <c r="D109" s="157">
        <v>26779435</v>
      </c>
      <c r="E109" s="157">
        <f t="shared" si="4"/>
        <v>2439627</v>
      </c>
      <c r="F109" s="161">
        <f t="shared" si="5"/>
        <v>0.10023197389231665</v>
      </c>
    </row>
    <row r="110" spans="1:6" ht="15" customHeight="1" x14ac:dyDescent="0.2">
      <c r="A110" s="147">
        <v>8</v>
      </c>
      <c r="B110" s="169" t="s">
        <v>240</v>
      </c>
      <c r="C110" s="157">
        <v>1357704</v>
      </c>
      <c r="D110" s="157">
        <v>113195</v>
      </c>
      <c r="E110" s="157">
        <f t="shared" si="4"/>
        <v>-1244509</v>
      </c>
      <c r="F110" s="161">
        <f t="shared" si="5"/>
        <v>-0.91662763017564952</v>
      </c>
    </row>
    <row r="111" spans="1:6" ht="15" customHeight="1" x14ac:dyDescent="0.2">
      <c r="A111" s="147">
        <v>9</v>
      </c>
      <c r="B111" s="169" t="s">
        <v>241</v>
      </c>
      <c r="C111" s="157">
        <v>1152928</v>
      </c>
      <c r="D111" s="157">
        <v>1011865</v>
      </c>
      <c r="E111" s="157">
        <f t="shared" si="4"/>
        <v>-141063</v>
      </c>
      <c r="F111" s="161">
        <f t="shared" si="5"/>
        <v>-0.12235195953259874</v>
      </c>
    </row>
    <row r="112" spans="1:6" ht="15" customHeight="1" x14ac:dyDescent="0.2">
      <c r="A112" s="147">
        <v>10</v>
      </c>
      <c r="B112" s="169" t="s">
        <v>242</v>
      </c>
      <c r="C112" s="157">
        <v>3429506</v>
      </c>
      <c r="D112" s="157">
        <v>3409832</v>
      </c>
      <c r="E112" s="157">
        <f t="shared" si="4"/>
        <v>-19674</v>
      </c>
      <c r="F112" s="161">
        <f t="shared" si="5"/>
        <v>-5.7366862749328911E-3</v>
      </c>
    </row>
    <row r="113" spans="1:6" ht="15" customHeight="1" x14ac:dyDescent="0.2">
      <c r="A113" s="147">
        <v>11</v>
      </c>
      <c r="B113" s="169" t="s">
        <v>243</v>
      </c>
      <c r="C113" s="157">
        <v>2908124</v>
      </c>
      <c r="D113" s="157">
        <v>2825681</v>
      </c>
      <c r="E113" s="157">
        <f t="shared" si="4"/>
        <v>-82443</v>
      </c>
      <c r="F113" s="161">
        <f t="shared" si="5"/>
        <v>-2.8349203816618547E-2</v>
      </c>
    </row>
    <row r="114" spans="1:6" ht="15" customHeight="1" x14ac:dyDescent="0.2">
      <c r="A114" s="147">
        <v>12</v>
      </c>
      <c r="B114" s="169" t="s">
        <v>244</v>
      </c>
      <c r="C114" s="157">
        <v>347665</v>
      </c>
      <c r="D114" s="157">
        <v>302360</v>
      </c>
      <c r="E114" s="157">
        <f t="shared" si="4"/>
        <v>-45305</v>
      </c>
      <c r="F114" s="161">
        <f t="shared" si="5"/>
        <v>-0.13031222584959659</v>
      </c>
    </row>
    <row r="115" spans="1:6" ht="15" customHeight="1" x14ac:dyDescent="0.2">
      <c r="A115" s="147">
        <v>13</v>
      </c>
      <c r="B115" s="169" t="s">
        <v>245</v>
      </c>
      <c r="C115" s="157">
        <v>4179945</v>
      </c>
      <c r="D115" s="157">
        <v>4518351</v>
      </c>
      <c r="E115" s="157">
        <f t="shared" si="4"/>
        <v>338406</v>
      </c>
      <c r="F115" s="161">
        <f t="shared" si="5"/>
        <v>8.0959438461510852E-2</v>
      </c>
    </row>
    <row r="116" spans="1:6" ht="15" customHeight="1" x14ac:dyDescent="0.2">
      <c r="A116" s="147">
        <v>14</v>
      </c>
      <c r="B116" s="169" t="s">
        <v>246</v>
      </c>
      <c r="C116" s="157">
        <v>1749286</v>
      </c>
      <c r="D116" s="157">
        <v>1779812</v>
      </c>
      <c r="E116" s="157">
        <f t="shared" si="4"/>
        <v>30526</v>
      </c>
      <c r="F116" s="161">
        <f t="shared" si="5"/>
        <v>1.7450548395173803E-2</v>
      </c>
    </row>
    <row r="117" spans="1:6" ht="15" customHeight="1" x14ac:dyDescent="0.2">
      <c r="A117" s="147">
        <v>15</v>
      </c>
      <c r="B117" s="169" t="s">
        <v>203</v>
      </c>
      <c r="C117" s="157">
        <v>2482511</v>
      </c>
      <c r="D117" s="157">
        <v>1766641</v>
      </c>
      <c r="E117" s="157">
        <f t="shared" si="4"/>
        <v>-715870</v>
      </c>
      <c r="F117" s="161">
        <f t="shared" si="5"/>
        <v>-0.2883652882102033</v>
      </c>
    </row>
    <row r="118" spans="1:6" ht="15" customHeight="1" x14ac:dyDescent="0.2">
      <c r="A118" s="147">
        <v>16</v>
      </c>
      <c r="B118" s="169" t="s">
        <v>247</v>
      </c>
      <c r="C118" s="157">
        <v>1479453</v>
      </c>
      <c r="D118" s="157">
        <v>1455374</v>
      </c>
      <c r="E118" s="157">
        <f t="shared" si="4"/>
        <v>-24079</v>
      </c>
      <c r="F118" s="161">
        <f t="shared" si="5"/>
        <v>-1.6275609972063999E-2</v>
      </c>
    </row>
    <row r="119" spans="1:6" ht="15" customHeight="1" x14ac:dyDescent="0.2">
      <c r="A119" s="147">
        <v>17</v>
      </c>
      <c r="B119" s="169" t="s">
        <v>248</v>
      </c>
      <c r="C119" s="157">
        <v>17611720</v>
      </c>
      <c r="D119" s="157">
        <v>17795584</v>
      </c>
      <c r="E119" s="157">
        <f t="shared" si="4"/>
        <v>183864</v>
      </c>
      <c r="F119" s="161">
        <f t="shared" si="5"/>
        <v>1.0439866180021032E-2</v>
      </c>
    </row>
    <row r="120" spans="1:6" ht="15" customHeight="1" x14ac:dyDescent="0.2">
      <c r="A120" s="147">
        <v>18</v>
      </c>
      <c r="B120" s="169" t="s">
        <v>249</v>
      </c>
      <c r="C120" s="157">
        <v>0</v>
      </c>
      <c r="D120" s="157">
        <v>0</v>
      </c>
      <c r="E120" s="157">
        <f t="shared" si="4"/>
        <v>0</v>
      </c>
      <c r="F120" s="161">
        <f t="shared" si="5"/>
        <v>0</v>
      </c>
    </row>
    <row r="121" spans="1:6" ht="15.75" customHeight="1" x14ac:dyDescent="0.25">
      <c r="A121" s="147"/>
      <c r="B121" s="165" t="s">
        <v>250</v>
      </c>
      <c r="C121" s="158">
        <f>SUM(C103:C120)</f>
        <v>117000919</v>
      </c>
      <c r="D121" s="158">
        <f>SUM(D103:D120)</f>
        <v>117149666</v>
      </c>
      <c r="E121" s="158">
        <f t="shared" si="4"/>
        <v>148747</v>
      </c>
      <c r="F121" s="159">
        <f t="shared" si="5"/>
        <v>1.2713318944101628E-3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869230</v>
      </c>
      <c r="D124" s="157">
        <v>963457</v>
      </c>
      <c r="E124" s="157">
        <f t="shared" ref="E124:E130" si="6">D124-C124</f>
        <v>94227</v>
      </c>
      <c r="F124" s="161">
        <f t="shared" ref="F124:F130" si="7">IF(C124=0,0,E124/C124)</f>
        <v>0.10840283929454805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2764651</v>
      </c>
      <c r="D126" s="157">
        <v>2609773</v>
      </c>
      <c r="E126" s="157">
        <f t="shared" si="6"/>
        <v>-154878</v>
      </c>
      <c r="F126" s="161">
        <f t="shared" si="7"/>
        <v>-5.6020814200418066E-2</v>
      </c>
    </row>
    <row r="127" spans="1:6" ht="15" customHeight="1" x14ac:dyDescent="0.2">
      <c r="A127" s="147">
        <v>4</v>
      </c>
      <c r="B127" s="169" t="s">
        <v>255</v>
      </c>
      <c r="C127" s="157">
        <v>3310147</v>
      </c>
      <c r="D127" s="157">
        <v>2924830</v>
      </c>
      <c r="E127" s="157">
        <f t="shared" si="6"/>
        <v>-385317</v>
      </c>
      <c r="F127" s="161">
        <f t="shared" si="7"/>
        <v>-0.11640480014935893</v>
      </c>
    </row>
    <row r="128" spans="1:6" ht="15" customHeight="1" x14ac:dyDescent="0.2">
      <c r="A128" s="147">
        <v>5</v>
      </c>
      <c r="B128" s="169" t="s">
        <v>256</v>
      </c>
      <c r="C128" s="157">
        <v>1939255</v>
      </c>
      <c r="D128" s="157">
        <v>1643321</v>
      </c>
      <c r="E128" s="157">
        <f t="shared" si="6"/>
        <v>-295934</v>
      </c>
      <c r="F128" s="161">
        <f t="shared" si="7"/>
        <v>-0.15260190124558143</v>
      </c>
    </row>
    <row r="129" spans="1:6" ht="15" customHeight="1" x14ac:dyDescent="0.2">
      <c r="A129" s="147">
        <v>6</v>
      </c>
      <c r="B129" s="169" t="s">
        <v>257</v>
      </c>
      <c r="C129" s="157">
        <v>1482832</v>
      </c>
      <c r="D129" s="157">
        <v>1405643</v>
      </c>
      <c r="E129" s="157">
        <f t="shared" si="6"/>
        <v>-77189</v>
      </c>
      <c r="F129" s="161">
        <f t="shared" si="7"/>
        <v>-5.2055121551193934E-2</v>
      </c>
    </row>
    <row r="130" spans="1:6" ht="15.75" customHeight="1" x14ac:dyDescent="0.25">
      <c r="A130" s="147"/>
      <c r="B130" s="165" t="s">
        <v>258</v>
      </c>
      <c r="C130" s="158">
        <f>SUM(C124:C129)</f>
        <v>10366115</v>
      </c>
      <c r="D130" s="158">
        <f>SUM(D124:D129)</f>
        <v>9547024</v>
      </c>
      <c r="E130" s="158">
        <f t="shared" si="6"/>
        <v>-819091</v>
      </c>
      <c r="F130" s="159">
        <f t="shared" si="7"/>
        <v>-7.9016198450432007E-2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8853565</v>
      </c>
      <c r="D133" s="157">
        <v>8954089</v>
      </c>
      <c r="E133" s="157">
        <f t="shared" ref="E133:E167" si="8">D133-C133</f>
        <v>100524</v>
      </c>
      <c r="F133" s="161">
        <f t="shared" ref="F133:F167" si="9">IF(C133=0,0,E133/C133)</f>
        <v>1.1354070366005107E-2</v>
      </c>
    </row>
    <row r="134" spans="1:6" ht="15" customHeight="1" x14ac:dyDescent="0.2">
      <c r="A134" s="147">
        <v>2</v>
      </c>
      <c r="B134" s="169" t="s">
        <v>261</v>
      </c>
      <c r="C134" s="157">
        <v>1694220</v>
      </c>
      <c r="D134" s="157">
        <v>1594926</v>
      </c>
      <c r="E134" s="157">
        <f t="shared" si="8"/>
        <v>-99294</v>
      </c>
      <c r="F134" s="161">
        <f t="shared" si="9"/>
        <v>-5.8607500796826861E-2</v>
      </c>
    </row>
    <row r="135" spans="1:6" ht="15" customHeight="1" x14ac:dyDescent="0.2">
      <c r="A135" s="147">
        <v>3</v>
      </c>
      <c r="B135" s="169" t="s">
        <v>262</v>
      </c>
      <c r="C135" s="157">
        <v>1198523</v>
      </c>
      <c r="D135" s="157">
        <v>1313264</v>
      </c>
      <c r="E135" s="157">
        <f t="shared" si="8"/>
        <v>114741</v>
      </c>
      <c r="F135" s="161">
        <f t="shared" si="9"/>
        <v>9.573533424056109E-2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6561650</v>
      </c>
      <c r="D137" s="157">
        <v>6424130</v>
      </c>
      <c r="E137" s="157">
        <f t="shared" si="8"/>
        <v>-137520</v>
      </c>
      <c r="F137" s="161">
        <f t="shared" si="9"/>
        <v>-2.09581431499699E-2</v>
      </c>
    </row>
    <row r="138" spans="1:6" ht="15" customHeight="1" x14ac:dyDescent="0.2">
      <c r="A138" s="147">
        <v>6</v>
      </c>
      <c r="B138" s="169" t="s">
        <v>265</v>
      </c>
      <c r="C138" s="157">
        <v>1797698</v>
      </c>
      <c r="D138" s="157">
        <v>1722340</v>
      </c>
      <c r="E138" s="157">
        <f t="shared" si="8"/>
        <v>-75358</v>
      </c>
      <c r="F138" s="161">
        <f t="shared" si="9"/>
        <v>-4.1919165510558506E-2</v>
      </c>
    </row>
    <row r="139" spans="1:6" ht="15" customHeight="1" x14ac:dyDescent="0.2">
      <c r="A139" s="147">
        <v>7</v>
      </c>
      <c r="B139" s="169" t="s">
        <v>266</v>
      </c>
      <c r="C139" s="157">
        <v>3116039</v>
      </c>
      <c r="D139" s="157">
        <v>2732126</v>
      </c>
      <c r="E139" s="157">
        <f t="shared" si="8"/>
        <v>-383913</v>
      </c>
      <c r="F139" s="161">
        <f t="shared" si="9"/>
        <v>-0.1232054541037516</v>
      </c>
    </row>
    <row r="140" spans="1:6" ht="15" customHeight="1" x14ac:dyDescent="0.2">
      <c r="A140" s="147">
        <v>8</v>
      </c>
      <c r="B140" s="169" t="s">
        <v>267</v>
      </c>
      <c r="C140" s="157">
        <v>905910</v>
      </c>
      <c r="D140" s="157">
        <v>1190849</v>
      </c>
      <c r="E140" s="157">
        <f t="shared" si="8"/>
        <v>284939</v>
      </c>
      <c r="F140" s="161">
        <f t="shared" si="9"/>
        <v>0.3145334525504741</v>
      </c>
    </row>
    <row r="141" spans="1:6" ht="15" customHeight="1" x14ac:dyDescent="0.2">
      <c r="A141" s="147">
        <v>9</v>
      </c>
      <c r="B141" s="169" t="s">
        <v>268</v>
      </c>
      <c r="C141" s="157">
        <v>2299870</v>
      </c>
      <c r="D141" s="157">
        <v>2309918</v>
      </c>
      <c r="E141" s="157">
        <f t="shared" si="8"/>
        <v>10048</v>
      </c>
      <c r="F141" s="161">
        <f t="shared" si="9"/>
        <v>4.3689425924073972E-3</v>
      </c>
    </row>
    <row r="142" spans="1:6" ht="15" customHeight="1" x14ac:dyDescent="0.2">
      <c r="A142" s="147">
        <v>10</v>
      </c>
      <c r="B142" s="169" t="s">
        <v>269</v>
      </c>
      <c r="C142" s="157">
        <v>11442693</v>
      </c>
      <c r="D142" s="157">
        <v>11054580</v>
      </c>
      <c r="E142" s="157">
        <f t="shared" si="8"/>
        <v>-388113</v>
      </c>
      <c r="F142" s="161">
        <f t="shared" si="9"/>
        <v>-3.3917977175477836E-2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1218205</v>
      </c>
      <c r="D144" s="157">
        <v>1385138</v>
      </c>
      <c r="E144" s="157">
        <f t="shared" si="8"/>
        <v>166933</v>
      </c>
      <c r="F144" s="161">
        <f t="shared" si="9"/>
        <v>0.13703194454135387</v>
      </c>
    </row>
    <row r="145" spans="1:6" ht="15" customHeight="1" x14ac:dyDescent="0.2">
      <c r="A145" s="147">
        <v>13</v>
      </c>
      <c r="B145" s="169" t="s">
        <v>272</v>
      </c>
      <c r="C145" s="157">
        <v>197274</v>
      </c>
      <c r="D145" s="157">
        <v>147639</v>
      </c>
      <c r="E145" s="157">
        <f t="shared" si="8"/>
        <v>-49635</v>
      </c>
      <c r="F145" s="161">
        <f t="shared" si="9"/>
        <v>-0.25160436752942605</v>
      </c>
    </row>
    <row r="146" spans="1:6" ht="15" customHeight="1" x14ac:dyDescent="0.2">
      <c r="A146" s="147">
        <v>14</v>
      </c>
      <c r="B146" s="169" t="s">
        <v>273</v>
      </c>
      <c r="C146" s="157">
        <v>151705</v>
      </c>
      <c r="D146" s="157">
        <v>139050</v>
      </c>
      <c r="E146" s="157">
        <f t="shared" si="8"/>
        <v>-12655</v>
      </c>
      <c r="F146" s="161">
        <f t="shared" si="9"/>
        <v>-8.3418476648759107E-2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1923887</v>
      </c>
      <c r="D150" s="157">
        <v>1905368</v>
      </c>
      <c r="E150" s="157">
        <f t="shared" si="8"/>
        <v>-18519</v>
      </c>
      <c r="F150" s="161">
        <f t="shared" si="9"/>
        <v>-9.6258252173854284E-3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1142998</v>
      </c>
      <c r="D152" s="157">
        <v>1196450</v>
      </c>
      <c r="E152" s="157">
        <f t="shared" si="8"/>
        <v>53452</v>
      </c>
      <c r="F152" s="161">
        <f t="shared" si="9"/>
        <v>4.6764736246257647E-2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1730453</v>
      </c>
      <c r="D154" s="157">
        <v>2435943</v>
      </c>
      <c r="E154" s="157">
        <f t="shared" si="8"/>
        <v>705490</v>
      </c>
      <c r="F154" s="161">
        <f t="shared" si="9"/>
        <v>0.40769093410800522</v>
      </c>
    </row>
    <row r="155" spans="1:6" ht="15" customHeight="1" x14ac:dyDescent="0.2">
      <c r="A155" s="147">
        <v>23</v>
      </c>
      <c r="B155" s="169" t="s">
        <v>282</v>
      </c>
      <c r="C155" s="157">
        <v>586857</v>
      </c>
      <c r="D155" s="157">
        <v>570066</v>
      </c>
      <c r="E155" s="157">
        <f t="shared" si="8"/>
        <v>-16791</v>
      </c>
      <c r="F155" s="161">
        <f t="shared" si="9"/>
        <v>-2.861174016838855E-2</v>
      </c>
    </row>
    <row r="156" spans="1:6" ht="15" customHeight="1" x14ac:dyDescent="0.2">
      <c r="A156" s="147">
        <v>24</v>
      </c>
      <c r="B156" s="169" t="s">
        <v>283</v>
      </c>
      <c r="C156" s="157">
        <v>18808301</v>
      </c>
      <c r="D156" s="157">
        <v>19026756</v>
      </c>
      <c r="E156" s="157">
        <f t="shared" si="8"/>
        <v>218455</v>
      </c>
      <c r="F156" s="161">
        <f t="shared" si="9"/>
        <v>1.1614818371951831E-2</v>
      </c>
    </row>
    <row r="157" spans="1:6" ht="15" customHeight="1" x14ac:dyDescent="0.2">
      <c r="A157" s="147">
        <v>25</v>
      </c>
      <c r="B157" s="169" t="s">
        <v>284</v>
      </c>
      <c r="C157" s="157">
        <v>2979022</v>
      </c>
      <c r="D157" s="157">
        <v>2727856</v>
      </c>
      <c r="E157" s="157">
        <f t="shared" si="8"/>
        <v>-251166</v>
      </c>
      <c r="F157" s="161">
        <f t="shared" si="9"/>
        <v>-8.4311562653783687E-2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607216</v>
      </c>
      <c r="D159" s="157">
        <v>540727</v>
      </c>
      <c r="E159" s="157">
        <f t="shared" si="8"/>
        <v>-66489</v>
      </c>
      <c r="F159" s="161">
        <f t="shared" si="9"/>
        <v>-0.10949810281679007</v>
      </c>
    </row>
    <row r="160" spans="1:6" ht="15" customHeight="1" x14ac:dyDescent="0.2">
      <c r="A160" s="147">
        <v>28</v>
      </c>
      <c r="B160" s="169" t="s">
        <v>287</v>
      </c>
      <c r="C160" s="157">
        <v>1152179</v>
      </c>
      <c r="D160" s="157">
        <v>1071717</v>
      </c>
      <c r="E160" s="157">
        <f t="shared" si="8"/>
        <v>-80462</v>
      </c>
      <c r="F160" s="161">
        <f t="shared" si="9"/>
        <v>-6.9834635069724413E-2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235500</v>
      </c>
      <c r="D162" s="157">
        <v>333900</v>
      </c>
      <c r="E162" s="157">
        <f t="shared" si="8"/>
        <v>98400</v>
      </c>
      <c r="F162" s="161">
        <f t="shared" si="9"/>
        <v>0.41783439490445862</v>
      </c>
    </row>
    <row r="163" spans="1:6" ht="15" customHeight="1" x14ac:dyDescent="0.2">
      <c r="A163" s="147">
        <v>31</v>
      </c>
      <c r="B163" s="169" t="s">
        <v>290</v>
      </c>
      <c r="C163" s="157">
        <v>1438100</v>
      </c>
      <c r="D163" s="157">
        <v>1718888</v>
      </c>
      <c r="E163" s="157">
        <f t="shared" si="8"/>
        <v>280788</v>
      </c>
      <c r="F163" s="161">
        <f t="shared" si="9"/>
        <v>0.19524928725401572</v>
      </c>
    </row>
    <row r="164" spans="1:6" ht="15" customHeight="1" x14ac:dyDescent="0.2">
      <c r="A164" s="147">
        <v>32</v>
      </c>
      <c r="B164" s="169" t="s">
        <v>291</v>
      </c>
      <c r="C164" s="157">
        <v>2253135</v>
      </c>
      <c r="D164" s="157">
        <v>2258164</v>
      </c>
      <c r="E164" s="157">
        <f t="shared" si="8"/>
        <v>5029</v>
      </c>
      <c r="F164" s="161">
        <f t="shared" si="9"/>
        <v>2.2320011894538055E-3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13235896</v>
      </c>
      <c r="D166" s="157">
        <v>13181564</v>
      </c>
      <c r="E166" s="157">
        <f t="shared" si="8"/>
        <v>-54332</v>
      </c>
      <c r="F166" s="161">
        <f t="shared" si="9"/>
        <v>-4.1048977719377669E-3</v>
      </c>
    </row>
    <row r="167" spans="1:6" ht="15.75" customHeight="1" x14ac:dyDescent="0.25">
      <c r="A167" s="147"/>
      <c r="B167" s="165" t="s">
        <v>294</v>
      </c>
      <c r="C167" s="158">
        <f>SUM(C133:C166)</f>
        <v>85530896</v>
      </c>
      <c r="D167" s="158">
        <f>SUM(D133:D166)</f>
        <v>85935448</v>
      </c>
      <c r="E167" s="158">
        <f t="shared" si="8"/>
        <v>404552</v>
      </c>
      <c r="F167" s="159">
        <f t="shared" si="9"/>
        <v>4.7298931604785243E-3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25033521</v>
      </c>
      <c r="D170" s="157">
        <v>24146814</v>
      </c>
      <c r="E170" s="157">
        <f t="shared" ref="E170:E183" si="10">D170-C170</f>
        <v>-886707</v>
      </c>
      <c r="F170" s="161">
        <f t="shared" ref="F170:F183" si="11">IF(C170=0,0,E170/C170)</f>
        <v>-3.5420786392773115E-2</v>
      </c>
    </row>
    <row r="171" spans="1:6" ht="15" customHeight="1" x14ac:dyDescent="0.2">
      <c r="A171" s="147">
        <v>2</v>
      </c>
      <c r="B171" s="169" t="s">
        <v>297</v>
      </c>
      <c r="C171" s="157">
        <v>3187365</v>
      </c>
      <c r="D171" s="157">
        <v>3270993</v>
      </c>
      <c r="E171" s="157">
        <f t="shared" si="10"/>
        <v>83628</v>
      </c>
      <c r="F171" s="161">
        <f t="shared" si="11"/>
        <v>2.6237346522911559E-2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2218453</v>
      </c>
      <c r="D173" s="157">
        <v>2211156</v>
      </c>
      <c r="E173" s="157">
        <f t="shared" si="10"/>
        <v>-7297</v>
      </c>
      <c r="F173" s="161">
        <f t="shared" si="11"/>
        <v>-3.2892290258121314E-3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4554793</v>
      </c>
      <c r="D175" s="157">
        <v>4686844</v>
      </c>
      <c r="E175" s="157">
        <f t="shared" si="10"/>
        <v>132051</v>
      </c>
      <c r="F175" s="161">
        <f t="shared" si="11"/>
        <v>2.8991657798718845E-2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0</v>
      </c>
      <c r="D179" s="157">
        <v>0</v>
      </c>
      <c r="E179" s="157">
        <f t="shared" si="10"/>
        <v>0</v>
      </c>
      <c r="F179" s="161">
        <f t="shared" si="11"/>
        <v>0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3544954</v>
      </c>
      <c r="D181" s="157">
        <v>3513875</v>
      </c>
      <c r="E181" s="157">
        <f t="shared" si="10"/>
        <v>-31079</v>
      </c>
      <c r="F181" s="161">
        <f t="shared" si="11"/>
        <v>-8.7671095308994133E-3</v>
      </c>
    </row>
    <row r="182" spans="1:6" ht="15" customHeight="1" x14ac:dyDescent="0.2">
      <c r="A182" s="147">
        <v>13</v>
      </c>
      <c r="B182" s="169" t="s">
        <v>308</v>
      </c>
      <c r="C182" s="157">
        <v>591145</v>
      </c>
      <c r="D182" s="157">
        <v>692573</v>
      </c>
      <c r="E182" s="157">
        <f t="shared" si="10"/>
        <v>101428</v>
      </c>
      <c r="F182" s="161">
        <f t="shared" si="11"/>
        <v>0.17157888504512428</v>
      </c>
    </row>
    <row r="183" spans="1:6" ht="15.75" customHeight="1" x14ac:dyDescent="0.25">
      <c r="A183" s="147"/>
      <c r="B183" s="165" t="s">
        <v>309</v>
      </c>
      <c r="C183" s="158">
        <f>SUM(C170:C182)</f>
        <v>39130231</v>
      </c>
      <c r="D183" s="158">
        <f>SUM(D170:D182)</f>
        <v>38522255</v>
      </c>
      <c r="E183" s="158">
        <f t="shared" si="10"/>
        <v>-607976</v>
      </c>
      <c r="F183" s="159">
        <f t="shared" si="11"/>
        <v>-1.5537245358965553E-2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252028161</v>
      </c>
      <c r="D188" s="158">
        <f>+D186+D183+D167+D130+D121</f>
        <v>251154393</v>
      </c>
      <c r="E188" s="158">
        <f>D188-C188</f>
        <v>-873768</v>
      </c>
      <c r="F188" s="159">
        <f>IF(C188=0,0,E188/C188)</f>
        <v>-3.4669459021287705E-3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/>
  <headerFooter>
    <oddHeader>&amp;LOFFICE OF HEALTH CARE ACCESS&amp;CTWELVE MONTHS ACTUAL FILING&amp;RWILLIAM W. BACKUS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268008827</v>
      </c>
      <c r="D11" s="183">
        <v>293617939</v>
      </c>
      <c r="E11" s="76">
        <v>285527689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7202302</v>
      </c>
      <c r="D12" s="185">
        <v>7047673</v>
      </c>
      <c r="E12" s="185">
        <v>6576794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275211129</v>
      </c>
      <c r="D13" s="76">
        <f>+D11+D12</f>
        <v>300665612</v>
      </c>
      <c r="E13" s="76">
        <f>+E11+E12</f>
        <v>292104483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249935251</v>
      </c>
      <c r="D14" s="185">
        <v>252028161</v>
      </c>
      <c r="E14" s="185">
        <v>251154393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25275878</v>
      </c>
      <c r="D15" s="76">
        <f>+D13-D14</f>
        <v>48637451</v>
      </c>
      <c r="E15" s="76">
        <f>+E13-E14</f>
        <v>40950090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10257621</v>
      </c>
      <c r="D16" s="185">
        <v>9066264</v>
      </c>
      <c r="E16" s="185">
        <v>-825184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35533499</v>
      </c>
      <c r="D17" s="76">
        <f>D15+D16</f>
        <v>57703715</v>
      </c>
      <c r="E17" s="76">
        <f>E15+E16</f>
        <v>40124906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8.8541663492063494E-2</v>
      </c>
      <c r="D20" s="189">
        <f>IF(+D27=0,0,+D24/+D27)</f>
        <v>0.15703082171626404</v>
      </c>
      <c r="E20" s="189">
        <f>IF(+E27=0,0,+E24/+E27)</f>
        <v>0.14058702468931716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3.593255303776683E-2</v>
      </c>
      <c r="D21" s="189">
        <f>IF(D27=0,0,+D26/D27)</f>
        <v>2.9271330148789722E-2</v>
      </c>
      <c r="E21" s="189">
        <f>IF(E27=0,0,+E26/E27)</f>
        <v>-2.8329647964443912E-3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0.12447421652983032</v>
      </c>
      <c r="D22" s="189">
        <f>IF(D27=0,0,+D28/D27)</f>
        <v>0.18630215186505375</v>
      </c>
      <c r="E22" s="189">
        <f>IF(E27=0,0,+E28/E27)</f>
        <v>0.13775405989287279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25275878</v>
      </c>
      <c r="D24" s="76">
        <f>+D15</f>
        <v>48637451</v>
      </c>
      <c r="E24" s="76">
        <f>+E15</f>
        <v>40950090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275211129</v>
      </c>
      <c r="D25" s="76">
        <f>+D13</f>
        <v>300665612</v>
      </c>
      <c r="E25" s="76">
        <f>+E13</f>
        <v>292104483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10257621</v>
      </c>
      <c r="D26" s="76">
        <f>+D16</f>
        <v>9066264</v>
      </c>
      <c r="E26" s="76">
        <f>+E16</f>
        <v>-825184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285468750</v>
      </c>
      <c r="D27" s="76">
        <f>+D25+D26</f>
        <v>309731876</v>
      </c>
      <c r="E27" s="76">
        <f>+E25+E26</f>
        <v>291279299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35533499</v>
      </c>
      <c r="D28" s="76">
        <f>+D17</f>
        <v>57703715</v>
      </c>
      <c r="E28" s="76">
        <f>+E17</f>
        <v>40124906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314099880</v>
      </c>
      <c r="D31" s="76">
        <v>342576048</v>
      </c>
      <c r="E31" s="76">
        <v>355064529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325472938</v>
      </c>
      <c r="D32" s="76">
        <v>354463494</v>
      </c>
      <c r="E32" s="76">
        <v>367076887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127628894</v>
      </c>
      <c r="D33" s="76">
        <f>+D32-C32</f>
        <v>28990556</v>
      </c>
      <c r="E33" s="76">
        <f>+E32-D32</f>
        <v>12613393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1.645</v>
      </c>
      <c r="D34" s="193">
        <f>IF(C32=0,0,+D33/C32)</f>
        <v>8.9072093606750183E-2</v>
      </c>
      <c r="E34" s="193">
        <f>IF(D32=0,0,+E33/D32)</f>
        <v>3.5584462754294242E-2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0.38005472235085169</v>
      </c>
      <c r="D38" s="195">
        <f>IF((D40+D41)=0,0,+D39/(D40+D41))</f>
        <v>0.35559386651342284</v>
      </c>
      <c r="E38" s="195">
        <f>IF((E40+E41)=0,0,+E39/(E40+E41))</f>
        <v>0.33703858560658517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249935251</v>
      </c>
      <c r="D39" s="76">
        <v>252028161</v>
      </c>
      <c r="E39" s="196">
        <v>251154393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650427340</v>
      </c>
      <c r="D40" s="76">
        <v>701705462</v>
      </c>
      <c r="E40" s="196">
        <v>738603146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7202302</v>
      </c>
      <c r="D41" s="76">
        <v>7047373</v>
      </c>
      <c r="E41" s="196">
        <v>6576794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1.6817164086435974</v>
      </c>
      <c r="D43" s="197">
        <f>IF(D38=0,0,IF((D46-D47)=0,0,((+D44-D45)/(D46-D47)/D38)))</f>
        <v>1.8116617219424958</v>
      </c>
      <c r="E43" s="197">
        <f>IF(E38=0,0,IF((E46-E47)=0,0,((+E44-E45)/(E46-E47)/E38)))</f>
        <v>1.9051747814210502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154135954</v>
      </c>
      <c r="D44" s="76">
        <v>158851096</v>
      </c>
      <c r="E44" s="196">
        <v>161210342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2385465</v>
      </c>
      <c r="D45" s="76">
        <v>2184757</v>
      </c>
      <c r="E45" s="196">
        <v>1796064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251905183</v>
      </c>
      <c r="D46" s="76">
        <v>256207079</v>
      </c>
      <c r="E46" s="196">
        <v>259219959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14477582</v>
      </c>
      <c r="D47" s="76">
        <v>13017856</v>
      </c>
      <c r="E47" s="76">
        <v>10956519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0.86049073434264489</v>
      </c>
      <c r="D49" s="198">
        <f>IF(D38=0,0,IF(D51=0,0,(D50/D51)/D38))</f>
        <v>0.96674327854721287</v>
      </c>
      <c r="E49" s="198">
        <f>IF(E38=0,0,IF(E51=0,0,(E50/E51)/E38))</f>
        <v>0.95436958894834978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86019959</v>
      </c>
      <c r="D50" s="199">
        <v>99158218</v>
      </c>
      <c r="E50" s="199">
        <v>98008978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263030978</v>
      </c>
      <c r="D51" s="199">
        <v>288445183</v>
      </c>
      <c r="E51" s="199">
        <v>304698029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0.66795669703978289</v>
      </c>
      <c r="D53" s="198">
        <f>IF(D38=0,0,IF(D55=0,0,(D54/D55)/D38))</f>
        <v>0.70201927064326652</v>
      </c>
      <c r="E53" s="198">
        <f>IF(E38=0,0,IF(E55=0,0,(E54/E55)/E38))</f>
        <v>0.61550600922145537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31231570</v>
      </c>
      <c r="D54" s="199">
        <v>35424169</v>
      </c>
      <c r="E54" s="199">
        <v>32856592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123026700</v>
      </c>
      <c r="D55" s="199">
        <v>141904568</v>
      </c>
      <c r="E55" s="199">
        <v>158383740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5450355.6519202273</v>
      </c>
      <c r="D57" s="88">
        <f>+D60*D38</f>
        <v>4708339.0890719993</v>
      </c>
      <c r="E57" s="88">
        <f>+E60*E38</f>
        <v>4285425.7307111798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5518573</v>
      </c>
      <c r="D58" s="199">
        <v>5111796</v>
      </c>
      <c r="E58" s="199">
        <v>4033618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8822403</v>
      </c>
      <c r="D59" s="199">
        <v>8128981</v>
      </c>
      <c r="E59" s="199">
        <v>8681323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14340976</v>
      </c>
      <c r="D60" s="76">
        <v>13240777</v>
      </c>
      <c r="E60" s="201">
        <v>12714941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2.1807070551725524E-2</v>
      </c>
      <c r="D62" s="202">
        <f>IF(D63=0,0,+D57/D63)</f>
        <v>1.8681797583215309E-2</v>
      </c>
      <c r="E62" s="202">
        <f>IF(E63=0,0,+E57/E63)</f>
        <v>1.7062913690349745E-2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249935251</v>
      </c>
      <c r="D63" s="199">
        <v>252028161</v>
      </c>
      <c r="E63" s="199">
        <v>251154393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6.0695186805904866</v>
      </c>
      <c r="D67" s="203">
        <f>IF(D69=0,0,D68/D69)</f>
        <v>6.0358068866328676</v>
      </c>
      <c r="E67" s="203">
        <f>IF(E69=0,0,E68/E69)</f>
        <v>6.7517577991303321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176775642</v>
      </c>
      <c r="D68" s="204">
        <v>236054788</v>
      </c>
      <c r="E68" s="204">
        <v>243921679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29125150</v>
      </c>
      <c r="D69" s="204">
        <v>39109069</v>
      </c>
      <c r="E69" s="204">
        <v>36127137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206.07728307154741</v>
      </c>
      <c r="D71" s="203">
        <f>IF((D77/365)=0,0,+D74/(D77/365))</f>
        <v>288.78425591475224</v>
      </c>
      <c r="E71" s="203">
        <f>IF((E77/365)=0,0,+E74/(E77/365))</f>
        <v>297.95106877407318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132347698</v>
      </c>
      <c r="D72" s="183">
        <v>187018905</v>
      </c>
      <c r="E72" s="183">
        <v>192740131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132347698</v>
      </c>
      <c r="D74" s="204">
        <f>+D72+D73</f>
        <v>187018905</v>
      </c>
      <c r="E74" s="204">
        <f>+E72+E73</f>
        <v>192740131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249935251</v>
      </c>
      <c r="D75" s="204">
        <f>+D14</f>
        <v>252028161</v>
      </c>
      <c r="E75" s="204">
        <f>+E14</f>
        <v>251154393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15523631</v>
      </c>
      <c r="D76" s="204">
        <v>15651354</v>
      </c>
      <c r="E76" s="204">
        <v>15041302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234411620</v>
      </c>
      <c r="D77" s="204">
        <f>+D75-D76</f>
        <v>236376807</v>
      </c>
      <c r="E77" s="204">
        <f>+E75-E76</f>
        <v>236113091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39.747463243066989</v>
      </c>
      <c r="D79" s="203">
        <f>IF((D84/365)=0,0,+D83/(D84/365))</f>
        <v>35.979811182449588</v>
      </c>
      <c r="E79" s="203">
        <f>IF((E84/365)=0,0,+E83/(E84/365))</f>
        <v>34.343438982549955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31013657</v>
      </c>
      <c r="D80" s="212">
        <v>36980052</v>
      </c>
      <c r="E80" s="212">
        <v>36077266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1828257</v>
      </c>
      <c r="D82" s="212">
        <v>8036715</v>
      </c>
      <c r="E82" s="212">
        <v>9211505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29185400</v>
      </c>
      <c r="D83" s="212">
        <f>+D80+D81-D82</f>
        <v>28943337</v>
      </c>
      <c r="E83" s="212">
        <f>+E80+E81-E82</f>
        <v>26865761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268008827</v>
      </c>
      <c r="D84" s="204">
        <f>+D11</f>
        <v>293617939</v>
      </c>
      <c r="E84" s="204">
        <f>+E11</f>
        <v>285527689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45.350481132291996</v>
      </c>
      <c r="D86" s="203">
        <f>IF((D90/365)=0,0,+D87/(D90/365))</f>
        <v>60.390062655343336</v>
      </c>
      <c r="E86" s="203">
        <f>IF((E90/365)=0,0,+E87/(E90/365))</f>
        <v>55.847835243493549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29125150</v>
      </c>
      <c r="D87" s="76">
        <f>+D69</f>
        <v>39109069</v>
      </c>
      <c r="E87" s="76">
        <f>+E69</f>
        <v>36127137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249935251</v>
      </c>
      <c r="D88" s="76">
        <f t="shared" si="0"/>
        <v>252028161</v>
      </c>
      <c r="E88" s="76">
        <f t="shared" si="0"/>
        <v>251154393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15523631</v>
      </c>
      <c r="D89" s="201">
        <f t="shared" si="0"/>
        <v>15651354</v>
      </c>
      <c r="E89" s="201">
        <f t="shared" si="0"/>
        <v>15041302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234411620</v>
      </c>
      <c r="D90" s="76">
        <f>+D88-D89</f>
        <v>236376807</v>
      </c>
      <c r="E90" s="76">
        <f>+E88-E89</f>
        <v>236113091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68.275191635396851</v>
      </c>
      <c r="D94" s="214">
        <f>IF(D96=0,0,(D95/D96)*100)</f>
        <v>69.037942153291667</v>
      </c>
      <c r="E94" s="214">
        <f>IF(E96=0,0,(E95/E96)*100)</f>
        <v>68.819304252268722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325472938</v>
      </c>
      <c r="D95" s="76">
        <f>+D32</f>
        <v>354463494</v>
      </c>
      <c r="E95" s="76">
        <f>+E32</f>
        <v>367076887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476707469</v>
      </c>
      <c r="D96" s="76">
        <v>513432879</v>
      </c>
      <c r="E96" s="76">
        <v>533392325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53.008543036334324</v>
      </c>
      <c r="D98" s="214">
        <f>IF(D104=0,0,(D101/D104)*100)</f>
        <v>68.35887024676704</v>
      </c>
      <c r="E98" s="214">
        <f>IF(E104=0,0,(E101/E104)*100)</f>
        <v>52.790776670966608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35533499</v>
      </c>
      <c r="D99" s="76">
        <f>+D28</f>
        <v>57703715</v>
      </c>
      <c r="E99" s="76">
        <f>+E28</f>
        <v>40124906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15523631</v>
      </c>
      <c r="D100" s="201">
        <f>+D76</f>
        <v>15651354</v>
      </c>
      <c r="E100" s="201">
        <f>+E76</f>
        <v>15041302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51057130</v>
      </c>
      <c r="D101" s="76">
        <f>+D99+D100</f>
        <v>73355069</v>
      </c>
      <c r="E101" s="76">
        <f>+E99+E100</f>
        <v>55166208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29125150</v>
      </c>
      <c r="D102" s="204">
        <f>+D69</f>
        <v>39109069</v>
      </c>
      <c r="E102" s="204">
        <f>+E69</f>
        <v>36127137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67193532</v>
      </c>
      <c r="D103" s="216">
        <v>68199710</v>
      </c>
      <c r="E103" s="216">
        <v>68372572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96318682</v>
      </c>
      <c r="D104" s="204">
        <f>+D102+D103</f>
        <v>107308779</v>
      </c>
      <c r="E104" s="204">
        <f>+E102+E103</f>
        <v>104499709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17.112113494182481</v>
      </c>
      <c r="D106" s="214">
        <f>IF(D109=0,0,(D107/D109)*100)</f>
        <v>16.135710266370857</v>
      </c>
      <c r="E106" s="214">
        <f>IF(E109=0,0,(E107/E109)*100)</f>
        <v>15.701609127501523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67193532</v>
      </c>
      <c r="D107" s="204">
        <f>+D103</f>
        <v>68199710</v>
      </c>
      <c r="E107" s="204">
        <f>+E103</f>
        <v>68372572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325472938</v>
      </c>
      <c r="D108" s="204">
        <f>+D32</f>
        <v>354463494</v>
      </c>
      <c r="E108" s="204">
        <f>+E32</f>
        <v>367076887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392666470</v>
      </c>
      <c r="D109" s="204">
        <f>+D107+D108</f>
        <v>422663204</v>
      </c>
      <c r="E109" s="204">
        <f>+E107+E108</f>
        <v>435449459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9.9317910241062446</v>
      </c>
      <c r="D111" s="214">
        <f>IF((+D113+D115)=0,0,((+D112+D113+D114)/(+D113+D115)))</f>
        <v>14.071965706953108</v>
      </c>
      <c r="E111" s="214">
        <f>IF((+E113+E115)=0,0,((+E112+E113+E114)/(+E113+E115)))</f>
        <v>15.541693798882786</v>
      </c>
    </row>
    <row r="112" spans="1:6" ht="24" customHeight="1" x14ac:dyDescent="0.2">
      <c r="A112" s="85">
        <v>16</v>
      </c>
      <c r="B112" s="75" t="s">
        <v>373</v>
      </c>
      <c r="C112" s="218">
        <f>+C17</f>
        <v>35533499</v>
      </c>
      <c r="D112" s="76">
        <f>+D17</f>
        <v>57703715</v>
      </c>
      <c r="E112" s="76">
        <f>+E17</f>
        <v>40124906</v>
      </c>
    </row>
    <row r="113" spans="1:8" ht="24" customHeight="1" x14ac:dyDescent="0.2">
      <c r="A113" s="85">
        <v>17</v>
      </c>
      <c r="B113" s="75" t="s">
        <v>88</v>
      </c>
      <c r="C113" s="218">
        <v>3375173</v>
      </c>
      <c r="D113" s="76">
        <v>2992001</v>
      </c>
      <c r="E113" s="76">
        <v>3380083</v>
      </c>
    </row>
    <row r="114" spans="1:8" ht="24" customHeight="1" x14ac:dyDescent="0.2">
      <c r="A114" s="85">
        <v>18</v>
      </c>
      <c r="B114" s="75" t="s">
        <v>374</v>
      </c>
      <c r="C114" s="218">
        <v>15523631</v>
      </c>
      <c r="D114" s="76">
        <v>15651354</v>
      </c>
      <c r="E114" s="76">
        <v>15041302</v>
      </c>
    </row>
    <row r="115" spans="1:8" ht="24" customHeight="1" x14ac:dyDescent="0.2">
      <c r="A115" s="85">
        <v>19</v>
      </c>
      <c r="B115" s="75" t="s">
        <v>104</v>
      </c>
      <c r="C115" s="218">
        <v>2105440</v>
      </c>
      <c r="D115" s="76">
        <v>2433472</v>
      </c>
      <c r="E115" s="76">
        <v>386964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10.367303757735545</v>
      </c>
      <c r="D119" s="214">
        <f>IF(+D121=0,0,(+D120)/(+D121))</f>
        <v>11.197957058539473</v>
      </c>
      <c r="E119" s="214">
        <f>IF(+E121=0,0,(+E120)/(+E121))</f>
        <v>12.53122588722705</v>
      </c>
    </row>
    <row r="120" spans="1:8" ht="24" customHeight="1" x14ac:dyDescent="0.2">
      <c r="A120" s="85">
        <v>21</v>
      </c>
      <c r="B120" s="75" t="s">
        <v>378</v>
      </c>
      <c r="C120" s="218">
        <v>160938198</v>
      </c>
      <c r="D120" s="218">
        <v>175263190</v>
      </c>
      <c r="E120" s="218">
        <v>188485953</v>
      </c>
    </row>
    <row r="121" spans="1:8" ht="24" customHeight="1" x14ac:dyDescent="0.2">
      <c r="A121" s="85">
        <v>22</v>
      </c>
      <c r="B121" s="75" t="s">
        <v>374</v>
      </c>
      <c r="C121" s="218">
        <v>15523631</v>
      </c>
      <c r="D121" s="218">
        <v>15651354</v>
      </c>
      <c r="E121" s="218">
        <v>15041302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48465</v>
      </c>
      <c r="D124" s="218">
        <v>48840</v>
      </c>
      <c r="E124" s="218">
        <v>47919</v>
      </c>
    </row>
    <row r="125" spans="1:8" ht="24" customHeight="1" x14ac:dyDescent="0.2">
      <c r="A125" s="85">
        <v>2</v>
      </c>
      <c r="B125" s="75" t="s">
        <v>381</v>
      </c>
      <c r="C125" s="218">
        <v>11396</v>
      </c>
      <c r="D125" s="218">
        <v>10690</v>
      </c>
      <c r="E125" s="218">
        <v>10803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4.2528080028080026</v>
      </c>
      <c r="D126" s="219">
        <f>IF(D125=0,0,D124/D125)</f>
        <v>4.568755846585594</v>
      </c>
      <c r="E126" s="219">
        <f>IF(E125=0,0,E124/E125)</f>
        <v>4.4357123021382945</v>
      </c>
    </row>
    <row r="127" spans="1:8" ht="24" customHeight="1" x14ac:dyDescent="0.2">
      <c r="A127" s="85">
        <v>4</v>
      </c>
      <c r="B127" s="75" t="s">
        <v>383</v>
      </c>
      <c r="C127" s="218">
        <v>201</v>
      </c>
      <c r="D127" s="218">
        <v>201</v>
      </c>
      <c r="E127" s="218">
        <v>201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233</v>
      </c>
      <c r="E128" s="218">
        <v>233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233</v>
      </c>
      <c r="D129" s="218">
        <v>233</v>
      </c>
      <c r="E129" s="218">
        <v>233</v>
      </c>
    </row>
    <row r="130" spans="1:7" ht="24" customHeight="1" x14ac:dyDescent="0.2">
      <c r="A130" s="85">
        <v>7</v>
      </c>
      <c r="B130" s="75" t="s">
        <v>386</v>
      </c>
      <c r="C130" s="193">
        <v>0.66059999999999997</v>
      </c>
      <c r="D130" s="193">
        <v>0.66569999999999996</v>
      </c>
      <c r="E130" s="193">
        <v>0.65310000000000001</v>
      </c>
    </row>
    <row r="131" spans="1:7" ht="24" customHeight="1" x14ac:dyDescent="0.2">
      <c r="A131" s="85">
        <v>8</v>
      </c>
      <c r="B131" s="75" t="s">
        <v>387</v>
      </c>
      <c r="C131" s="193">
        <v>0.56979999999999997</v>
      </c>
      <c r="D131" s="193">
        <v>0.57420000000000004</v>
      </c>
      <c r="E131" s="193">
        <v>0.56340000000000001</v>
      </c>
    </row>
    <row r="132" spans="1:7" ht="24" customHeight="1" x14ac:dyDescent="0.2">
      <c r="A132" s="85">
        <v>9</v>
      </c>
      <c r="B132" s="75" t="s">
        <v>388</v>
      </c>
      <c r="C132" s="219">
        <v>1531.7</v>
      </c>
      <c r="D132" s="219">
        <v>1457</v>
      </c>
      <c r="E132" s="219">
        <v>1423.5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0.36503324260631481</v>
      </c>
      <c r="D135" s="227">
        <f>IF(D149=0,0,D143/D149)</f>
        <v>0.34656880439103666</v>
      </c>
      <c r="E135" s="227">
        <f>IF(E149=0,0,E143/E149)</f>
        <v>0.33612561948118214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0.40439717371044087</v>
      </c>
      <c r="D136" s="227">
        <f>IF(D149=0,0,D144/D149)</f>
        <v>0.41106304371334651</v>
      </c>
      <c r="E136" s="227">
        <f>IF(E149=0,0,E144/E149)</f>
        <v>0.41253280689383903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0.1891474918628113</v>
      </c>
      <c r="D137" s="227">
        <f>IF(D149=0,0,D145/D149)</f>
        <v>0.20222810806623021</v>
      </c>
      <c r="E137" s="227">
        <f>IF(E149=0,0,E145/E149)</f>
        <v>0.2144368607929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4.5908894297093973E-3</v>
      </c>
      <c r="D138" s="227">
        <f>IF(D149=0,0,D146/D149)</f>
        <v>5.7995971534848907E-3</v>
      </c>
      <c r="E138" s="227">
        <f>IF(E149=0,0,E146/E149)</f>
        <v>7.1202607631460045E-3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2.2258569266168916E-2</v>
      </c>
      <c r="D139" s="227">
        <f>IF(D149=0,0,D147/D149)</f>
        <v>1.8551738165036545E-2</v>
      </c>
      <c r="E139" s="227">
        <f>IF(E149=0,0,E147/E149)</f>
        <v>1.4834108220817138E-2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1.4572633124554696E-2</v>
      </c>
      <c r="D140" s="227">
        <f>IF(D149=0,0,D148/D149)</f>
        <v>1.5788708510865203E-2</v>
      </c>
      <c r="E140" s="227">
        <f>IF(E149=0,0,E148/E149)</f>
        <v>1.4950343848115697E-2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237427601</v>
      </c>
      <c r="D143" s="229">
        <f>+D46-D147</f>
        <v>243189223</v>
      </c>
      <c r="E143" s="229">
        <f>+E46-E147</f>
        <v>248263440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263030978</v>
      </c>
      <c r="D144" s="229">
        <f>+D51</f>
        <v>288445183</v>
      </c>
      <c r="E144" s="229">
        <f>+E51</f>
        <v>304698029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123026700</v>
      </c>
      <c r="D145" s="229">
        <f>+D55</f>
        <v>141904568</v>
      </c>
      <c r="E145" s="229">
        <f>+E55</f>
        <v>158383740</v>
      </c>
    </row>
    <row r="146" spans="1:7" ht="20.100000000000001" customHeight="1" x14ac:dyDescent="0.2">
      <c r="A146" s="226">
        <v>11</v>
      </c>
      <c r="B146" s="224" t="s">
        <v>400</v>
      </c>
      <c r="C146" s="228">
        <v>2986040</v>
      </c>
      <c r="D146" s="229">
        <v>4069609</v>
      </c>
      <c r="E146" s="229">
        <v>5259047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14477582</v>
      </c>
      <c r="D147" s="229">
        <f>+D47</f>
        <v>13017856</v>
      </c>
      <c r="E147" s="229">
        <f>+E47</f>
        <v>10956519</v>
      </c>
    </row>
    <row r="148" spans="1:7" ht="20.100000000000001" customHeight="1" x14ac:dyDescent="0.2">
      <c r="A148" s="226">
        <v>13</v>
      </c>
      <c r="B148" s="224" t="s">
        <v>402</v>
      </c>
      <c r="C148" s="230">
        <v>9478439</v>
      </c>
      <c r="D148" s="229">
        <v>11079023</v>
      </c>
      <c r="E148" s="229">
        <v>11042371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650427340</v>
      </c>
      <c r="D149" s="229">
        <f>SUM(D143:D148)</f>
        <v>701705462</v>
      </c>
      <c r="E149" s="229">
        <f>SUM(E143:E148)</f>
        <v>738603146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0.55201596983056744</v>
      </c>
      <c r="D152" s="227">
        <f>IF(D166=0,0,D160/D166)</f>
        <v>0.52556415952849522</v>
      </c>
      <c r="E152" s="227">
        <f>IF(E166=0,0,E160/E166)</f>
        <v>0.53741695203428741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0.31291095933253071</v>
      </c>
      <c r="D153" s="227">
        <f>IF(D166=0,0,D161/D166)</f>
        <v>0.3326432840401875</v>
      </c>
      <c r="E153" s="227">
        <f>IF(E166=0,0,E161/E166)</f>
        <v>0.33040758261788522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0.11360968598184389</v>
      </c>
      <c r="D154" s="227">
        <f>IF(D166=0,0,D162/D166)</f>
        <v>0.11883646306103046</v>
      </c>
      <c r="E154" s="227">
        <f>IF(E166=0,0,E162/E166)</f>
        <v>0.1107660477367915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2.9993304568040565E-3</v>
      </c>
      <c r="D155" s="227">
        <f>IF(D166=0,0,D163/D166)</f>
        <v>4.9252252363591095E-3</v>
      </c>
      <c r="E155" s="227">
        <f>IF(E166=0,0,E163/E166)</f>
        <v>4.384427247181414E-3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8.6774993883009799E-3</v>
      </c>
      <c r="D156" s="227">
        <f>IF(D166=0,0,D164/D166)</f>
        <v>7.3291428382646811E-3</v>
      </c>
      <c r="E156" s="227">
        <f>IF(E166=0,0,E164/E166)</f>
        <v>6.0548857520686464E-3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9.7865550099529349E-3</v>
      </c>
      <c r="D157" s="227">
        <f>IF(D166=0,0,D165/D166)</f>
        <v>1.0701725295662998E-2</v>
      </c>
      <c r="E157" s="227">
        <f>IF(E166=0,0,E165/E166)</f>
        <v>1.0970104611785837E-2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1</v>
      </c>
      <c r="E158" s="227">
        <f>SUM(E152:E157)</f>
        <v>1.0000000000000002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151750489</v>
      </c>
      <c r="D160" s="229">
        <f>+D44-D164</f>
        <v>156666339</v>
      </c>
      <c r="E160" s="229">
        <f>+E44-E164</f>
        <v>159414278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86019959</v>
      </c>
      <c r="D161" s="229">
        <f>+D50</f>
        <v>99158218</v>
      </c>
      <c r="E161" s="229">
        <f>+E50</f>
        <v>98008978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31231570</v>
      </c>
      <c r="D162" s="229">
        <f>+D54</f>
        <v>35424169</v>
      </c>
      <c r="E162" s="229">
        <f>+E54</f>
        <v>32856592</v>
      </c>
    </row>
    <row r="163" spans="1:6" ht="20.100000000000001" customHeight="1" x14ac:dyDescent="0.2">
      <c r="A163" s="226">
        <v>11</v>
      </c>
      <c r="B163" s="224" t="s">
        <v>415</v>
      </c>
      <c r="C163" s="228">
        <v>824523</v>
      </c>
      <c r="D163" s="229">
        <v>1468169</v>
      </c>
      <c r="E163" s="229">
        <v>1300555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2385465</v>
      </c>
      <c r="D164" s="229">
        <f>+D45</f>
        <v>2184757</v>
      </c>
      <c r="E164" s="229">
        <f>+E45</f>
        <v>1796064</v>
      </c>
    </row>
    <row r="165" spans="1:6" ht="20.100000000000001" customHeight="1" x14ac:dyDescent="0.2">
      <c r="A165" s="226">
        <v>13</v>
      </c>
      <c r="B165" s="224" t="s">
        <v>417</v>
      </c>
      <c r="C165" s="230">
        <v>2690347</v>
      </c>
      <c r="D165" s="229">
        <v>3190096</v>
      </c>
      <c r="E165" s="229">
        <v>3254068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274902353</v>
      </c>
      <c r="D166" s="229">
        <f>SUM(D160:D165)</f>
        <v>298091748</v>
      </c>
      <c r="E166" s="229">
        <f>SUM(E160:E165)</f>
        <v>296630535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3554</v>
      </c>
      <c r="D169" s="218">
        <v>3221</v>
      </c>
      <c r="E169" s="218">
        <v>2940</v>
      </c>
    </row>
    <row r="170" spans="1:6" ht="20.100000000000001" customHeight="1" x14ac:dyDescent="0.2">
      <c r="A170" s="226">
        <v>2</v>
      </c>
      <c r="B170" s="224" t="s">
        <v>420</v>
      </c>
      <c r="C170" s="218">
        <v>5244</v>
      </c>
      <c r="D170" s="218">
        <v>4906</v>
      </c>
      <c r="E170" s="218">
        <v>5025</v>
      </c>
    </row>
    <row r="171" spans="1:6" ht="20.100000000000001" customHeight="1" x14ac:dyDescent="0.2">
      <c r="A171" s="226">
        <v>3</v>
      </c>
      <c r="B171" s="224" t="s">
        <v>421</v>
      </c>
      <c r="C171" s="218">
        <v>2409</v>
      </c>
      <c r="D171" s="218">
        <v>2346</v>
      </c>
      <c r="E171" s="218">
        <v>2626</v>
      </c>
    </row>
    <row r="172" spans="1:6" ht="20.100000000000001" customHeight="1" x14ac:dyDescent="0.2">
      <c r="A172" s="226">
        <v>4</v>
      </c>
      <c r="B172" s="224" t="s">
        <v>422</v>
      </c>
      <c r="C172" s="218">
        <v>2341</v>
      </c>
      <c r="D172" s="218">
        <v>2282</v>
      </c>
      <c r="E172" s="218">
        <v>2528</v>
      </c>
    </row>
    <row r="173" spans="1:6" ht="20.100000000000001" customHeight="1" x14ac:dyDescent="0.2">
      <c r="A173" s="226">
        <v>5</v>
      </c>
      <c r="B173" s="224" t="s">
        <v>423</v>
      </c>
      <c r="C173" s="218">
        <v>68</v>
      </c>
      <c r="D173" s="218">
        <v>64</v>
      </c>
      <c r="E173" s="218">
        <v>98</v>
      </c>
    </row>
    <row r="174" spans="1:6" ht="20.100000000000001" customHeight="1" x14ac:dyDescent="0.2">
      <c r="A174" s="226">
        <v>6</v>
      </c>
      <c r="B174" s="224" t="s">
        <v>424</v>
      </c>
      <c r="C174" s="218">
        <v>189</v>
      </c>
      <c r="D174" s="218">
        <v>217</v>
      </c>
      <c r="E174" s="218">
        <v>212</v>
      </c>
    </row>
    <row r="175" spans="1:6" ht="20.100000000000001" customHeight="1" x14ac:dyDescent="0.2">
      <c r="A175" s="226">
        <v>7</v>
      </c>
      <c r="B175" s="224" t="s">
        <v>425</v>
      </c>
      <c r="C175" s="218">
        <v>132</v>
      </c>
      <c r="D175" s="218">
        <v>141</v>
      </c>
      <c r="E175" s="218">
        <v>89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11396</v>
      </c>
      <c r="D176" s="218">
        <f>+D169+D170+D171+D174</f>
        <v>10690</v>
      </c>
      <c r="E176" s="218">
        <f>+E169+E170+E171+E174</f>
        <v>10803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1.2533000000000001</v>
      </c>
      <c r="D179" s="231">
        <v>1.2708999999999999</v>
      </c>
      <c r="E179" s="231">
        <v>1.3261000000000001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1.4244000000000001</v>
      </c>
      <c r="D180" s="231">
        <v>1.4553</v>
      </c>
      <c r="E180" s="231">
        <v>1.5431999999999999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1.0555380000000001</v>
      </c>
      <c r="D181" s="231">
        <v>1.049671</v>
      </c>
      <c r="E181" s="231">
        <v>1.0766119999999999</v>
      </c>
    </row>
    <row r="182" spans="1:6" ht="20.100000000000001" customHeight="1" x14ac:dyDescent="0.2">
      <c r="A182" s="226">
        <v>4</v>
      </c>
      <c r="B182" s="224" t="s">
        <v>422</v>
      </c>
      <c r="C182" s="231">
        <v>1.0599000000000001</v>
      </c>
      <c r="D182" s="231">
        <v>1.0405</v>
      </c>
      <c r="E182" s="231">
        <v>1.0661</v>
      </c>
    </row>
    <row r="183" spans="1:6" ht="20.100000000000001" customHeight="1" x14ac:dyDescent="0.2">
      <c r="A183" s="226">
        <v>5</v>
      </c>
      <c r="B183" s="224" t="s">
        <v>423</v>
      </c>
      <c r="C183" s="231">
        <v>0.90539999999999998</v>
      </c>
      <c r="D183" s="231">
        <v>1.3767</v>
      </c>
      <c r="E183" s="231">
        <v>1.3478000000000001</v>
      </c>
    </row>
    <row r="184" spans="1:6" ht="20.100000000000001" customHeight="1" x14ac:dyDescent="0.2">
      <c r="A184" s="226">
        <v>6</v>
      </c>
      <c r="B184" s="224" t="s">
        <v>424</v>
      </c>
      <c r="C184" s="231">
        <v>0.7319</v>
      </c>
      <c r="D184" s="231">
        <v>0.72919999999999996</v>
      </c>
      <c r="E184" s="231">
        <v>0.63119999999999998</v>
      </c>
    </row>
    <row r="185" spans="1:6" ht="20.100000000000001" customHeight="1" x14ac:dyDescent="0.2">
      <c r="A185" s="226">
        <v>7</v>
      </c>
      <c r="B185" s="224" t="s">
        <v>425</v>
      </c>
      <c r="C185" s="231">
        <v>0.99509999999999998</v>
      </c>
      <c r="D185" s="231">
        <v>1.1024</v>
      </c>
      <c r="E185" s="231">
        <v>1.0854999999999999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1.2815810000000001</v>
      </c>
      <c r="D186" s="231">
        <v>1.295981</v>
      </c>
      <c r="E186" s="231">
        <v>1.3528009999999999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7289</v>
      </c>
      <c r="D189" s="218">
        <v>6794</v>
      </c>
      <c r="E189" s="218">
        <v>6553</v>
      </c>
    </row>
    <row r="190" spans="1:6" ht="20.100000000000001" customHeight="1" x14ac:dyDescent="0.2">
      <c r="A190" s="226">
        <v>2</v>
      </c>
      <c r="B190" s="224" t="s">
        <v>433</v>
      </c>
      <c r="C190" s="218">
        <v>71555</v>
      </c>
      <c r="D190" s="218">
        <v>72087</v>
      </c>
      <c r="E190" s="218">
        <v>73377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78844</v>
      </c>
      <c r="D191" s="218">
        <f>+D190+D189</f>
        <v>78881</v>
      </c>
      <c r="E191" s="218">
        <f>+E190+E189</f>
        <v>79930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4" orientation="portrait" horizontalDpi="1200" verticalDpi="1200"/>
  <headerFooter>
    <oddHeader>&amp;LOFFICE OF HEALTH CARE ACCESS&amp;CTWELVE MONTHS ACTUAL FILING&amp;RWILLIAM W. BACKUS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6" t="s">
        <v>0</v>
      </c>
      <c r="B2" s="786"/>
      <c r="C2" s="786"/>
      <c r="D2" s="786"/>
      <c r="E2" s="786"/>
      <c r="F2" s="786"/>
    </row>
    <row r="3" spans="1:7" ht="20.25" customHeight="1" x14ac:dyDescent="0.3">
      <c r="A3" s="786" t="s">
        <v>1</v>
      </c>
      <c r="B3" s="786"/>
      <c r="C3" s="786"/>
      <c r="D3" s="786"/>
      <c r="E3" s="786"/>
      <c r="F3" s="786"/>
    </row>
    <row r="4" spans="1:7" ht="20.25" customHeight="1" x14ac:dyDescent="0.3">
      <c r="A4" s="786" t="s">
        <v>2</v>
      </c>
      <c r="B4" s="786"/>
      <c r="C4" s="786"/>
      <c r="D4" s="786"/>
      <c r="E4" s="786"/>
      <c r="F4" s="786"/>
    </row>
    <row r="5" spans="1:7" ht="20.25" customHeight="1" x14ac:dyDescent="0.3">
      <c r="A5" s="786" t="s">
        <v>435</v>
      </c>
      <c r="B5" s="786"/>
      <c r="C5" s="786"/>
      <c r="D5" s="786"/>
      <c r="E5" s="786"/>
      <c r="F5" s="786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7"/>
      <c r="D9" s="788"/>
      <c r="E9" s="788"/>
      <c r="F9" s="789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182394</v>
      </c>
      <c r="D14" s="258">
        <v>186218</v>
      </c>
      <c r="E14" s="258">
        <f t="shared" ref="E14:E24" si="0">D14-C14</f>
        <v>3824</v>
      </c>
      <c r="F14" s="259">
        <f t="shared" ref="F14:F24" si="1">IF(C14=0,0,E14/C14)</f>
        <v>2.0965601938660264E-2</v>
      </c>
    </row>
    <row r="15" spans="1:7" ht="20.25" customHeight="1" x14ac:dyDescent="0.3">
      <c r="A15" s="256">
        <v>2</v>
      </c>
      <c r="B15" s="257" t="s">
        <v>442</v>
      </c>
      <c r="C15" s="258">
        <v>80011</v>
      </c>
      <c r="D15" s="258">
        <v>108393</v>
      </c>
      <c r="E15" s="258">
        <f t="shared" si="0"/>
        <v>28382</v>
      </c>
      <c r="F15" s="259">
        <f t="shared" si="1"/>
        <v>0.35472622514404267</v>
      </c>
    </row>
    <row r="16" spans="1:7" ht="20.25" customHeight="1" x14ac:dyDescent="0.3">
      <c r="A16" s="256">
        <v>3</v>
      </c>
      <c r="B16" s="257" t="s">
        <v>443</v>
      </c>
      <c r="C16" s="258">
        <v>373328</v>
      </c>
      <c r="D16" s="258">
        <v>175173</v>
      </c>
      <c r="E16" s="258">
        <f t="shared" si="0"/>
        <v>-198155</v>
      </c>
      <c r="F16" s="259">
        <f t="shared" si="1"/>
        <v>-0.53077990399862851</v>
      </c>
    </row>
    <row r="17" spans="1:6" ht="20.25" customHeight="1" x14ac:dyDescent="0.3">
      <c r="A17" s="256">
        <v>4</v>
      </c>
      <c r="B17" s="257" t="s">
        <v>444</v>
      </c>
      <c r="C17" s="258">
        <v>78894</v>
      </c>
      <c r="D17" s="258">
        <v>42874</v>
      </c>
      <c r="E17" s="258">
        <f t="shared" si="0"/>
        <v>-36020</v>
      </c>
      <c r="F17" s="259">
        <f t="shared" si="1"/>
        <v>-0.45656196922452913</v>
      </c>
    </row>
    <row r="18" spans="1:6" ht="20.25" customHeight="1" x14ac:dyDescent="0.3">
      <c r="A18" s="256">
        <v>5</v>
      </c>
      <c r="B18" s="257" t="s">
        <v>381</v>
      </c>
      <c r="C18" s="260">
        <v>9</v>
      </c>
      <c r="D18" s="260">
        <v>4</v>
      </c>
      <c r="E18" s="260">
        <f t="shared" si="0"/>
        <v>-5</v>
      </c>
      <c r="F18" s="259">
        <f t="shared" si="1"/>
        <v>-0.55555555555555558</v>
      </c>
    </row>
    <row r="19" spans="1:6" ht="20.25" customHeight="1" x14ac:dyDescent="0.3">
      <c r="A19" s="256">
        <v>6</v>
      </c>
      <c r="B19" s="257" t="s">
        <v>380</v>
      </c>
      <c r="C19" s="260">
        <v>40</v>
      </c>
      <c r="D19" s="260">
        <v>18</v>
      </c>
      <c r="E19" s="260">
        <f t="shared" si="0"/>
        <v>-22</v>
      </c>
      <c r="F19" s="259">
        <f t="shared" si="1"/>
        <v>-0.55000000000000004</v>
      </c>
    </row>
    <row r="20" spans="1:6" ht="20.25" customHeight="1" x14ac:dyDescent="0.3">
      <c r="A20" s="256">
        <v>7</v>
      </c>
      <c r="B20" s="257" t="s">
        <v>445</v>
      </c>
      <c r="C20" s="260">
        <v>170</v>
      </c>
      <c r="D20" s="260">
        <v>48</v>
      </c>
      <c r="E20" s="260">
        <f t="shared" si="0"/>
        <v>-122</v>
      </c>
      <c r="F20" s="259">
        <f t="shared" si="1"/>
        <v>-0.71764705882352942</v>
      </c>
    </row>
    <row r="21" spans="1:6" ht="20.25" customHeight="1" x14ac:dyDescent="0.3">
      <c r="A21" s="256">
        <v>8</v>
      </c>
      <c r="B21" s="257" t="s">
        <v>446</v>
      </c>
      <c r="C21" s="260">
        <v>38</v>
      </c>
      <c r="D21" s="260">
        <v>43</v>
      </c>
      <c r="E21" s="260">
        <f t="shared" si="0"/>
        <v>5</v>
      </c>
      <c r="F21" s="259">
        <f t="shared" si="1"/>
        <v>0.13157894736842105</v>
      </c>
    </row>
    <row r="22" spans="1:6" ht="20.25" customHeight="1" x14ac:dyDescent="0.3">
      <c r="A22" s="256">
        <v>9</v>
      </c>
      <c r="B22" s="257" t="s">
        <v>447</v>
      </c>
      <c r="C22" s="260">
        <v>7</v>
      </c>
      <c r="D22" s="260">
        <v>3</v>
      </c>
      <c r="E22" s="260">
        <f t="shared" si="0"/>
        <v>-4</v>
      </c>
      <c r="F22" s="259">
        <f t="shared" si="1"/>
        <v>-0.5714285714285714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555722</v>
      </c>
      <c r="D23" s="263">
        <f>+D14+D16</f>
        <v>361391</v>
      </c>
      <c r="E23" s="263">
        <f t="shared" si="0"/>
        <v>-194331</v>
      </c>
      <c r="F23" s="264">
        <f t="shared" si="1"/>
        <v>-0.34969103256664302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158905</v>
      </c>
      <c r="D24" s="263">
        <f>+D15+D17</f>
        <v>151267</v>
      </c>
      <c r="E24" s="263">
        <f t="shared" si="0"/>
        <v>-7638</v>
      </c>
      <c r="F24" s="264">
        <f t="shared" si="1"/>
        <v>-4.806645480003776E-2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11611719</v>
      </c>
      <c r="D40" s="258">
        <v>12461228</v>
      </c>
      <c r="E40" s="258">
        <f t="shared" ref="E40:E50" si="4">D40-C40</f>
        <v>849509</v>
      </c>
      <c r="F40" s="259">
        <f t="shared" ref="F40:F50" si="5">IF(C40=0,0,E40/C40)</f>
        <v>7.3159624341581117E-2</v>
      </c>
    </row>
    <row r="41" spans="1:6" ht="20.25" customHeight="1" x14ac:dyDescent="0.3">
      <c r="A41" s="256">
        <v>2</v>
      </c>
      <c r="B41" s="257" t="s">
        <v>442</v>
      </c>
      <c r="C41" s="258">
        <v>4822774</v>
      </c>
      <c r="D41" s="258">
        <v>5376370</v>
      </c>
      <c r="E41" s="258">
        <f t="shared" si="4"/>
        <v>553596</v>
      </c>
      <c r="F41" s="259">
        <f t="shared" si="5"/>
        <v>0.11478787934081092</v>
      </c>
    </row>
    <row r="42" spans="1:6" ht="20.25" customHeight="1" x14ac:dyDescent="0.3">
      <c r="A42" s="256">
        <v>3</v>
      </c>
      <c r="B42" s="257" t="s">
        <v>443</v>
      </c>
      <c r="C42" s="258">
        <v>17960296</v>
      </c>
      <c r="D42" s="258">
        <v>22917613</v>
      </c>
      <c r="E42" s="258">
        <f t="shared" si="4"/>
        <v>4957317</v>
      </c>
      <c r="F42" s="259">
        <f t="shared" si="5"/>
        <v>0.27601532847788257</v>
      </c>
    </row>
    <row r="43" spans="1:6" ht="20.25" customHeight="1" x14ac:dyDescent="0.3">
      <c r="A43" s="256">
        <v>4</v>
      </c>
      <c r="B43" s="257" t="s">
        <v>444</v>
      </c>
      <c r="C43" s="258">
        <v>4108684</v>
      </c>
      <c r="D43" s="258">
        <v>5232674</v>
      </c>
      <c r="E43" s="258">
        <f t="shared" si="4"/>
        <v>1123990</v>
      </c>
      <c r="F43" s="259">
        <f t="shared" si="5"/>
        <v>0.27356447952677793</v>
      </c>
    </row>
    <row r="44" spans="1:6" ht="20.25" customHeight="1" x14ac:dyDescent="0.3">
      <c r="A44" s="256">
        <v>5</v>
      </c>
      <c r="B44" s="257" t="s">
        <v>381</v>
      </c>
      <c r="C44" s="260">
        <v>441</v>
      </c>
      <c r="D44" s="260">
        <v>461</v>
      </c>
      <c r="E44" s="260">
        <f t="shared" si="4"/>
        <v>20</v>
      </c>
      <c r="F44" s="259">
        <f t="shared" si="5"/>
        <v>4.5351473922902494E-2</v>
      </c>
    </row>
    <row r="45" spans="1:6" ht="20.25" customHeight="1" x14ac:dyDescent="0.3">
      <c r="A45" s="256">
        <v>6</v>
      </c>
      <c r="B45" s="257" t="s">
        <v>380</v>
      </c>
      <c r="C45" s="260">
        <v>2174</v>
      </c>
      <c r="D45" s="260">
        <v>2306</v>
      </c>
      <c r="E45" s="260">
        <f t="shared" si="4"/>
        <v>132</v>
      </c>
      <c r="F45" s="259">
        <f t="shared" si="5"/>
        <v>6.0717571297148117E-2</v>
      </c>
    </row>
    <row r="46" spans="1:6" ht="20.25" customHeight="1" x14ac:dyDescent="0.3">
      <c r="A46" s="256">
        <v>7</v>
      </c>
      <c r="B46" s="257" t="s">
        <v>445</v>
      </c>
      <c r="C46" s="260">
        <v>10516</v>
      </c>
      <c r="D46" s="260">
        <v>11935</v>
      </c>
      <c r="E46" s="260">
        <f t="shared" si="4"/>
        <v>1419</v>
      </c>
      <c r="F46" s="259">
        <f t="shared" si="5"/>
        <v>0.13493723849372385</v>
      </c>
    </row>
    <row r="47" spans="1:6" ht="20.25" customHeight="1" x14ac:dyDescent="0.3">
      <c r="A47" s="256">
        <v>8</v>
      </c>
      <c r="B47" s="257" t="s">
        <v>446</v>
      </c>
      <c r="C47" s="260">
        <v>996</v>
      </c>
      <c r="D47" s="260">
        <v>1253</v>
      </c>
      <c r="E47" s="260">
        <f t="shared" si="4"/>
        <v>257</v>
      </c>
      <c r="F47" s="259">
        <f t="shared" si="5"/>
        <v>0.25803212851405621</v>
      </c>
    </row>
    <row r="48" spans="1:6" ht="20.25" customHeight="1" x14ac:dyDescent="0.3">
      <c r="A48" s="256">
        <v>9</v>
      </c>
      <c r="B48" s="257" t="s">
        <v>447</v>
      </c>
      <c r="C48" s="260">
        <v>326</v>
      </c>
      <c r="D48" s="260">
        <v>382</v>
      </c>
      <c r="E48" s="260">
        <f t="shared" si="4"/>
        <v>56</v>
      </c>
      <c r="F48" s="259">
        <f t="shared" si="5"/>
        <v>0.17177914110429449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29572015</v>
      </c>
      <c r="D49" s="263">
        <f>+D40+D42</f>
        <v>35378841</v>
      </c>
      <c r="E49" s="263">
        <f t="shared" si="4"/>
        <v>5806826</v>
      </c>
      <c r="F49" s="264">
        <f t="shared" si="5"/>
        <v>0.19636220257564457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8931458</v>
      </c>
      <c r="D50" s="263">
        <f>+D41+D43</f>
        <v>10609044</v>
      </c>
      <c r="E50" s="263">
        <f t="shared" si="4"/>
        <v>1677586</v>
      </c>
      <c r="F50" s="264">
        <f t="shared" si="5"/>
        <v>0.18782890766546739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852174</v>
      </c>
      <c r="D66" s="258">
        <v>469833</v>
      </c>
      <c r="E66" s="258">
        <f t="shared" ref="E66:E76" si="8">D66-C66</f>
        <v>-382341</v>
      </c>
      <c r="F66" s="259">
        <f t="shared" ref="F66:F76" si="9">IF(C66=0,0,E66/C66)</f>
        <v>-0.44866541340148841</v>
      </c>
    </row>
    <row r="67" spans="1:6" ht="20.25" customHeight="1" x14ac:dyDescent="0.3">
      <c r="A67" s="256">
        <v>2</v>
      </c>
      <c r="B67" s="257" t="s">
        <v>442</v>
      </c>
      <c r="C67" s="258">
        <v>327993</v>
      </c>
      <c r="D67" s="258">
        <v>196504</v>
      </c>
      <c r="E67" s="258">
        <f t="shared" si="8"/>
        <v>-131489</v>
      </c>
      <c r="F67" s="259">
        <f t="shared" si="9"/>
        <v>-0.40088965313284125</v>
      </c>
    </row>
    <row r="68" spans="1:6" ht="20.25" customHeight="1" x14ac:dyDescent="0.3">
      <c r="A68" s="256">
        <v>3</v>
      </c>
      <c r="B68" s="257" t="s">
        <v>443</v>
      </c>
      <c r="C68" s="258">
        <v>465139</v>
      </c>
      <c r="D68" s="258">
        <v>611849</v>
      </c>
      <c r="E68" s="258">
        <f t="shared" si="8"/>
        <v>146710</v>
      </c>
      <c r="F68" s="259">
        <f t="shared" si="9"/>
        <v>0.31541109216814761</v>
      </c>
    </row>
    <row r="69" spans="1:6" ht="20.25" customHeight="1" x14ac:dyDescent="0.3">
      <c r="A69" s="256">
        <v>4</v>
      </c>
      <c r="B69" s="257" t="s">
        <v>444</v>
      </c>
      <c r="C69" s="258">
        <v>108637</v>
      </c>
      <c r="D69" s="258">
        <v>153309</v>
      </c>
      <c r="E69" s="258">
        <f t="shared" si="8"/>
        <v>44672</v>
      </c>
      <c r="F69" s="259">
        <f t="shared" si="9"/>
        <v>0.4112042858326353</v>
      </c>
    </row>
    <row r="70" spans="1:6" ht="20.25" customHeight="1" x14ac:dyDescent="0.3">
      <c r="A70" s="256">
        <v>5</v>
      </c>
      <c r="B70" s="257" t="s">
        <v>381</v>
      </c>
      <c r="C70" s="260">
        <v>35</v>
      </c>
      <c r="D70" s="260">
        <v>18</v>
      </c>
      <c r="E70" s="260">
        <f t="shared" si="8"/>
        <v>-17</v>
      </c>
      <c r="F70" s="259">
        <f t="shared" si="9"/>
        <v>-0.48571428571428571</v>
      </c>
    </row>
    <row r="71" spans="1:6" ht="20.25" customHeight="1" x14ac:dyDescent="0.3">
      <c r="A71" s="256">
        <v>6</v>
      </c>
      <c r="B71" s="257" t="s">
        <v>380</v>
      </c>
      <c r="C71" s="260">
        <v>242</v>
      </c>
      <c r="D71" s="260">
        <v>109</v>
      </c>
      <c r="E71" s="260">
        <f t="shared" si="8"/>
        <v>-133</v>
      </c>
      <c r="F71" s="259">
        <f t="shared" si="9"/>
        <v>-0.54958677685950408</v>
      </c>
    </row>
    <row r="72" spans="1:6" ht="20.25" customHeight="1" x14ac:dyDescent="0.3">
      <c r="A72" s="256">
        <v>7</v>
      </c>
      <c r="B72" s="257" t="s">
        <v>445</v>
      </c>
      <c r="C72" s="260">
        <v>105</v>
      </c>
      <c r="D72" s="260">
        <v>94</v>
      </c>
      <c r="E72" s="260">
        <f t="shared" si="8"/>
        <v>-11</v>
      </c>
      <c r="F72" s="259">
        <f t="shared" si="9"/>
        <v>-0.10476190476190476</v>
      </c>
    </row>
    <row r="73" spans="1:6" ht="20.25" customHeight="1" x14ac:dyDescent="0.3">
      <c r="A73" s="256">
        <v>8</v>
      </c>
      <c r="B73" s="257" t="s">
        <v>446</v>
      </c>
      <c r="C73" s="260">
        <v>80</v>
      </c>
      <c r="D73" s="260">
        <v>106</v>
      </c>
      <c r="E73" s="260">
        <f t="shared" si="8"/>
        <v>26</v>
      </c>
      <c r="F73" s="259">
        <f t="shared" si="9"/>
        <v>0.32500000000000001</v>
      </c>
    </row>
    <row r="74" spans="1:6" ht="20.25" customHeight="1" x14ac:dyDescent="0.3">
      <c r="A74" s="256">
        <v>9</v>
      </c>
      <c r="B74" s="257" t="s">
        <v>447</v>
      </c>
      <c r="C74" s="260">
        <v>27</v>
      </c>
      <c r="D74" s="260">
        <v>12</v>
      </c>
      <c r="E74" s="260">
        <f t="shared" si="8"/>
        <v>-15</v>
      </c>
      <c r="F74" s="259">
        <f t="shared" si="9"/>
        <v>-0.55555555555555558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1317313</v>
      </c>
      <c r="D75" s="263">
        <f>+D66+D68</f>
        <v>1081682</v>
      </c>
      <c r="E75" s="263">
        <f t="shared" si="8"/>
        <v>-235631</v>
      </c>
      <c r="F75" s="264">
        <f t="shared" si="9"/>
        <v>-0.17887244717086978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436630</v>
      </c>
      <c r="D76" s="263">
        <f>+D67+D69</f>
        <v>349813</v>
      </c>
      <c r="E76" s="263">
        <f t="shared" si="8"/>
        <v>-86817</v>
      </c>
      <c r="F76" s="264">
        <f t="shared" si="9"/>
        <v>-0.19883425325790716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5642001</v>
      </c>
      <c r="D92" s="258">
        <v>4911432</v>
      </c>
      <c r="E92" s="258">
        <f t="shared" ref="E92:E102" si="12">D92-C92</f>
        <v>-730569</v>
      </c>
      <c r="F92" s="259">
        <f t="shared" ref="F92:F102" si="13">IF(C92=0,0,E92/C92)</f>
        <v>-0.12948757010145867</v>
      </c>
    </row>
    <row r="93" spans="1:6" ht="20.25" customHeight="1" x14ac:dyDescent="0.3">
      <c r="A93" s="256">
        <v>2</v>
      </c>
      <c r="B93" s="257" t="s">
        <v>442</v>
      </c>
      <c r="C93" s="258">
        <v>2368180</v>
      </c>
      <c r="D93" s="258">
        <v>2013390</v>
      </c>
      <c r="E93" s="258">
        <f t="shared" si="12"/>
        <v>-354790</v>
      </c>
      <c r="F93" s="259">
        <f t="shared" si="13"/>
        <v>-0.14981547010784654</v>
      </c>
    </row>
    <row r="94" spans="1:6" ht="20.25" customHeight="1" x14ac:dyDescent="0.3">
      <c r="A94" s="256">
        <v>3</v>
      </c>
      <c r="B94" s="257" t="s">
        <v>443</v>
      </c>
      <c r="C94" s="258">
        <v>7744207</v>
      </c>
      <c r="D94" s="258">
        <v>7797945</v>
      </c>
      <c r="E94" s="258">
        <f t="shared" si="12"/>
        <v>53738</v>
      </c>
      <c r="F94" s="259">
        <f t="shared" si="13"/>
        <v>6.9391223659181628E-3</v>
      </c>
    </row>
    <row r="95" spans="1:6" ht="20.25" customHeight="1" x14ac:dyDescent="0.3">
      <c r="A95" s="256">
        <v>4</v>
      </c>
      <c r="B95" s="257" t="s">
        <v>444</v>
      </c>
      <c r="C95" s="258">
        <v>1769833</v>
      </c>
      <c r="D95" s="258">
        <v>1748602</v>
      </c>
      <c r="E95" s="258">
        <f t="shared" si="12"/>
        <v>-21231</v>
      </c>
      <c r="F95" s="259">
        <f t="shared" si="13"/>
        <v>-1.199604708466844E-2</v>
      </c>
    </row>
    <row r="96" spans="1:6" ht="20.25" customHeight="1" x14ac:dyDescent="0.3">
      <c r="A96" s="256">
        <v>5</v>
      </c>
      <c r="B96" s="257" t="s">
        <v>381</v>
      </c>
      <c r="C96" s="260">
        <v>166</v>
      </c>
      <c r="D96" s="260">
        <v>182</v>
      </c>
      <c r="E96" s="260">
        <f t="shared" si="12"/>
        <v>16</v>
      </c>
      <c r="F96" s="259">
        <f t="shared" si="13"/>
        <v>9.6385542168674704E-2</v>
      </c>
    </row>
    <row r="97" spans="1:6" ht="20.25" customHeight="1" x14ac:dyDescent="0.3">
      <c r="A97" s="256">
        <v>6</v>
      </c>
      <c r="B97" s="257" t="s">
        <v>380</v>
      </c>
      <c r="C97" s="260">
        <v>1072</v>
      </c>
      <c r="D97" s="260">
        <v>906</v>
      </c>
      <c r="E97" s="260">
        <f t="shared" si="12"/>
        <v>-166</v>
      </c>
      <c r="F97" s="259">
        <f t="shared" si="13"/>
        <v>-0.15485074626865672</v>
      </c>
    </row>
    <row r="98" spans="1:6" ht="20.25" customHeight="1" x14ac:dyDescent="0.3">
      <c r="A98" s="256">
        <v>7</v>
      </c>
      <c r="B98" s="257" t="s">
        <v>445</v>
      </c>
      <c r="C98" s="260">
        <v>3492</v>
      </c>
      <c r="D98" s="260">
        <v>3163</v>
      </c>
      <c r="E98" s="260">
        <f t="shared" si="12"/>
        <v>-329</v>
      </c>
      <c r="F98" s="259">
        <f t="shared" si="13"/>
        <v>-9.4215349369988544E-2</v>
      </c>
    </row>
    <row r="99" spans="1:6" ht="20.25" customHeight="1" x14ac:dyDescent="0.3">
      <c r="A99" s="256">
        <v>8</v>
      </c>
      <c r="B99" s="257" t="s">
        <v>446</v>
      </c>
      <c r="C99" s="260">
        <v>588</v>
      </c>
      <c r="D99" s="260">
        <v>625</v>
      </c>
      <c r="E99" s="260">
        <f t="shared" si="12"/>
        <v>37</v>
      </c>
      <c r="F99" s="259">
        <f t="shared" si="13"/>
        <v>6.2925170068027211E-2</v>
      </c>
    </row>
    <row r="100" spans="1:6" ht="20.25" customHeight="1" x14ac:dyDescent="0.3">
      <c r="A100" s="256">
        <v>9</v>
      </c>
      <c r="B100" s="257" t="s">
        <v>447</v>
      </c>
      <c r="C100" s="260">
        <v>126</v>
      </c>
      <c r="D100" s="260">
        <v>162</v>
      </c>
      <c r="E100" s="260">
        <f t="shared" si="12"/>
        <v>36</v>
      </c>
      <c r="F100" s="259">
        <f t="shared" si="13"/>
        <v>0.2857142857142857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13386208</v>
      </c>
      <c r="D101" s="263">
        <f>+D92+D94</f>
        <v>12709377</v>
      </c>
      <c r="E101" s="263">
        <f t="shared" si="12"/>
        <v>-676831</v>
      </c>
      <c r="F101" s="264">
        <f t="shared" si="13"/>
        <v>-5.0561817058273707E-2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4138013</v>
      </c>
      <c r="D102" s="263">
        <f>+D93+D95</f>
        <v>3761992</v>
      </c>
      <c r="E102" s="263">
        <f t="shared" si="12"/>
        <v>-376021</v>
      </c>
      <c r="F102" s="264">
        <f t="shared" si="13"/>
        <v>-9.0869941684571798E-2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51549</v>
      </c>
      <c r="E105" s="258">
        <f t="shared" ref="E105:E115" si="14">D105-C105</f>
        <v>51549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25178</v>
      </c>
      <c r="E106" s="258">
        <f t="shared" si="14"/>
        <v>25178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7021</v>
      </c>
      <c r="E107" s="258">
        <f t="shared" si="14"/>
        <v>7021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1380</v>
      </c>
      <c r="E108" s="258">
        <f t="shared" si="14"/>
        <v>1380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3</v>
      </c>
      <c r="E109" s="260">
        <f t="shared" si="14"/>
        <v>3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8</v>
      </c>
      <c r="E110" s="260">
        <f t="shared" si="14"/>
        <v>8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2</v>
      </c>
      <c r="E111" s="260">
        <f t="shared" si="14"/>
        <v>2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3</v>
      </c>
      <c r="E112" s="260">
        <f t="shared" si="14"/>
        <v>3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3</v>
      </c>
      <c r="E113" s="260">
        <f t="shared" si="14"/>
        <v>3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58570</v>
      </c>
      <c r="E114" s="263">
        <f t="shared" si="14"/>
        <v>58570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26558</v>
      </c>
      <c r="E115" s="263">
        <f t="shared" si="14"/>
        <v>26558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643050</v>
      </c>
      <c r="D118" s="258">
        <v>830833</v>
      </c>
      <c r="E118" s="258">
        <f t="shared" ref="E118:E128" si="16">D118-C118</f>
        <v>187783</v>
      </c>
      <c r="F118" s="259">
        <f t="shared" ref="F118:F128" si="17">IF(C118=0,0,E118/C118)</f>
        <v>0.29201928310395769</v>
      </c>
    </row>
    <row r="119" spans="1:6" ht="20.25" customHeight="1" x14ac:dyDescent="0.3">
      <c r="A119" s="256">
        <v>2</v>
      </c>
      <c r="B119" s="257" t="s">
        <v>442</v>
      </c>
      <c r="C119" s="258">
        <v>349186</v>
      </c>
      <c r="D119" s="258">
        <v>324695</v>
      </c>
      <c r="E119" s="258">
        <f t="shared" si="16"/>
        <v>-24491</v>
      </c>
      <c r="F119" s="259">
        <f t="shared" si="17"/>
        <v>-7.013740527970766E-2</v>
      </c>
    </row>
    <row r="120" spans="1:6" ht="20.25" customHeight="1" x14ac:dyDescent="0.3">
      <c r="A120" s="256">
        <v>3</v>
      </c>
      <c r="B120" s="257" t="s">
        <v>443</v>
      </c>
      <c r="C120" s="258">
        <v>847828</v>
      </c>
      <c r="D120" s="258">
        <v>1164362</v>
      </c>
      <c r="E120" s="258">
        <f t="shared" si="16"/>
        <v>316534</v>
      </c>
      <c r="F120" s="259">
        <f t="shared" si="17"/>
        <v>0.37334695244790217</v>
      </c>
    </row>
    <row r="121" spans="1:6" ht="20.25" customHeight="1" x14ac:dyDescent="0.3">
      <c r="A121" s="256">
        <v>4</v>
      </c>
      <c r="B121" s="257" t="s">
        <v>444</v>
      </c>
      <c r="C121" s="258">
        <v>189976</v>
      </c>
      <c r="D121" s="258">
        <v>280390</v>
      </c>
      <c r="E121" s="258">
        <f t="shared" si="16"/>
        <v>90414</v>
      </c>
      <c r="F121" s="259">
        <f t="shared" si="17"/>
        <v>0.47592327451888661</v>
      </c>
    </row>
    <row r="122" spans="1:6" ht="20.25" customHeight="1" x14ac:dyDescent="0.3">
      <c r="A122" s="256">
        <v>5</v>
      </c>
      <c r="B122" s="257" t="s">
        <v>381</v>
      </c>
      <c r="C122" s="260">
        <v>33</v>
      </c>
      <c r="D122" s="260">
        <v>27</v>
      </c>
      <c r="E122" s="260">
        <f t="shared" si="16"/>
        <v>-6</v>
      </c>
      <c r="F122" s="259">
        <f t="shared" si="17"/>
        <v>-0.18181818181818182</v>
      </c>
    </row>
    <row r="123" spans="1:6" ht="20.25" customHeight="1" x14ac:dyDescent="0.3">
      <c r="A123" s="256">
        <v>6</v>
      </c>
      <c r="B123" s="257" t="s">
        <v>380</v>
      </c>
      <c r="C123" s="260">
        <v>132</v>
      </c>
      <c r="D123" s="260">
        <v>164</v>
      </c>
      <c r="E123" s="260">
        <f t="shared" si="16"/>
        <v>32</v>
      </c>
      <c r="F123" s="259">
        <f t="shared" si="17"/>
        <v>0.24242424242424243</v>
      </c>
    </row>
    <row r="124" spans="1:6" ht="20.25" customHeight="1" x14ac:dyDescent="0.3">
      <c r="A124" s="256">
        <v>7</v>
      </c>
      <c r="B124" s="257" t="s">
        <v>445</v>
      </c>
      <c r="C124" s="260">
        <v>621</v>
      </c>
      <c r="D124" s="260">
        <v>616</v>
      </c>
      <c r="E124" s="260">
        <f t="shared" si="16"/>
        <v>-5</v>
      </c>
      <c r="F124" s="259">
        <f t="shared" si="17"/>
        <v>-8.0515297906602248E-3</v>
      </c>
    </row>
    <row r="125" spans="1:6" ht="20.25" customHeight="1" x14ac:dyDescent="0.3">
      <c r="A125" s="256">
        <v>8</v>
      </c>
      <c r="B125" s="257" t="s">
        <v>446</v>
      </c>
      <c r="C125" s="260">
        <v>67</v>
      </c>
      <c r="D125" s="260">
        <v>76</v>
      </c>
      <c r="E125" s="260">
        <f t="shared" si="16"/>
        <v>9</v>
      </c>
      <c r="F125" s="259">
        <f t="shared" si="17"/>
        <v>0.13432835820895522</v>
      </c>
    </row>
    <row r="126" spans="1:6" ht="20.25" customHeight="1" x14ac:dyDescent="0.3">
      <c r="A126" s="256">
        <v>9</v>
      </c>
      <c r="B126" s="257" t="s">
        <v>447</v>
      </c>
      <c r="C126" s="260">
        <v>27</v>
      </c>
      <c r="D126" s="260">
        <v>24</v>
      </c>
      <c r="E126" s="260">
        <f t="shared" si="16"/>
        <v>-3</v>
      </c>
      <c r="F126" s="259">
        <f t="shared" si="17"/>
        <v>-0.1111111111111111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1490878</v>
      </c>
      <c r="D127" s="263">
        <f>+D118+D120</f>
        <v>1995195</v>
      </c>
      <c r="E127" s="263">
        <f t="shared" si="16"/>
        <v>504317</v>
      </c>
      <c r="F127" s="264">
        <f t="shared" si="17"/>
        <v>0.33826845657391147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539162</v>
      </c>
      <c r="D128" s="263">
        <f>+D119+D121</f>
        <v>605085</v>
      </c>
      <c r="E128" s="263">
        <f t="shared" si="16"/>
        <v>65923</v>
      </c>
      <c r="F128" s="264">
        <f t="shared" si="17"/>
        <v>0.12226937358344987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32732</v>
      </c>
      <c r="D183" s="258">
        <v>0</v>
      </c>
      <c r="E183" s="258">
        <f t="shared" ref="E183:E193" si="26">D183-C183</f>
        <v>-32732</v>
      </c>
      <c r="F183" s="259">
        <f t="shared" ref="F183:F193" si="27">IF(C183=0,0,E183/C183)</f>
        <v>-1</v>
      </c>
    </row>
    <row r="184" spans="1:6" ht="20.25" customHeight="1" x14ac:dyDescent="0.3">
      <c r="A184" s="256">
        <v>2</v>
      </c>
      <c r="B184" s="257" t="s">
        <v>442</v>
      </c>
      <c r="C184" s="258">
        <v>13789</v>
      </c>
      <c r="D184" s="258">
        <v>0</v>
      </c>
      <c r="E184" s="258">
        <f t="shared" si="26"/>
        <v>-13789</v>
      </c>
      <c r="F184" s="259">
        <f t="shared" si="27"/>
        <v>-1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2583</v>
      </c>
      <c r="E185" s="258">
        <f t="shared" si="26"/>
        <v>2583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641</v>
      </c>
      <c r="E186" s="258">
        <f t="shared" si="26"/>
        <v>641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1</v>
      </c>
      <c r="D187" s="260">
        <v>0</v>
      </c>
      <c r="E187" s="260">
        <f t="shared" si="26"/>
        <v>-1</v>
      </c>
      <c r="F187" s="259">
        <f t="shared" si="27"/>
        <v>-1</v>
      </c>
    </row>
    <row r="188" spans="1:6" ht="20.25" customHeight="1" x14ac:dyDescent="0.3">
      <c r="A188" s="256">
        <v>6</v>
      </c>
      <c r="B188" s="257" t="s">
        <v>380</v>
      </c>
      <c r="C188" s="260">
        <v>6</v>
      </c>
      <c r="D188" s="260">
        <v>0</v>
      </c>
      <c r="E188" s="260">
        <f t="shared" si="26"/>
        <v>-6</v>
      </c>
      <c r="F188" s="259">
        <f t="shared" si="27"/>
        <v>-1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1</v>
      </c>
      <c r="E190" s="260">
        <f t="shared" si="26"/>
        <v>1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1</v>
      </c>
      <c r="D191" s="260">
        <v>0</v>
      </c>
      <c r="E191" s="260">
        <f t="shared" si="26"/>
        <v>-1</v>
      </c>
      <c r="F191" s="259">
        <f t="shared" si="27"/>
        <v>-1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32732</v>
      </c>
      <c r="D192" s="263">
        <f>+D183+D185</f>
        <v>2583</v>
      </c>
      <c r="E192" s="263">
        <f t="shared" si="26"/>
        <v>-30149</v>
      </c>
      <c r="F192" s="264">
        <f t="shared" si="27"/>
        <v>-0.92108639863130881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13789</v>
      </c>
      <c r="D193" s="263">
        <f>+D184+D186</f>
        <v>641</v>
      </c>
      <c r="E193" s="263">
        <f t="shared" si="26"/>
        <v>-13148</v>
      </c>
      <c r="F193" s="264">
        <f t="shared" si="27"/>
        <v>-0.95351367031691925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90"/>
      <c r="H195" s="790"/>
      <c r="I195" s="790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90"/>
      <c r="H196" s="790"/>
      <c r="I196" s="790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18964070</v>
      </c>
      <c r="D198" s="263">
        <f t="shared" si="28"/>
        <v>18911093</v>
      </c>
      <c r="E198" s="263">
        <f t="shared" ref="E198:E208" si="29">D198-C198</f>
        <v>-52977</v>
      </c>
      <c r="F198" s="273">
        <f t="shared" ref="F198:F208" si="30">IF(C198=0,0,E198/C198)</f>
        <v>-2.7935459002207861E-3</v>
      </c>
    </row>
    <row r="199" spans="1:9" ht="20.25" customHeight="1" x14ac:dyDescent="0.3">
      <c r="A199" s="271"/>
      <c r="B199" s="272" t="s">
        <v>466</v>
      </c>
      <c r="C199" s="263">
        <f t="shared" si="28"/>
        <v>7961933</v>
      </c>
      <c r="D199" s="263">
        <f t="shared" si="28"/>
        <v>8044530</v>
      </c>
      <c r="E199" s="263">
        <f t="shared" si="29"/>
        <v>82597</v>
      </c>
      <c r="F199" s="273">
        <f t="shared" si="30"/>
        <v>1.0373988326704081E-2</v>
      </c>
    </row>
    <row r="200" spans="1:9" ht="20.25" customHeight="1" x14ac:dyDescent="0.3">
      <c r="A200" s="271"/>
      <c r="B200" s="272" t="s">
        <v>467</v>
      </c>
      <c r="C200" s="263">
        <f t="shared" si="28"/>
        <v>27390798</v>
      </c>
      <c r="D200" s="263">
        <f t="shared" si="28"/>
        <v>32676546</v>
      </c>
      <c r="E200" s="263">
        <f t="shared" si="29"/>
        <v>5285748</v>
      </c>
      <c r="F200" s="273">
        <f t="shared" si="30"/>
        <v>0.19297531966757595</v>
      </c>
    </row>
    <row r="201" spans="1:9" ht="20.25" customHeight="1" x14ac:dyDescent="0.3">
      <c r="A201" s="271"/>
      <c r="B201" s="272" t="s">
        <v>468</v>
      </c>
      <c r="C201" s="263">
        <f t="shared" si="28"/>
        <v>6256024</v>
      </c>
      <c r="D201" s="263">
        <f t="shared" si="28"/>
        <v>7459870</v>
      </c>
      <c r="E201" s="263">
        <f t="shared" si="29"/>
        <v>1203846</v>
      </c>
      <c r="F201" s="273">
        <f t="shared" si="30"/>
        <v>0.1924298883763873</v>
      </c>
    </row>
    <row r="202" spans="1:9" ht="20.25" customHeight="1" x14ac:dyDescent="0.3">
      <c r="A202" s="271"/>
      <c r="B202" s="272" t="s">
        <v>138</v>
      </c>
      <c r="C202" s="274">
        <f t="shared" si="28"/>
        <v>685</v>
      </c>
      <c r="D202" s="274">
        <f t="shared" si="28"/>
        <v>695</v>
      </c>
      <c r="E202" s="274">
        <f t="shared" si="29"/>
        <v>10</v>
      </c>
      <c r="F202" s="273">
        <f t="shared" si="30"/>
        <v>1.4598540145985401E-2</v>
      </c>
    </row>
    <row r="203" spans="1:9" ht="20.25" customHeight="1" x14ac:dyDescent="0.3">
      <c r="A203" s="271"/>
      <c r="B203" s="272" t="s">
        <v>140</v>
      </c>
      <c r="C203" s="274">
        <f t="shared" si="28"/>
        <v>3666</v>
      </c>
      <c r="D203" s="274">
        <f t="shared" si="28"/>
        <v>3511</v>
      </c>
      <c r="E203" s="274">
        <f t="shared" si="29"/>
        <v>-155</v>
      </c>
      <c r="F203" s="273">
        <f t="shared" si="30"/>
        <v>-4.2280414620840152E-2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14904</v>
      </c>
      <c r="D204" s="274">
        <f t="shared" si="28"/>
        <v>15858</v>
      </c>
      <c r="E204" s="274">
        <f t="shared" si="29"/>
        <v>954</v>
      </c>
      <c r="F204" s="273">
        <f t="shared" si="30"/>
        <v>6.4009661835748799E-2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1769</v>
      </c>
      <c r="D205" s="274">
        <f t="shared" si="28"/>
        <v>2107</v>
      </c>
      <c r="E205" s="274">
        <f t="shared" si="29"/>
        <v>338</v>
      </c>
      <c r="F205" s="273">
        <f t="shared" si="30"/>
        <v>0.19106840022611646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514</v>
      </c>
      <c r="D206" s="274">
        <f t="shared" si="28"/>
        <v>586</v>
      </c>
      <c r="E206" s="274">
        <f t="shared" si="29"/>
        <v>72</v>
      </c>
      <c r="F206" s="273">
        <f t="shared" si="30"/>
        <v>0.14007782101167315</v>
      </c>
    </row>
    <row r="207" spans="1:9" ht="20.25" customHeight="1" x14ac:dyDescent="0.3">
      <c r="A207" s="271"/>
      <c r="B207" s="262" t="s">
        <v>471</v>
      </c>
      <c r="C207" s="263">
        <f>+C198+C200</f>
        <v>46354868</v>
      </c>
      <c r="D207" s="263">
        <f>+D198+D200</f>
        <v>51587639</v>
      </c>
      <c r="E207" s="263">
        <f t="shared" si="29"/>
        <v>5232771</v>
      </c>
      <c r="F207" s="273">
        <f t="shared" si="30"/>
        <v>0.11288503723060973</v>
      </c>
    </row>
    <row r="208" spans="1:9" ht="20.25" customHeight="1" x14ac:dyDescent="0.3">
      <c r="A208" s="271"/>
      <c r="B208" s="262" t="s">
        <v>472</v>
      </c>
      <c r="C208" s="263">
        <f>+C199+C201</f>
        <v>14217957</v>
      </c>
      <c r="D208" s="263">
        <f>+D199+D201</f>
        <v>15504400</v>
      </c>
      <c r="E208" s="263">
        <f t="shared" si="29"/>
        <v>1286443</v>
      </c>
      <c r="F208" s="273">
        <f t="shared" si="30"/>
        <v>9.0480158295597607E-2</v>
      </c>
    </row>
  </sheetData>
  <mergeCells count="12">
    <mergeCell ref="G195:I196"/>
    <mergeCell ref="A10:A11"/>
    <mergeCell ref="B10:B11"/>
    <mergeCell ref="C10:F11"/>
    <mergeCell ref="A195:A196"/>
    <mergeCell ref="B195:B196"/>
    <mergeCell ref="C195:F196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60" fitToHeight="2" orientation="portrait" horizontalDpi="1200" verticalDpi="1200"/>
  <headerFooter>
    <oddHeader>&amp;LOFFICE OF HEALTH CARE ACCESS&amp;CTWELVE MONTHS ACTUAL FILING&amp;RWILLIAM W. BACKUS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6" t="s">
        <v>0</v>
      </c>
      <c r="B2" s="786"/>
      <c r="C2" s="786"/>
      <c r="D2" s="786"/>
      <c r="E2" s="786"/>
      <c r="F2" s="786"/>
    </row>
    <row r="3" spans="1:7" ht="20.25" customHeight="1" x14ac:dyDescent="0.3">
      <c r="A3" s="786" t="s">
        <v>1</v>
      </c>
      <c r="B3" s="786"/>
      <c r="C3" s="786"/>
      <c r="D3" s="786"/>
      <c r="E3" s="786"/>
      <c r="F3" s="786"/>
    </row>
    <row r="4" spans="1:7" ht="20.25" customHeight="1" x14ac:dyDescent="0.3">
      <c r="A4" s="786" t="s">
        <v>314</v>
      </c>
      <c r="B4" s="786"/>
      <c r="C4" s="786"/>
      <c r="D4" s="786"/>
      <c r="E4" s="786"/>
      <c r="F4" s="786"/>
    </row>
    <row r="5" spans="1:7" ht="20.25" customHeight="1" x14ac:dyDescent="0.3">
      <c r="A5" s="786" t="s">
        <v>473</v>
      </c>
      <c r="B5" s="786"/>
      <c r="C5" s="786"/>
      <c r="D5" s="786"/>
      <c r="E5" s="786"/>
      <c r="F5" s="786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60" fitToHeight="2" orientation="portrait" horizontalDpi="1200" verticalDpi="1200"/>
  <headerFooter>
    <oddHeader>&amp;LOFFICE OF HEALTH CARE ACCESS&amp;CTWELVE MONTHS ACTUAL FILING&amp;RWILLIAM W. BACKUS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187885111</v>
      </c>
      <c r="D13" s="22">
        <v>193329590</v>
      </c>
      <c r="E13" s="22">
        <f t="shared" ref="E13:E22" si="0">D13-C13</f>
        <v>5444479</v>
      </c>
      <c r="F13" s="306">
        <f t="shared" ref="F13:F22" si="1">IF(C13=0,0,E13/C13)</f>
        <v>2.8977703294435078E-2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38557357</v>
      </c>
      <c r="D15" s="22">
        <v>37156767</v>
      </c>
      <c r="E15" s="22">
        <f t="shared" si="0"/>
        <v>-1400590</v>
      </c>
      <c r="F15" s="306">
        <f t="shared" si="1"/>
        <v>-3.6324844568573517E-2</v>
      </c>
    </row>
    <row r="16" spans="1:8" ht="35.1" customHeight="1" x14ac:dyDescent="0.2">
      <c r="A16" s="304">
        <v>4</v>
      </c>
      <c r="B16" s="305" t="s">
        <v>19</v>
      </c>
      <c r="C16" s="22">
        <v>3285815</v>
      </c>
      <c r="D16" s="22">
        <v>5448010</v>
      </c>
      <c r="E16" s="22">
        <f t="shared" si="0"/>
        <v>2162195</v>
      </c>
      <c r="F16" s="306">
        <f t="shared" si="1"/>
        <v>0.65803917749477681</v>
      </c>
    </row>
    <row r="17" spans="1:11" ht="24" customHeight="1" x14ac:dyDescent="0.2">
      <c r="A17" s="304">
        <v>5</v>
      </c>
      <c r="B17" s="305" t="s">
        <v>20</v>
      </c>
      <c r="C17" s="22">
        <v>2358949</v>
      </c>
      <c r="D17" s="22">
        <v>2405892</v>
      </c>
      <c r="E17" s="22">
        <f t="shared" si="0"/>
        <v>46943</v>
      </c>
      <c r="F17" s="306">
        <f t="shared" si="1"/>
        <v>1.9899963924612189E-2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3771462</v>
      </c>
      <c r="D19" s="22">
        <v>3621065</v>
      </c>
      <c r="E19" s="22">
        <f t="shared" si="0"/>
        <v>-150397</v>
      </c>
      <c r="F19" s="306">
        <f t="shared" si="1"/>
        <v>-3.9877638963351614E-2</v>
      </c>
    </row>
    <row r="20" spans="1:11" ht="24" customHeight="1" x14ac:dyDescent="0.2">
      <c r="A20" s="304">
        <v>8</v>
      </c>
      <c r="B20" s="305" t="s">
        <v>23</v>
      </c>
      <c r="C20" s="22">
        <v>1671760</v>
      </c>
      <c r="D20" s="22">
        <v>3040704</v>
      </c>
      <c r="E20" s="22">
        <f t="shared" si="0"/>
        <v>1368944</v>
      </c>
      <c r="F20" s="306">
        <f t="shared" si="1"/>
        <v>0.81886395176341098</v>
      </c>
    </row>
    <row r="21" spans="1:11" ht="24" customHeight="1" x14ac:dyDescent="0.2">
      <c r="A21" s="304">
        <v>9</v>
      </c>
      <c r="B21" s="305" t="s">
        <v>24</v>
      </c>
      <c r="C21" s="22">
        <v>1341254</v>
      </c>
      <c r="D21" s="22">
        <v>972364</v>
      </c>
      <c r="E21" s="22">
        <f t="shared" si="0"/>
        <v>-368890</v>
      </c>
      <c r="F21" s="306">
        <f t="shared" si="1"/>
        <v>-0.27503366252775385</v>
      </c>
    </row>
    <row r="22" spans="1:11" ht="24" customHeight="1" x14ac:dyDescent="0.25">
      <c r="A22" s="307"/>
      <c r="B22" s="308" t="s">
        <v>25</v>
      </c>
      <c r="C22" s="309">
        <f>SUM(C13:C21)</f>
        <v>238871708</v>
      </c>
      <c r="D22" s="309">
        <f>SUM(D13:D21)</f>
        <v>245974392</v>
      </c>
      <c r="E22" s="309">
        <f t="shared" si="0"/>
        <v>7102684</v>
      </c>
      <c r="F22" s="310">
        <f t="shared" si="1"/>
        <v>2.9734304072544245E-2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29273515</v>
      </c>
      <c r="D25" s="22">
        <v>21400841</v>
      </c>
      <c r="E25" s="22">
        <f>D25-C25</f>
        <v>-7872674</v>
      </c>
      <c r="F25" s="306">
        <f>IF(C25=0,0,E25/C25)</f>
        <v>-0.26893504247781658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113055613</v>
      </c>
      <c r="D26" s="22">
        <v>134705505</v>
      </c>
      <c r="E26" s="22">
        <f>D26-C26</f>
        <v>21649892</v>
      </c>
      <c r="F26" s="306">
        <f>IF(C26=0,0,E26/C26)</f>
        <v>0.19149771891467254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142329128</v>
      </c>
      <c r="D29" s="309">
        <f>SUM(D25:D28)</f>
        <v>156106346</v>
      </c>
      <c r="E29" s="309">
        <f>D29-C29</f>
        <v>13777218</v>
      </c>
      <c r="F29" s="310">
        <f>IF(C29=0,0,E29/C29)</f>
        <v>9.6798302593408714E-2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8357721</v>
      </c>
      <c r="D33" s="22">
        <v>14502352</v>
      </c>
      <c r="E33" s="22">
        <f>D33-C33</f>
        <v>6144631</v>
      </c>
      <c r="F33" s="306">
        <f>IF(C33=0,0,E33/C33)</f>
        <v>0.73520413040827759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304116125</v>
      </c>
      <c r="D36" s="22">
        <v>308270147</v>
      </c>
      <c r="E36" s="22">
        <f>D36-C36</f>
        <v>4154022</v>
      </c>
      <c r="F36" s="306">
        <f>IF(C36=0,0,E36/C36)</f>
        <v>1.3659328324007812E-2</v>
      </c>
    </row>
    <row r="37" spans="1:8" ht="24" customHeight="1" x14ac:dyDescent="0.2">
      <c r="A37" s="304">
        <v>2</v>
      </c>
      <c r="B37" s="305" t="s">
        <v>39</v>
      </c>
      <c r="C37" s="22">
        <v>175584689</v>
      </c>
      <c r="D37" s="22">
        <v>188985410</v>
      </c>
      <c r="E37" s="22">
        <f>D37-C37</f>
        <v>13400721</v>
      </c>
      <c r="F37" s="22">
        <f>IF(C37=0,0,E37/C37)</f>
        <v>7.6320555489892403E-2</v>
      </c>
    </row>
    <row r="38" spans="1:8" ht="24" customHeight="1" x14ac:dyDescent="0.25">
      <c r="A38" s="307"/>
      <c r="B38" s="308" t="s">
        <v>40</v>
      </c>
      <c r="C38" s="309">
        <f>C36-C37</f>
        <v>128531436</v>
      </c>
      <c r="D38" s="309">
        <f>D36-D37</f>
        <v>119284737</v>
      </c>
      <c r="E38" s="309">
        <f>D38-C38</f>
        <v>-9246699</v>
      </c>
      <c r="F38" s="310">
        <f>IF(C38=0,0,E38/C38)</f>
        <v>-7.1941147533744199E-2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185693</v>
      </c>
      <c r="D40" s="22">
        <v>1246289</v>
      </c>
      <c r="E40" s="22">
        <f>D40-C40</f>
        <v>1060596</v>
      </c>
      <c r="F40" s="306">
        <f>IF(C40=0,0,E40/C40)</f>
        <v>5.7115561706687918</v>
      </c>
    </row>
    <row r="41" spans="1:8" ht="24" customHeight="1" x14ac:dyDescent="0.25">
      <c r="A41" s="307"/>
      <c r="B41" s="308" t="s">
        <v>42</v>
      </c>
      <c r="C41" s="309">
        <f>+C38+C40</f>
        <v>128717129</v>
      </c>
      <c r="D41" s="309">
        <f>+D38+D40</f>
        <v>120531026</v>
      </c>
      <c r="E41" s="309">
        <f>D41-C41</f>
        <v>-8186103</v>
      </c>
      <c r="F41" s="310">
        <f>IF(C41=0,0,E41/C41)</f>
        <v>-6.3597619552250892E-2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518275686</v>
      </c>
      <c r="D43" s="309">
        <f>D22+D29+D31+D32+D33+D41</f>
        <v>537114116</v>
      </c>
      <c r="E43" s="309">
        <f>D43-C43</f>
        <v>18838430</v>
      </c>
      <c r="F43" s="310">
        <f>IF(C43=0,0,E43/C43)</f>
        <v>3.6348280478664015E-2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8540858</v>
      </c>
      <c r="D49" s="22">
        <v>6919642</v>
      </c>
      <c r="E49" s="22">
        <f t="shared" ref="E49:E56" si="2">D49-C49</f>
        <v>-1621216</v>
      </c>
      <c r="F49" s="306">
        <f t="shared" ref="F49:F56" si="3">IF(C49=0,0,E49/C49)</f>
        <v>-0.18981886831510369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9007281</v>
      </c>
      <c r="D50" s="22">
        <v>6801054</v>
      </c>
      <c r="E50" s="22">
        <f t="shared" si="2"/>
        <v>-2206227</v>
      </c>
      <c r="F50" s="306">
        <f t="shared" si="3"/>
        <v>-0.24493817834705056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8663714</v>
      </c>
      <c r="D51" s="22">
        <v>9749411</v>
      </c>
      <c r="E51" s="22">
        <f t="shared" si="2"/>
        <v>1085697</v>
      </c>
      <c r="F51" s="306">
        <f t="shared" si="3"/>
        <v>0.12531542477048527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2865926</v>
      </c>
      <c r="D52" s="22">
        <v>1711676</v>
      </c>
      <c r="E52" s="22">
        <f t="shared" si="2"/>
        <v>-1154250</v>
      </c>
      <c r="F52" s="306">
        <f t="shared" si="3"/>
        <v>-0.4027494080447297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0</v>
      </c>
      <c r="D53" s="22">
        <v>0</v>
      </c>
      <c r="E53" s="22">
        <f t="shared" si="2"/>
        <v>0</v>
      </c>
      <c r="F53" s="306">
        <f t="shared" si="3"/>
        <v>0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399818</v>
      </c>
      <c r="D54" s="22">
        <v>399931</v>
      </c>
      <c r="E54" s="22">
        <f t="shared" si="2"/>
        <v>113</v>
      </c>
      <c r="F54" s="306">
        <f t="shared" si="3"/>
        <v>2.8262859601118511E-4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11816646</v>
      </c>
      <c r="D55" s="22">
        <v>11943373</v>
      </c>
      <c r="E55" s="22">
        <f t="shared" si="2"/>
        <v>126727</v>
      </c>
      <c r="F55" s="306">
        <f t="shared" si="3"/>
        <v>1.0724447529358161E-2</v>
      </c>
    </row>
    <row r="56" spans="1:6" ht="24" customHeight="1" x14ac:dyDescent="0.25">
      <c r="A56" s="307"/>
      <c r="B56" s="308" t="s">
        <v>54</v>
      </c>
      <c r="C56" s="309">
        <f>SUM(C49:C55)</f>
        <v>41294243</v>
      </c>
      <c r="D56" s="309">
        <f>SUM(D49:D55)</f>
        <v>37525087</v>
      </c>
      <c r="E56" s="309">
        <f t="shared" si="2"/>
        <v>-3769156</v>
      </c>
      <c r="F56" s="310">
        <f t="shared" si="3"/>
        <v>-9.1275580472561277E-2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58784343</v>
      </c>
      <c r="D59" s="22">
        <v>58700068</v>
      </c>
      <c r="E59" s="22">
        <f>D59-C59</f>
        <v>-84275</v>
      </c>
      <c r="F59" s="306">
        <f>IF(C59=0,0,E59/C59)</f>
        <v>-1.4336300398900435E-3</v>
      </c>
    </row>
    <row r="60" spans="1:6" ht="24" customHeight="1" x14ac:dyDescent="0.2">
      <c r="A60" s="304">
        <v>2</v>
      </c>
      <c r="B60" s="305" t="s">
        <v>57</v>
      </c>
      <c r="C60" s="22">
        <v>9415367</v>
      </c>
      <c r="D60" s="22">
        <v>9672504</v>
      </c>
      <c r="E60" s="22">
        <f>D60-C60</f>
        <v>257137</v>
      </c>
      <c r="F60" s="306">
        <f>IF(C60=0,0,E60/C60)</f>
        <v>2.731035338293239E-2</v>
      </c>
    </row>
    <row r="61" spans="1:6" ht="24" customHeight="1" x14ac:dyDescent="0.25">
      <c r="A61" s="307"/>
      <c r="B61" s="308" t="s">
        <v>58</v>
      </c>
      <c r="C61" s="309">
        <f>SUM(C59:C60)</f>
        <v>68199710</v>
      </c>
      <c r="D61" s="309">
        <f>SUM(D59:D60)</f>
        <v>68372572</v>
      </c>
      <c r="E61" s="309">
        <f>D61-C61</f>
        <v>172862</v>
      </c>
      <c r="F61" s="310">
        <f>IF(C61=0,0,E61/C61)</f>
        <v>2.5346442088976626E-3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38600633</v>
      </c>
      <c r="D63" s="22">
        <v>49998130</v>
      </c>
      <c r="E63" s="22">
        <f>D63-C63</f>
        <v>11397497</v>
      </c>
      <c r="F63" s="306">
        <f>IF(C63=0,0,E63/C63)</f>
        <v>0.29526710093070235</v>
      </c>
    </row>
    <row r="64" spans="1:6" ht="24" customHeight="1" x14ac:dyDescent="0.2">
      <c r="A64" s="304">
        <v>4</v>
      </c>
      <c r="B64" s="305" t="s">
        <v>60</v>
      </c>
      <c r="C64" s="22">
        <v>13378386</v>
      </c>
      <c r="D64" s="22">
        <v>12018161</v>
      </c>
      <c r="E64" s="22">
        <f>D64-C64</f>
        <v>-1360225</v>
      </c>
      <c r="F64" s="306">
        <f>IF(C64=0,0,E64/C64)</f>
        <v>-0.10167332591539817</v>
      </c>
    </row>
    <row r="65" spans="1:6" ht="24" customHeight="1" x14ac:dyDescent="0.25">
      <c r="A65" s="307"/>
      <c r="B65" s="308" t="s">
        <v>61</v>
      </c>
      <c r="C65" s="309">
        <f>SUM(C61:C64)</f>
        <v>120178729</v>
      </c>
      <c r="D65" s="309">
        <f>SUM(D61:D64)</f>
        <v>130388863</v>
      </c>
      <c r="E65" s="309">
        <f>D65-C65</f>
        <v>10210134</v>
      </c>
      <c r="F65" s="310">
        <f>IF(C65=0,0,E65/C65)</f>
        <v>8.4957912976430294E-2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344915268</v>
      </c>
      <c r="D70" s="22">
        <v>357187808</v>
      </c>
      <c r="E70" s="22">
        <f>D70-C70</f>
        <v>12272540</v>
      </c>
      <c r="F70" s="306">
        <f>IF(C70=0,0,E70/C70)</f>
        <v>3.5581318481964101E-2</v>
      </c>
    </row>
    <row r="71" spans="1:6" ht="24" customHeight="1" x14ac:dyDescent="0.2">
      <c r="A71" s="304">
        <v>2</v>
      </c>
      <c r="B71" s="305" t="s">
        <v>65</v>
      </c>
      <c r="C71" s="22">
        <v>3534497</v>
      </c>
      <c r="D71" s="22">
        <v>3907265</v>
      </c>
      <c r="E71" s="22">
        <f>D71-C71</f>
        <v>372768</v>
      </c>
      <c r="F71" s="306">
        <f>IF(C71=0,0,E71/C71)</f>
        <v>0.10546564334331024</v>
      </c>
    </row>
    <row r="72" spans="1:6" ht="24" customHeight="1" x14ac:dyDescent="0.2">
      <c r="A72" s="304">
        <v>3</v>
      </c>
      <c r="B72" s="305" t="s">
        <v>66</v>
      </c>
      <c r="C72" s="22">
        <v>8352949</v>
      </c>
      <c r="D72" s="22">
        <v>8105093</v>
      </c>
      <c r="E72" s="22">
        <f>D72-C72</f>
        <v>-247856</v>
      </c>
      <c r="F72" s="306">
        <f>IF(C72=0,0,E72/C72)</f>
        <v>-2.9672873616252177E-2</v>
      </c>
    </row>
    <row r="73" spans="1:6" ht="24" customHeight="1" x14ac:dyDescent="0.25">
      <c r="A73" s="304"/>
      <c r="B73" s="308" t="s">
        <v>67</v>
      </c>
      <c r="C73" s="309">
        <f>SUM(C70:C72)</f>
        <v>356802714</v>
      </c>
      <c r="D73" s="309">
        <f>SUM(D70:D72)</f>
        <v>369200166</v>
      </c>
      <c r="E73" s="309">
        <f>D73-C73</f>
        <v>12397452</v>
      </c>
      <c r="F73" s="310">
        <f>IF(C73=0,0,E73/C73)</f>
        <v>3.474595767788919E-2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518275686</v>
      </c>
      <c r="D75" s="309">
        <f>D56+D65+D67+D73</f>
        <v>537114116</v>
      </c>
      <c r="E75" s="309">
        <f>D75-C75</f>
        <v>18838430</v>
      </c>
      <c r="F75" s="310">
        <f>IF(C75=0,0,E75/C75)</f>
        <v>3.6348280478664015E-2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4" fitToHeight="2" orientation="portrait" horizontalDpi="1200" verticalDpi="1200"/>
  <headerFooter>
    <oddHeader>&amp;LOFFICE OF HEALTH CARE ACCESS&amp;CTWELVE MONTHS ACTUAL FILING&amp;RBACKUS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732620316</v>
      </c>
      <c r="D11" s="76">
        <v>767630825</v>
      </c>
      <c r="E11" s="76">
        <f t="shared" ref="E11:E20" si="0">D11-C11</f>
        <v>35010509</v>
      </c>
      <c r="F11" s="77">
        <f t="shared" ref="F11:F20" si="1">IF(C11=0,0,E11/C11)</f>
        <v>4.7788067345923835E-2</v>
      </c>
    </row>
    <row r="12" spans="1:7" ht="23.1" customHeight="1" x14ac:dyDescent="0.2">
      <c r="A12" s="74">
        <v>2</v>
      </c>
      <c r="B12" s="75" t="s">
        <v>72</v>
      </c>
      <c r="C12" s="76">
        <v>409557356</v>
      </c>
      <c r="D12" s="76">
        <v>457505869</v>
      </c>
      <c r="E12" s="76">
        <f t="shared" si="0"/>
        <v>47948513</v>
      </c>
      <c r="F12" s="77">
        <f t="shared" si="1"/>
        <v>0.11707398804479048</v>
      </c>
    </row>
    <row r="13" spans="1:7" ht="23.1" customHeight="1" x14ac:dyDescent="0.2">
      <c r="A13" s="74">
        <v>3</v>
      </c>
      <c r="B13" s="75" t="s">
        <v>73</v>
      </c>
      <c r="C13" s="76">
        <v>5263975</v>
      </c>
      <c r="D13" s="76">
        <v>4309525</v>
      </c>
      <c r="E13" s="76">
        <f t="shared" si="0"/>
        <v>-954450</v>
      </c>
      <c r="F13" s="77">
        <f t="shared" si="1"/>
        <v>-0.18131735048133776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317798985</v>
      </c>
      <c r="D15" s="79">
        <f>D11-D12-D13-D14</f>
        <v>305815431</v>
      </c>
      <c r="E15" s="79">
        <f t="shared" si="0"/>
        <v>-11983554</v>
      </c>
      <c r="F15" s="80">
        <f t="shared" si="1"/>
        <v>-3.7707968135895713E-2</v>
      </c>
    </row>
    <row r="16" spans="1:7" ht="23.1" customHeight="1" x14ac:dyDescent="0.2">
      <c r="A16" s="74">
        <v>5</v>
      </c>
      <c r="B16" s="75" t="s">
        <v>76</v>
      </c>
      <c r="C16" s="76">
        <v>8520064</v>
      </c>
      <c r="D16" s="76">
        <v>9296806</v>
      </c>
      <c r="E16" s="76">
        <f t="shared" si="0"/>
        <v>776742</v>
      </c>
      <c r="F16" s="77">
        <f t="shared" si="1"/>
        <v>9.1166216591800256E-2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309278921</v>
      </c>
      <c r="D17" s="79">
        <f>D15-D16</f>
        <v>296518625</v>
      </c>
      <c r="E17" s="79">
        <f t="shared" si="0"/>
        <v>-12760296</v>
      </c>
      <c r="F17" s="80">
        <f t="shared" si="1"/>
        <v>-4.1258214296473181E-2</v>
      </c>
    </row>
    <row r="18" spans="1:7" ht="23.1" customHeight="1" x14ac:dyDescent="0.2">
      <c r="A18" s="74">
        <v>6</v>
      </c>
      <c r="B18" s="75" t="s">
        <v>78</v>
      </c>
      <c r="C18" s="76">
        <v>8779703</v>
      </c>
      <c r="D18" s="76">
        <v>8308513</v>
      </c>
      <c r="E18" s="76">
        <f t="shared" si="0"/>
        <v>-471190</v>
      </c>
      <c r="F18" s="77">
        <f t="shared" si="1"/>
        <v>-5.3668102440367287E-2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287246</v>
      </c>
      <c r="D19" s="76">
        <v>217950</v>
      </c>
      <c r="E19" s="76">
        <f t="shared" si="0"/>
        <v>-69296</v>
      </c>
      <c r="F19" s="77">
        <f t="shared" si="1"/>
        <v>-0.24124269789657646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318345870</v>
      </c>
      <c r="D20" s="79">
        <f>SUM(D17:D19)</f>
        <v>305045088</v>
      </c>
      <c r="E20" s="79">
        <f t="shared" si="0"/>
        <v>-13300782</v>
      </c>
      <c r="F20" s="80">
        <f t="shared" si="1"/>
        <v>-4.1780915832204765E-2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122973389</v>
      </c>
      <c r="D23" s="76">
        <v>119561370</v>
      </c>
      <c r="E23" s="76">
        <f t="shared" ref="E23:E32" si="2">D23-C23</f>
        <v>-3412019</v>
      </c>
      <c r="F23" s="77">
        <f t="shared" ref="F23:F32" si="3">IF(C23=0,0,E23/C23)</f>
        <v>-2.7745994704594178E-2</v>
      </c>
    </row>
    <row r="24" spans="1:7" ht="23.1" customHeight="1" x14ac:dyDescent="0.2">
      <c r="A24" s="74">
        <v>2</v>
      </c>
      <c r="B24" s="75" t="s">
        <v>83</v>
      </c>
      <c r="C24" s="76">
        <v>21292907</v>
      </c>
      <c r="D24" s="76">
        <v>24131400</v>
      </c>
      <c r="E24" s="76">
        <f t="shared" si="2"/>
        <v>2838493</v>
      </c>
      <c r="F24" s="77">
        <f t="shared" si="3"/>
        <v>0.13330697400782335</v>
      </c>
    </row>
    <row r="25" spans="1:7" ht="23.1" customHeight="1" x14ac:dyDescent="0.2">
      <c r="A25" s="74">
        <v>3</v>
      </c>
      <c r="B25" s="75" t="s">
        <v>84</v>
      </c>
      <c r="C25" s="76">
        <v>2624355</v>
      </c>
      <c r="D25" s="76">
        <v>3109419</v>
      </c>
      <c r="E25" s="76">
        <f t="shared" si="2"/>
        <v>485064</v>
      </c>
      <c r="F25" s="77">
        <f t="shared" si="3"/>
        <v>0.18483170150379807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40065954</v>
      </c>
      <c r="D26" s="76">
        <v>40594804</v>
      </c>
      <c r="E26" s="76">
        <f t="shared" si="2"/>
        <v>528850</v>
      </c>
      <c r="F26" s="77">
        <f t="shared" si="3"/>
        <v>1.3199486027463616E-2</v>
      </c>
    </row>
    <row r="27" spans="1:7" ht="23.1" customHeight="1" x14ac:dyDescent="0.2">
      <c r="A27" s="74">
        <v>5</v>
      </c>
      <c r="B27" s="75" t="s">
        <v>86</v>
      </c>
      <c r="C27" s="76">
        <v>15759885</v>
      </c>
      <c r="D27" s="76">
        <v>15267349</v>
      </c>
      <c r="E27" s="76">
        <f t="shared" si="2"/>
        <v>-492536</v>
      </c>
      <c r="F27" s="77">
        <f t="shared" si="3"/>
        <v>-3.1252512312113956E-2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2992001</v>
      </c>
      <c r="D29" s="76">
        <v>3380083</v>
      </c>
      <c r="E29" s="76">
        <f t="shared" si="2"/>
        <v>388082</v>
      </c>
      <c r="F29" s="77">
        <f t="shared" si="3"/>
        <v>0.1297065074510336</v>
      </c>
    </row>
    <row r="30" spans="1:7" ht="23.1" customHeight="1" x14ac:dyDescent="0.2">
      <c r="A30" s="74">
        <v>8</v>
      </c>
      <c r="B30" s="75" t="s">
        <v>89</v>
      </c>
      <c r="C30" s="76">
        <v>1382002</v>
      </c>
      <c r="D30" s="76">
        <v>3674108</v>
      </c>
      <c r="E30" s="76">
        <f t="shared" si="2"/>
        <v>2292106</v>
      </c>
      <c r="F30" s="77">
        <f t="shared" si="3"/>
        <v>1.6585402915480585</v>
      </c>
    </row>
    <row r="31" spans="1:7" ht="23.1" customHeight="1" x14ac:dyDescent="0.2">
      <c r="A31" s="74">
        <v>9</v>
      </c>
      <c r="B31" s="75" t="s">
        <v>90</v>
      </c>
      <c r="C31" s="76">
        <v>66805543</v>
      </c>
      <c r="D31" s="76">
        <v>60565736</v>
      </c>
      <c r="E31" s="76">
        <f t="shared" si="2"/>
        <v>-6239807</v>
      </c>
      <c r="F31" s="77">
        <f t="shared" si="3"/>
        <v>-9.3402533978355656E-2</v>
      </c>
    </row>
    <row r="32" spans="1:7" ht="23.1" customHeight="1" x14ac:dyDescent="0.25">
      <c r="A32" s="71"/>
      <c r="B32" s="78" t="s">
        <v>91</v>
      </c>
      <c r="C32" s="79">
        <f>SUM(C23:C31)</f>
        <v>273896036</v>
      </c>
      <c r="D32" s="79">
        <f>SUM(D23:D31)</f>
        <v>270284269</v>
      </c>
      <c r="E32" s="79">
        <f t="shared" si="2"/>
        <v>-3611767</v>
      </c>
      <c r="F32" s="80">
        <f t="shared" si="3"/>
        <v>-1.318663480036637E-2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44449834</v>
      </c>
      <c r="D34" s="79">
        <f>+D20-D32</f>
        <v>34760819</v>
      </c>
      <c r="E34" s="79">
        <f>D34-C34</f>
        <v>-9689015</v>
      </c>
      <c r="F34" s="80">
        <f>IF(C34=0,0,E34/C34)</f>
        <v>-0.21797640459129725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10575604</v>
      </c>
      <c r="D37" s="76">
        <v>1225618</v>
      </c>
      <c r="E37" s="76">
        <f>D37-C37</f>
        <v>-9349986</v>
      </c>
      <c r="F37" s="77">
        <f>IF(C37=0,0,E37/C37)</f>
        <v>-0.88410893600025109</v>
      </c>
    </row>
    <row r="38" spans="1:6" ht="23.1" customHeight="1" x14ac:dyDescent="0.2">
      <c r="A38" s="85">
        <v>2</v>
      </c>
      <c r="B38" s="75" t="s">
        <v>95</v>
      </c>
      <c r="C38" s="76">
        <v>222728</v>
      </c>
      <c r="D38" s="76">
        <v>166697</v>
      </c>
      <c r="E38" s="76">
        <f>D38-C38</f>
        <v>-56031</v>
      </c>
      <c r="F38" s="77">
        <f>IF(C38=0,0,E38/C38)</f>
        <v>-0.25156693365899213</v>
      </c>
    </row>
    <row r="39" spans="1:6" ht="23.1" customHeight="1" x14ac:dyDescent="0.2">
      <c r="A39" s="85">
        <v>3</v>
      </c>
      <c r="B39" s="75" t="s">
        <v>96</v>
      </c>
      <c r="C39" s="76">
        <v>-190849</v>
      </c>
      <c r="D39" s="76">
        <v>55526</v>
      </c>
      <c r="E39" s="76">
        <f>D39-C39</f>
        <v>246375</v>
      </c>
      <c r="F39" s="77">
        <f>IF(C39=0,0,E39/C39)</f>
        <v>-1.2909420536654632</v>
      </c>
    </row>
    <row r="40" spans="1:6" ht="23.1" customHeight="1" x14ac:dyDescent="0.25">
      <c r="A40" s="83"/>
      <c r="B40" s="78" t="s">
        <v>97</v>
      </c>
      <c r="C40" s="79">
        <f>SUM(C37:C39)</f>
        <v>10607483</v>
      </c>
      <c r="D40" s="79">
        <f>SUM(D37:D39)</f>
        <v>1447841</v>
      </c>
      <c r="E40" s="79">
        <f>D40-C40</f>
        <v>-9159642</v>
      </c>
      <c r="F40" s="80">
        <f>IF(C40=0,0,E40/C40)</f>
        <v>-0.86350758233597924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55057317</v>
      </c>
      <c r="D42" s="79">
        <f>D34+D40</f>
        <v>36208660</v>
      </c>
      <c r="E42" s="79">
        <f>D42-C42</f>
        <v>-18848657</v>
      </c>
      <c r="F42" s="80">
        <f>IF(C42=0,0,E42/C42)</f>
        <v>-0.34234608635215552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604064</v>
      </c>
      <c r="D45" s="76">
        <v>404190</v>
      </c>
      <c r="E45" s="76">
        <f>D45-C45</f>
        <v>-199874</v>
      </c>
      <c r="F45" s="77">
        <f>IF(C45=0,0,E45/C45)</f>
        <v>-0.33088215818191452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604064</v>
      </c>
      <c r="D47" s="79">
        <f>SUM(D45:D46)</f>
        <v>404190</v>
      </c>
      <c r="E47" s="79">
        <f>D47-C47</f>
        <v>-199874</v>
      </c>
      <c r="F47" s="80">
        <f>IF(C47=0,0,E47/C47)</f>
        <v>-0.33088215818191452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55661381</v>
      </c>
      <c r="D49" s="79">
        <f>D42+D47</f>
        <v>36612850</v>
      </c>
      <c r="E49" s="79">
        <f>D49-C49</f>
        <v>-19048531</v>
      </c>
      <c r="F49" s="80">
        <f>IF(C49=0,0,E49/C49)</f>
        <v>-0.34222167430592498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/>
  <headerFooter>
    <oddHeader>&amp;L&amp;8OFFICE OF HEALTH CARE ACCESS&amp;C&amp;8TWELVE MONTHS ACTUAL FILING&amp;R&amp;8BACKUS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2016-07-18T16:14:57Z</dcterms:created>
  <dcterms:modified xsi:type="dcterms:W3CDTF">2016-07-27T14:54:00Z</dcterms:modified>
</cp:coreProperties>
</file>