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D102" i="22" l="1"/>
  <c r="E97" i="22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2" i="22"/>
  <c r="D83" i="22"/>
  <c r="D101" i="22"/>
  <c r="D103" i="22"/>
  <c r="C83" i="22"/>
  <c r="C102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D34" i="22"/>
  <c r="E28" i="22"/>
  <c r="D28" i="22"/>
  <c r="C28" i="22"/>
  <c r="E27" i="22"/>
  <c r="D27" i="22"/>
  <c r="C27" i="22"/>
  <c r="D23" i="22"/>
  <c r="E21" i="22"/>
  <c r="D21" i="22"/>
  <c r="C21" i="22"/>
  <c r="E12" i="22"/>
  <c r="D12" i="22"/>
  <c r="D33" i="22"/>
  <c r="C12" i="22"/>
  <c r="D21" i="21"/>
  <c r="E21" i="21"/>
  <c r="F21" i="21"/>
  <c r="C21" i="21"/>
  <c r="D19" i="21"/>
  <c r="E19" i="21"/>
  <c r="F19" i="21"/>
  <c r="C19" i="21"/>
  <c r="F17" i="21"/>
  <c r="E17" i="21"/>
  <c r="F15" i="21"/>
  <c r="E15" i="21"/>
  <c r="D45" i="20"/>
  <c r="E45" i="20"/>
  <c r="F45" i="20"/>
  <c r="C45" i="20"/>
  <c r="D44" i="20"/>
  <c r="E44" i="20"/>
  <c r="F44" i="20"/>
  <c r="C44" i="20"/>
  <c r="D43" i="20"/>
  <c r="D46" i="20"/>
  <c r="C43" i="20"/>
  <c r="C46" i="20"/>
  <c r="D36" i="20"/>
  <c r="D40" i="20"/>
  <c r="E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E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15" i="19"/>
  <c r="C105" i="19"/>
  <c r="C137" i="19"/>
  <c r="C139" i="19"/>
  <c r="C143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E324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C301" i="18"/>
  <c r="D293" i="18"/>
  <c r="E293" i="18"/>
  <c r="C293" i="18"/>
  <c r="D292" i="18"/>
  <c r="E292" i="18"/>
  <c r="C292" i="18"/>
  <c r="D291" i="18"/>
  <c r="C291" i="18"/>
  <c r="E291" i="18"/>
  <c r="D290" i="18"/>
  <c r="E290" i="18"/>
  <c r="C290" i="18"/>
  <c r="D288" i="18"/>
  <c r="E288" i="18"/>
  <c r="C288" i="18"/>
  <c r="D287" i="18"/>
  <c r="C287" i="18"/>
  <c r="E287" i="18"/>
  <c r="D282" i="18"/>
  <c r="E282" i="18"/>
  <c r="C282" i="18"/>
  <c r="D281" i="18"/>
  <c r="C281" i="18"/>
  <c r="E281" i="18"/>
  <c r="D280" i="18"/>
  <c r="E280" i="18"/>
  <c r="C280" i="18"/>
  <c r="D279" i="18"/>
  <c r="C279" i="18"/>
  <c r="E279" i="18"/>
  <c r="D278" i="18"/>
  <c r="E278" i="18"/>
  <c r="C278" i="18"/>
  <c r="D277" i="18"/>
  <c r="C277" i="18"/>
  <c r="E277" i="18"/>
  <c r="D276" i="18"/>
  <c r="E276" i="18"/>
  <c r="C276" i="18"/>
  <c r="E270" i="18"/>
  <c r="D265" i="18"/>
  <c r="D302" i="18"/>
  <c r="C265" i="18"/>
  <c r="C302" i="18"/>
  <c r="D262" i="18"/>
  <c r="E262" i="18"/>
  <c r="C262" i="18"/>
  <c r="D251" i="18"/>
  <c r="C251" i="18"/>
  <c r="D233" i="18"/>
  <c r="E233" i="18"/>
  <c r="C233" i="18"/>
  <c r="D232" i="18"/>
  <c r="C232" i="18"/>
  <c r="E232" i="18"/>
  <c r="D231" i="18"/>
  <c r="C231" i="18"/>
  <c r="C252" i="18"/>
  <c r="D230" i="18"/>
  <c r="C230" i="18"/>
  <c r="E230" i="18"/>
  <c r="D228" i="18"/>
  <c r="C228" i="18"/>
  <c r="E228" i="18"/>
  <c r="D227" i="18"/>
  <c r="E227" i="18"/>
  <c r="C227" i="18"/>
  <c r="D221" i="18"/>
  <c r="D245" i="18"/>
  <c r="C221" i="18"/>
  <c r="C245" i="18"/>
  <c r="D220" i="18"/>
  <c r="E220" i="18"/>
  <c r="C220" i="18"/>
  <c r="C244" i="18"/>
  <c r="D219" i="18"/>
  <c r="D243" i="18"/>
  <c r="E243" i="18"/>
  <c r="C219" i="18"/>
  <c r="C243" i="18"/>
  <c r="D218" i="18"/>
  <c r="C218" i="18"/>
  <c r="C242" i="18"/>
  <c r="C217" i="18"/>
  <c r="D216" i="18"/>
  <c r="C216" i="18"/>
  <c r="C240" i="18"/>
  <c r="D215" i="18"/>
  <c r="D239" i="18"/>
  <c r="C215" i="18"/>
  <c r="C210" i="18"/>
  <c r="E209" i="18"/>
  <c r="E208" i="18"/>
  <c r="E207" i="18"/>
  <c r="E206" i="18"/>
  <c r="D205" i="18"/>
  <c r="C205" i="18"/>
  <c r="C229" i="18"/>
  <c r="E204" i="18"/>
  <c r="E203" i="18"/>
  <c r="E197" i="18"/>
  <c r="E196" i="18"/>
  <c r="D195" i="18"/>
  <c r="D260" i="18"/>
  <c r="C195" i="18"/>
  <c r="C260" i="18"/>
  <c r="E194" i="18"/>
  <c r="E193" i="18"/>
  <c r="E192" i="18"/>
  <c r="E191" i="18"/>
  <c r="E190" i="18"/>
  <c r="D188" i="18"/>
  <c r="C188" i="18"/>
  <c r="C261" i="18"/>
  <c r="E186" i="18"/>
  <c r="E185" i="18"/>
  <c r="D179" i="18"/>
  <c r="C179" i="18"/>
  <c r="E179" i="18"/>
  <c r="D178" i="18"/>
  <c r="E178" i="18"/>
  <c r="C178" i="18"/>
  <c r="D177" i="18"/>
  <c r="C177" i="18"/>
  <c r="E177" i="18"/>
  <c r="D176" i="18"/>
  <c r="E176" i="18"/>
  <c r="C176" i="18"/>
  <c r="D174" i="18"/>
  <c r="E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C164" i="18"/>
  <c r="E164" i="18"/>
  <c r="D162" i="18"/>
  <c r="C162" i="18"/>
  <c r="E162" i="18"/>
  <c r="D161" i="18"/>
  <c r="E161" i="18"/>
  <c r="C161" i="18"/>
  <c r="D156" i="18"/>
  <c r="D157" i="18"/>
  <c r="E155" i="18"/>
  <c r="E154" i="18"/>
  <c r="E153" i="18"/>
  <c r="E152" i="18"/>
  <c r="D151" i="18"/>
  <c r="C151" i="18"/>
  <c r="E151" i="18"/>
  <c r="E150" i="18"/>
  <c r="E149" i="18"/>
  <c r="C144" i="18"/>
  <c r="E143" i="18"/>
  <c r="E142" i="18"/>
  <c r="E141" i="18"/>
  <c r="E140" i="18"/>
  <c r="D139" i="18"/>
  <c r="D163" i="18"/>
  <c r="C139" i="18"/>
  <c r="C175" i="18"/>
  <c r="E138" i="18"/>
  <c r="E137" i="18"/>
  <c r="D75" i="18"/>
  <c r="E75" i="18"/>
  <c r="C75" i="18"/>
  <c r="D74" i="18"/>
  <c r="C74" i="18"/>
  <c r="E74" i="18"/>
  <c r="D73" i="18"/>
  <c r="E73" i="18"/>
  <c r="C73" i="18"/>
  <c r="D72" i="18"/>
  <c r="C72" i="18"/>
  <c r="E72" i="18"/>
  <c r="D71" i="18"/>
  <c r="D70" i="18"/>
  <c r="D76" i="18"/>
  <c r="C70" i="18"/>
  <c r="D69" i="18"/>
  <c r="D77" i="18"/>
  <c r="C69" i="18"/>
  <c r="D65" i="18"/>
  <c r="D66" i="18"/>
  <c r="E64" i="18"/>
  <c r="E63" i="18"/>
  <c r="E62" i="18"/>
  <c r="E61" i="18"/>
  <c r="D60" i="18"/>
  <c r="D289" i="18"/>
  <c r="C60" i="18"/>
  <c r="C289" i="18"/>
  <c r="E59" i="18"/>
  <c r="E58" i="18"/>
  <c r="D55" i="18"/>
  <c r="D54" i="18"/>
  <c r="C54" i="18"/>
  <c r="E54" i="18"/>
  <c r="E53" i="18"/>
  <c r="E52" i="18"/>
  <c r="E51" i="18"/>
  <c r="E50" i="18"/>
  <c r="E49" i="18"/>
  <c r="E48" i="18"/>
  <c r="E47" i="18"/>
  <c r="D42" i="18"/>
  <c r="C42" i="18"/>
  <c r="E42" i="18"/>
  <c r="D41" i="18"/>
  <c r="E41" i="18"/>
  <c r="C41" i="18"/>
  <c r="D40" i="18"/>
  <c r="C40" i="18"/>
  <c r="E40" i="18"/>
  <c r="D39" i="18"/>
  <c r="E39" i="18"/>
  <c r="C39" i="18"/>
  <c r="D38" i="18"/>
  <c r="C38" i="18"/>
  <c r="E38" i="18"/>
  <c r="D37" i="18"/>
  <c r="D43" i="18"/>
  <c r="C37" i="18"/>
  <c r="C43" i="18"/>
  <c r="D36" i="18"/>
  <c r="D44" i="18"/>
  <c r="C36" i="18"/>
  <c r="C44" i="18"/>
  <c r="D33" i="18"/>
  <c r="D32" i="18"/>
  <c r="C32" i="18"/>
  <c r="C33" i="18"/>
  <c r="E31" i="18"/>
  <c r="E30" i="18"/>
  <c r="E29" i="18"/>
  <c r="E28" i="18"/>
  <c r="E27" i="18"/>
  <c r="E26" i="18"/>
  <c r="E25" i="18"/>
  <c r="C22" i="18"/>
  <c r="D21" i="18"/>
  <c r="D283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F311" i="17"/>
  <c r="D311" i="17"/>
  <c r="E311" i="17"/>
  <c r="C311" i="17"/>
  <c r="E308" i="17"/>
  <c r="F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C250" i="17"/>
  <c r="C306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D239" i="17"/>
  <c r="C237" i="17"/>
  <c r="C239" i="17"/>
  <c r="E234" i="17"/>
  <c r="F234" i="17"/>
  <c r="E233" i="17"/>
  <c r="F233" i="17"/>
  <c r="D230" i="17"/>
  <c r="C230" i="17"/>
  <c r="D229" i="17"/>
  <c r="C229" i="17"/>
  <c r="E228" i="17"/>
  <c r="F228" i="17"/>
  <c r="D226" i="17"/>
  <c r="D227" i="17"/>
  <c r="E227" i="17"/>
  <c r="C226" i="17"/>
  <c r="C227" i="17"/>
  <c r="E225" i="17"/>
  <c r="F225" i="17"/>
  <c r="E224" i="17"/>
  <c r="F224" i="17"/>
  <c r="D223" i="17"/>
  <c r="C223" i="17"/>
  <c r="E222" i="17"/>
  <c r="F222" i="17"/>
  <c r="E221" i="17"/>
  <c r="F221" i="17"/>
  <c r="D204" i="17"/>
  <c r="C204" i="17"/>
  <c r="C285" i="17"/>
  <c r="D203" i="17"/>
  <c r="C203" i="17"/>
  <c r="C283" i="17"/>
  <c r="D198" i="17"/>
  <c r="C198" i="17"/>
  <c r="C290" i="17"/>
  <c r="D191" i="17"/>
  <c r="D280" i="17"/>
  <c r="C191" i="17"/>
  <c r="D189" i="17"/>
  <c r="D278" i="17"/>
  <c r="C189" i="17"/>
  <c r="D188" i="17"/>
  <c r="C188" i="17"/>
  <c r="C190" i="17"/>
  <c r="D180" i="17"/>
  <c r="C180" i="17"/>
  <c r="D179" i="17"/>
  <c r="D181" i="17"/>
  <c r="E181" i="17"/>
  <c r="C179" i="17"/>
  <c r="C181" i="17"/>
  <c r="F181" i="17"/>
  <c r="D171" i="17"/>
  <c r="D172" i="17"/>
  <c r="C171" i="17"/>
  <c r="C172" i="17"/>
  <c r="D170" i="17"/>
  <c r="C170" i="17"/>
  <c r="F169" i="17"/>
  <c r="E169" i="17"/>
  <c r="F168" i="17"/>
  <c r="E168" i="17"/>
  <c r="D165" i="17"/>
  <c r="C165" i="17"/>
  <c r="D164" i="17"/>
  <c r="C164" i="17"/>
  <c r="F163" i="17"/>
  <c r="E163" i="17"/>
  <c r="D158" i="17"/>
  <c r="D159" i="17"/>
  <c r="E159" i="17"/>
  <c r="C158" i="17"/>
  <c r="C159" i="17"/>
  <c r="F159" i="17"/>
  <c r="F157" i="17"/>
  <c r="E157" i="17"/>
  <c r="F156" i="17"/>
  <c r="E156" i="17"/>
  <c r="D155" i="17"/>
  <c r="C155" i="17"/>
  <c r="F154" i="17"/>
  <c r="E154" i="17"/>
  <c r="F153" i="17"/>
  <c r="E153" i="17"/>
  <c r="D145" i="17"/>
  <c r="C145" i="17"/>
  <c r="D144" i="17"/>
  <c r="D146" i="17"/>
  <c r="E146" i="17"/>
  <c r="C144" i="17"/>
  <c r="C146" i="17"/>
  <c r="D136" i="17"/>
  <c r="D137" i="17"/>
  <c r="C136" i="17"/>
  <c r="C137" i="17"/>
  <c r="D135" i="17"/>
  <c r="C135" i="17"/>
  <c r="E134" i="17"/>
  <c r="F134" i="17"/>
  <c r="E133" i="17"/>
  <c r="F133" i="17"/>
  <c r="D130" i="17"/>
  <c r="C130" i="17"/>
  <c r="D129" i="17"/>
  <c r="C129" i="17"/>
  <c r="E128" i="17"/>
  <c r="F128" i="17"/>
  <c r="D123" i="17"/>
  <c r="C123" i="17"/>
  <c r="C193" i="17"/>
  <c r="E122" i="17"/>
  <c r="F122" i="17"/>
  <c r="E121" i="17"/>
  <c r="F121" i="17"/>
  <c r="D120" i="17"/>
  <c r="C120" i="17"/>
  <c r="E120" i="17"/>
  <c r="E119" i="17"/>
  <c r="F119" i="17"/>
  <c r="E118" i="17"/>
  <c r="F118" i="17"/>
  <c r="D110" i="17"/>
  <c r="C110" i="17"/>
  <c r="E110" i="17"/>
  <c r="D109" i="17"/>
  <c r="D111" i="17"/>
  <c r="C109" i="17"/>
  <c r="C111" i="17"/>
  <c r="D101" i="17"/>
  <c r="D102" i="17"/>
  <c r="C101" i="17"/>
  <c r="C102" i="17"/>
  <c r="D100" i="17"/>
  <c r="C100" i="17"/>
  <c r="E100" i="17"/>
  <c r="E99" i="17"/>
  <c r="F99" i="17"/>
  <c r="E98" i="17"/>
  <c r="F98" i="17"/>
  <c r="D95" i="17"/>
  <c r="C95" i="17"/>
  <c r="E95" i="17"/>
  <c r="D94" i="17"/>
  <c r="C94" i="17"/>
  <c r="E94" i="17"/>
  <c r="E93" i="17"/>
  <c r="F93" i="17"/>
  <c r="D88" i="17"/>
  <c r="D89" i="17"/>
  <c r="E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E77" i="17"/>
  <c r="C76" i="17"/>
  <c r="C77" i="17"/>
  <c r="F74" i="17"/>
  <c r="E74" i="17"/>
  <c r="F73" i="17"/>
  <c r="E73" i="17"/>
  <c r="D67" i="17"/>
  <c r="E67" i="17"/>
  <c r="F67" i="17"/>
  <c r="C67" i="17"/>
  <c r="D66" i="17"/>
  <c r="D68" i="17"/>
  <c r="E68" i="17"/>
  <c r="C66" i="17"/>
  <c r="C68" i="17"/>
  <c r="D59" i="17"/>
  <c r="D60" i="17"/>
  <c r="C59" i="17"/>
  <c r="C60" i="17"/>
  <c r="D58" i="17"/>
  <c r="E58" i="17"/>
  <c r="F58" i="17"/>
  <c r="C58" i="17"/>
  <c r="F57" i="17"/>
  <c r="E57" i="17"/>
  <c r="F56" i="17"/>
  <c r="E56" i="17"/>
  <c r="D53" i="17"/>
  <c r="E53" i="17"/>
  <c r="F53" i="17"/>
  <c r="C53" i="17"/>
  <c r="D52" i="17"/>
  <c r="E52" i="17"/>
  <c r="F52" i="17"/>
  <c r="C52" i="17"/>
  <c r="F51" i="17"/>
  <c r="E51" i="17"/>
  <c r="D47" i="17"/>
  <c r="D48" i="17"/>
  <c r="C47" i="17"/>
  <c r="C48" i="17"/>
  <c r="F46" i="17"/>
  <c r="E46" i="17"/>
  <c r="F45" i="17"/>
  <c r="E45" i="17"/>
  <c r="D44" i="17"/>
  <c r="E44" i="17"/>
  <c r="F44" i="17"/>
  <c r="C44" i="17"/>
  <c r="F43" i="17"/>
  <c r="E43" i="17"/>
  <c r="F42" i="17"/>
  <c r="E42" i="17"/>
  <c r="D36" i="17"/>
  <c r="E36" i="17"/>
  <c r="F36" i="17"/>
  <c r="C36" i="17"/>
  <c r="D35" i="17"/>
  <c r="D37" i="17"/>
  <c r="C35" i="17"/>
  <c r="D30" i="17"/>
  <c r="D31" i="17"/>
  <c r="C30" i="17"/>
  <c r="C31" i="17"/>
  <c r="D29" i="17"/>
  <c r="E29" i="17"/>
  <c r="F29" i="17"/>
  <c r="C29" i="17"/>
  <c r="F28" i="17"/>
  <c r="E28" i="17"/>
  <c r="F27" i="17"/>
  <c r="E27" i="17"/>
  <c r="D24" i="17"/>
  <c r="E24" i="17"/>
  <c r="F24" i="17"/>
  <c r="C24" i="17"/>
  <c r="D23" i="17"/>
  <c r="E23" i="17"/>
  <c r="F23" i="17"/>
  <c r="C23" i="17"/>
  <c r="F22" i="17"/>
  <c r="E22" i="17"/>
  <c r="D20" i="17"/>
  <c r="E20" i="17"/>
  <c r="F20" i="17"/>
  <c r="C20" i="17"/>
  <c r="F19" i="17"/>
  <c r="E19" i="17"/>
  <c r="F18" i="17"/>
  <c r="E18" i="17"/>
  <c r="D17" i="17"/>
  <c r="E17" i="17"/>
  <c r="F17" i="17"/>
  <c r="C17" i="17"/>
  <c r="F16" i="17"/>
  <c r="E16" i="17"/>
  <c r="F15" i="17"/>
  <c r="E15" i="17"/>
  <c r="D21" i="16"/>
  <c r="E21" i="16"/>
  <c r="C21" i="16"/>
  <c r="F20" i="16"/>
  <c r="E20" i="16"/>
  <c r="D17" i="16"/>
  <c r="E17" i="16"/>
  <c r="F17" i="16"/>
  <c r="C17" i="16"/>
  <c r="F16" i="16"/>
  <c r="E16" i="16"/>
  <c r="D13" i="16"/>
  <c r="E13" i="16"/>
  <c r="F13" i="16"/>
  <c r="C13" i="16"/>
  <c r="F12" i="16"/>
  <c r="E12" i="16"/>
  <c r="D107" i="15"/>
  <c r="E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D60" i="15"/>
  <c r="C60" i="15"/>
  <c r="F59" i="15"/>
  <c r="E59" i="15"/>
  <c r="F58" i="15"/>
  <c r="E58" i="15"/>
  <c r="E60" i="15"/>
  <c r="F60" i="15"/>
  <c r="D55" i="15"/>
  <c r="E55" i="15"/>
  <c r="F55" i="15"/>
  <c r="C55" i="15"/>
  <c r="F54" i="15"/>
  <c r="E54" i="15"/>
  <c r="F53" i="15"/>
  <c r="E53" i="15"/>
  <c r="D50" i="15"/>
  <c r="E50" i="15"/>
  <c r="F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D37" i="15"/>
  <c r="E37" i="15"/>
  <c r="F37" i="15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E59" i="13"/>
  <c r="E61" i="13"/>
  <c r="E57" i="13"/>
  <c r="D46" i="13"/>
  <c r="D59" i="13"/>
  <c r="D61" i="13"/>
  <c r="D57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D47" i="12"/>
  <c r="E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F54" i="11"/>
  <c r="E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F29" i="11"/>
  <c r="D29" i="11"/>
  <c r="E29" i="11"/>
  <c r="C29" i="11"/>
  <c r="F28" i="11"/>
  <c r="E28" i="11"/>
  <c r="F27" i="11"/>
  <c r="E27" i="11"/>
  <c r="F26" i="11"/>
  <c r="E26" i="11"/>
  <c r="F25" i="11"/>
  <c r="E25" i="11"/>
  <c r="D22" i="11"/>
  <c r="D43" i="11"/>
  <c r="C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E122" i="10"/>
  <c r="C113" i="10"/>
  <c r="C122" i="10"/>
  <c r="F122" i="10"/>
  <c r="F112" i="10"/>
  <c r="D112" i="10"/>
  <c r="D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/>
  <c r="C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F193" i="9"/>
  <c r="D193" i="9"/>
  <c r="E193" i="9"/>
  <c r="C193" i="9"/>
  <c r="F192" i="9"/>
  <c r="D192" i="9"/>
  <c r="E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/>
  <c r="C141" i="9"/>
  <c r="F140" i="9"/>
  <c r="D140" i="9"/>
  <c r="E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D115" i="9"/>
  <c r="E115" i="9"/>
  <c r="F115" i="9"/>
  <c r="C115" i="9"/>
  <c r="D114" i="9"/>
  <c r="E114" i="9"/>
  <c r="F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F102" i="9"/>
  <c r="D102" i="9"/>
  <c r="E102" i="9"/>
  <c r="C102" i="9"/>
  <c r="F101" i="9"/>
  <c r="D101" i="9"/>
  <c r="E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/>
  <c r="F76" i="9"/>
  <c r="C76" i="9"/>
  <c r="D75" i="9"/>
  <c r="E75" i="9"/>
  <c r="F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E89" i="8"/>
  <c r="D89" i="8"/>
  <c r="C89" i="8"/>
  <c r="E88" i="8"/>
  <c r="E90" i="8"/>
  <c r="E86" i="8"/>
  <c r="C88" i="8"/>
  <c r="C90" i="8"/>
  <c r="C86" i="8"/>
  <c r="E87" i="8"/>
  <c r="D87" i="8"/>
  <c r="C87" i="8"/>
  <c r="E84" i="8"/>
  <c r="D84" i="8"/>
  <c r="C84" i="8"/>
  <c r="E83" i="8"/>
  <c r="E79" i="8"/>
  <c r="D83" i="8"/>
  <c r="C83" i="8"/>
  <c r="C79" i="8"/>
  <c r="D79" i="8"/>
  <c r="E77" i="8"/>
  <c r="E71" i="8"/>
  <c r="C77" i="8"/>
  <c r="C71" i="8"/>
  <c r="E75" i="8"/>
  <c r="D75" i="8"/>
  <c r="D88" i="8"/>
  <c r="D90" i="8"/>
  <c r="D86" i="8"/>
  <c r="C75" i="8"/>
  <c r="E74" i="8"/>
  <c r="D74" i="8"/>
  <c r="C74" i="8"/>
  <c r="E67" i="8"/>
  <c r="D67" i="8"/>
  <c r="C67" i="8"/>
  <c r="D53" i="8"/>
  <c r="D43" i="8"/>
  <c r="E38" i="8"/>
  <c r="E57" i="8"/>
  <c r="E62" i="8"/>
  <c r="D38" i="8"/>
  <c r="D57" i="8"/>
  <c r="D62" i="8"/>
  <c r="C38" i="8"/>
  <c r="C57" i="8"/>
  <c r="C62" i="8"/>
  <c r="E33" i="8"/>
  <c r="E34" i="8"/>
  <c r="D33" i="8"/>
  <c r="D34" i="8"/>
  <c r="E26" i="8"/>
  <c r="D26" i="8"/>
  <c r="C26" i="8"/>
  <c r="E25" i="8"/>
  <c r="E27" i="8"/>
  <c r="C25" i="8"/>
  <c r="C27" i="8"/>
  <c r="E15" i="8"/>
  <c r="E24" i="8"/>
  <c r="C15" i="8"/>
  <c r="C24" i="8"/>
  <c r="E13" i="8"/>
  <c r="D13" i="8"/>
  <c r="D25" i="8"/>
  <c r="D27" i="8"/>
  <c r="C13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E102" i="6"/>
  <c r="F102" i="6"/>
  <c r="E101" i="6"/>
  <c r="F101" i="6"/>
  <c r="E100" i="6"/>
  <c r="F100" i="6"/>
  <c r="D94" i="6"/>
  <c r="C94" i="6"/>
  <c r="F94" i="6"/>
  <c r="D93" i="6"/>
  <c r="C93" i="6"/>
  <c r="F93" i="6"/>
  <c r="D92" i="6"/>
  <c r="C92" i="6"/>
  <c r="D91" i="6"/>
  <c r="C91" i="6"/>
  <c r="D90" i="6"/>
  <c r="C90" i="6"/>
  <c r="D89" i="6"/>
  <c r="C89" i="6"/>
  <c r="D88" i="6"/>
  <c r="C88" i="6"/>
  <c r="D87" i="6"/>
  <c r="C87" i="6"/>
  <c r="F87" i="6"/>
  <c r="D86" i="6"/>
  <c r="C86" i="6"/>
  <c r="D85" i="6"/>
  <c r="C85" i="6"/>
  <c r="D84" i="6"/>
  <c r="D95" i="6"/>
  <c r="C84" i="6"/>
  <c r="D81" i="6"/>
  <c r="C81" i="6"/>
  <c r="F80" i="6"/>
  <c r="E80" i="6"/>
  <c r="F79" i="6"/>
  <c r="E79" i="6"/>
  <c r="E78" i="6"/>
  <c r="F78" i="6"/>
  <c r="E77" i="6"/>
  <c r="F77" i="6"/>
  <c r="E76" i="6"/>
  <c r="F76" i="6"/>
  <c r="E75" i="6"/>
  <c r="F75" i="6"/>
  <c r="E74" i="6"/>
  <c r="F74" i="6"/>
  <c r="F73" i="6"/>
  <c r="E73" i="6"/>
  <c r="E72" i="6"/>
  <c r="F72" i="6"/>
  <c r="E71" i="6"/>
  <c r="F71" i="6"/>
  <c r="E70" i="6"/>
  <c r="F70" i="6"/>
  <c r="D68" i="6"/>
  <c r="C68" i="6"/>
  <c r="F67" i="6"/>
  <c r="E67" i="6"/>
  <c r="F66" i="6"/>
  <c r="E66" i="6"/>
  <c r="E65" i="6"/>
  <c r="F65" i="6"/>
  <c r="E64" i="6"/>
  <c r="F64" i="6"/>
  <c r="E63" i="6"/>
  <c r="F63" i="6"/>
  <c r="E62" i="6"/>
  <c r="F62" i="6"/>
  <c r="E61" i="6"/>
  <c r="F61" i="6"/>
  <c r="F60" i="6"/>
  <c r="E60" i="6"/>
  <c r="E59" i="6"/>
  <c r="F59" i="6"/>
  <c r="E58" i="6"/>
  <c r="F58" i="6"/>
  <c r="E57" i="6"/>
  <c r="F57" i="6"/>
  <c r="D51" i="6"/>
  <c r="C51" i="6"/>
  <c r="F51" i="6"/>
  <c r="D50" i="6"/>
  <c r="C50" i="6"/>
  <c r="F50" i="6"/>
  <c r="D49" i="6"/>
  <c r="C49" i="6"/>
  <c r="D48" i="6"/>
  <c r="C48" i="6"/>
  <c r="D47" i="6"/>
  <c r="C47" i="6"/>
  <c r="D46" i="6"/>
  <c r="C46" i="6"/>
  <c r="D45" i="6"/>
  <c r="C45" i="6"/>
  <c r="D44" i="6"/>
  <c r="C44" i="6"/>
  <c r="F44" i="6"/>
  <c r="D43" i="6"/>
  <c r="C43" i="6"/>
  <c r="D42" i="6"/>
  <c r="C42" i="6"/>
  <c r="D41" i="6"/>
  <c r="D52" i="6"/>
  <c r="C41" i="6"/>
  <c r="D38" i="6"/>
  <c r="C38" i="6"/>
  <c r="F37" i="6"/>
  <c r="E37" i="6"/>
  <c r="F36" i="6"/>
  <c r="E36" i="6"/>
  <c r="E35" i="6"/>
  <c r="F35" i="6"/>
  <c r="E34" i="6"/>
  <c r="F34" i="6"/>
  <c r="E33" i="6"/>
  <c r="F33" i="6"/>
  <c r="E32" i="6"/>
  <c r="F32" i="6"/>
  <c r="E31" i="6"/>
  <c r="F31" i="6"/>
  <c r="F30" i="6"/>
  <c r="E30" i="6"/>
  <c r="E29" i="6"/>
  <c r="F29" i="6"/>
  <c r="E28" i="6"/>
  <c r="F28" i="6"/>
  <c r="E27" i="6"/>
  <c r="F27" i="6"/>
  <c r="D25" i="6"/>
  <c r="C25" i="6"/>
  <c r="F24" i="6"/>
  <c r="E24" i="6"/>
  <c r="F23" i="6"/>
  <c r="E23" i="6"/>
  <c r="E22" i="6"/>
  <c r="F22" i="6"/>
  <c r="E21" i="6"/>
  <c r="F21" i="6"/>
  <c r="E20" i="6"/>
  <c r="F20" i="6"/>
  <c r="E19" i="6"/>
  <c r="F19" i="6"/>
  <c r="E18" i="6"/>
  <c r="F18" i="6"/>
  <c r="F17" i="6"/>
  <c r="E17" i="6"/>
  <c r="E16" i="6"/>
  <c r="F16" i="6"/>
  <c r="E15" i="6"/>
  <c r="F15" i="6"/>
  <c r="E14" i="6"/>
  <c r="F14" i="6"/>
  <c r="F51" i="5"/>
  <c r="E51" i="5"/>
  <c r="D48" i="5"/>
  <c r="E48" i="5"/>
  <c r="F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E16" i="5"/>
  <c r="F16" i="5"/>
  <c r="C16" i="5"/>
  <c r="C18" i="5"/>
  <c r="F15" i="5"/>
  <c r="E15" i="5"/>
  <c r="F14" i="5"/>
  <c r="E14" i="5"/>
  <c r="F13" i="5"/>
  <c r="E13" i="5"/>
  <c r="F12" i="5"/>
  <c r="E12" i="5"/>
  <c r="D73" i="4"/>
  <c r="E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E65" i="4"/>
  <c r="C61" i="4"/>
  <c r="C65" i="4"/>
  <c r="F60" i="4"/>
  <c r="E60" i="4"/>
  <c r="F59" i="4"/>
  <c r="E59" i="4"/>
  <c r="D56" i="4"/>
  <c r="D75" i="4"/>
  <c r="E75" i="4"/>
  <c r="C56" i="4"/>
  <c r="C75" i="4"/>
  <c r="F55" i="4"/>
  <c r="E55" i="4"/>
  <c r="F54" i="4"/>
  <c r="E54" i="4"/>
  <c r="F53" i="4"/>
  <c r="E53" i="4"/>
  <c r="F52" i="4"/>
  <c r="E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D41" i="4"/>
  <c r="C38" i="4"/>
  <c r="C41" i="4"/>
  <c r="F37" i="4"/>
  <c r="E37" i="4"/>
  <c r="F36" i="4"/>
  <c r="E36" i="4"/>
  <c r="F33" i="4"/>
  <c r="E33" i="4"/>
  <c r="F32" i="4"/>
  <c r="E32" i="4"/>
  <c r="F31" i="4"/>
  <c r="E31" i="4"/>
  <c r="F29" i="4"/>
  <c r="D29" i="4"/>
  <c r="E29" i="4"/>
  <c r="C29" i="4"/>
  <c r="F28" i="4"/>
  <c r="E28" i="4"/>
  <c r="F27" i="4"/>
  <c r="E27" i="4"/>
  <c r="F26" i="4"/>
  <c r="E26" i="4"/>
  <c r="F25" i="4"/>
  <c r="E25" i="4"/>
  <c r="D22" i="4"/>
  <c r="D43" i="4"/>
  <c r="C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C34" i="22"/>
  <c r="C23" i="22"/>
  <c r="E34" i="22"/>
  <c r="E23" i="22"/>
  <c r="C22" i="22"/>
  <c r="D111" i="22"/>
  <c r="D54" i="22"/>
  <c r="D46" i="22"/>
  <c r="D40" i="22"/>
  <c r="C33" i="22"/>
  <c r="C108" i="22"/>
  <c r="C109" i="22"/>
  <c r="E108" i="22"/>
  <c r="E109" i="22"/>
  <c r="E22" i="22"/>
  <c r="D30" i="22"/>
  <c r="E33" i="22"/>
  <c r="D36" i="22"/>
  <c r="D109" i="22"/>
  <c r="D108" i="22"/>
  <c r="C101" i="22"/>
  <c r="C103" i="22"/>
  <c r="E101" i="22"/>
  <c r="E103" i="22"/>
  <c r="D22" i="22"/>
  <c r="F20" i="20"/>
  <c r="C41" i="20"/>
  <c r="F40" i="20"/>
  <c r="D41" i="20"/>
  <c r="E39" i="20"/>
  <c r="E41" i="20"/>
  <c r="E19" i="20"/>
  <c r="F19" i="20"/>
  <c r="E43" i="20"/>
  <c r="C38" i="19"/>
  <c r="C127" i="19"/>
  <c r="C129" i="19"/>
  <c r="C133" i="19"/>
  <c r="E229" i="17"/>
  <c r="E230" i="17"/>
  <c r="E238" i="17"/>
  <c r="E294" i="17"/>
  <c r="E295" i="17"/>
  <c r="E296" i="17"/>
  <c r="E297" i="17"/>
  <c r="E298" i="17"/>
  <c r="E299" i="17"/>
  <c r="C22" i="19"/>
  <c r="C258" i="18"/>
  <c r="C100" i="18"/>
  <c r="C98" i="18"/>
  <c r="C96" i="18"/>
  <c r="C89" i="18"/>
  <c r="C87" i="18"/>
  <c r="C99" i="18"/>
  <c r="C95" i="18"/>
  <c r="C88" i="18"/>
  <c r="C85" i="18"/>
  <c r="C83" i="18"/>
  <c r="C101" i="18"/>
  <c r="C97" i="18"/>
  <c r="C86" i="18"/>
  <c r="C84" i="18"/>
  <c r="C90" i="18"/>
  <c r="D127" i="18"/>
  <c r="D125" i="18"/>
  <c r="D126" i="18"/>
  <c r="D124" i="18"/>
  <c r="D122" i="18"/>
  <c r="D115" i="18"/>
  <c r="D113" i="18"/>
  <c r="D111" i="18"/>
  <c r="D109" i="18"/>
  <c r="D123" i="18"/>
  <c r="D112" i="18"/>
  <c r="D121" i="18"/>
  <c r="D114" i="18"/>
  <c r="D110" i="18"/>
  <c r="E33" i="18"/>
  <c r="D258" i="18"/>
  <c r="D101" i="18"/>
  <c r="E101" i="18"/>
  <c r="D99" i="18"/>
  <c r="E99" i="18"/>
  <c r="D97" i="18"/>
  <c r="E97" i="18"/>
  <c r="D95" i="18"/>
  <c r="D88" i="18"/>
  <c r="E88" i="18"/>
  <c r="D86" i="18"/>
  <c r="E86" i="18"/>
  <c r="D100" i="18"/>
  <c r="E100" i="18"/>
  <c r="D96" i="18"/>
  <c r="D89" i="18"/>
  <c r="E89" i="18"/>
  <c r="D84" i="18"/>
  <c r="E44" i="18"/>
  <c r="D98" i="18"/>
  <c r="E98" i="18"/>
  <c r="D87" i="18"/>
  <c r="E87" i="18"/>
  <c r="D85" i="18"/>
  <c r="E85" i="18"/>
  <c r="D83" i="18"/>
  <c r="D259" i="18"/>
  <c r="E43" i="18"/>
  <c r="E71" i="18"/>
  <c r="E85" i="17"/>
  <c r="D192" i="17"/>
  <c r="E129" i="17"/>
  <c r="E130" i="17"/>
  <c r="F130" i="17"/>
  <c r="E135" i="17"/>
  <c r="E145" i="17"/>
  <c r="F145" i="17"/>
  <c r="E155" i="17"/>
  <c r="E164" i="17"/>
  <c r="E165" i="17"/>
  <c r="E170" i="17"/>
  <c r="E180" i="17"/>
  <c r="E223" i="17"/>
  <c r="F223" i="17"/>
  <c r="C283" i="18"/>
  <c r="E21" i="18"/>
  <c r="D22" i="18"/>
  <c r="D294" i="18"/>
  <c r="E37" i="18"/>
  <c r="C55" i="18"/>
  <c r="E55" i="18"/>
  <c r="E289" i="18"/>
  <c r="C65" i="18"/>
  <c r="C66" i="18"/>
  <c r="E66" i="18"/>
  <c r="E69" i="18"/>
  <c r="C71" i="18"/>
  <c r="C76" i="18"/>
  <c r="E283" i="18"/>
  <c r="C284" i="18"/>
  <c r="E32" i="18"/>
  <c r="D295" i="18"/>
  <c r="E36" i="18"/>
  <c r="E60" i="18"/>
  <c r="E70" i="18"/>
  <c r="E139" i="18"/>
  <c r="D144" i="18"/>
  <c r="C145" i="18"/>
  <c r="C156" i="18"/>
  <c r="C157" i="18"/>
  <c r="E157" i="18"/>
  <c r="C163" i="18"/>
  <c r="E163" i="18"/>
  <c r="D175" i="18"/>
  <c r="E175" i="18"/>
  <c r="C180" i="18"/>
  <c r="C189" i="18"/>
  <c r="E260" i="18"/>
  <c r="C211" i="18"/>
  <c r="C235" i="18"/>
  <c r="C234" i="18"/>
  <c r="C241" i="18"/>
  <c r="E219" i="18"/>
  <c r="E245" i="18"/>
  <c r="D252" i="18"/>
  <c r="E252" i="18"/>
  <c r="E302" i="18"/>
  <c r="C303" i="18"/>
  <c r="C306" i="18"/>
  <c r="C310" i="18"/>
  <c r="D261" i="18"/>
  <c r="E261" i="18"/>
  <c r="D189" i="18"/>
  <c r="E189" i="18"/>
  <c r="E188" i="18"/>
  <c r="E195" i="18"/>
  <c r="D210" i="18"/>
  <c r="E205" i="18"/>
  <c r="D229" i="18"/>
  <c r="E229" i="18"/>
  <c r="C239" i="18"/>
  <c r="E239" i="18"/>
  <c r="E215" i="18"/>
  <c r="E216" i="18"/>
  <c r="D240" i="18"/>
  <c r="E240" i="18"/>
  <c r="D222" i="18"/>
  <c r="E218" i="18"/>
  <c r="D217" i="18"/>
  <c r="D242" i="18"/>
  <c r="E242" i="18"/>
  <c r="C253" i="18"/>
  <c r="C254" i="18"/>
  <c r="D303" i="18"/>
  <c r="D320" i="18"/>
  <c r="E320" i="18"/>
  <c r="E316" i="18"/>
  <c r="E221" i="18"/>
  <c r="D244" i="18"/>
  <c r="E244" i="18"/>
  <c r="D253" i="18"/>
  <c r="E253" i="18"/>
  <c r="E265" i="18"/>
  <c r="E314" i="18"/>
  <c r="D326" i="18"/>
  <c r="C222" i="18"/>
  <c r="C246" i="18"/>
  <c r="D223" i="18"/>
  <c r="E231" i="18"/>
  <c r="E251" i="18"/>
  <c r="E301" i="18"/>
  <c r="C32" i="17"/>
  <c r="C160" i="17"/>
  <c r="C90" i="17"/>
  <c r="C61" i="17"/>
  <c r="F68" i="17"/>
  <c r="F89" i="17"/>
  <c r="E102" i="17"/>
  <c r="D103" i="17"/>
  <c r="E111" i="17"/>
  <c r="C207" i="17"/>
  <c r="C138" i="17"/>
  <c r="F146" i="17"/>
  <c r="C173" i="17"/>
  <c r="F173" i="17"/>
  <c r="F172" i="17"/>
  <c r="D32" i="17"/>
  <c r="E31" i="17"/>
  <c r="F31" i="17"/>
  <c r="D160" i="17"/>
  <c r="E160" i="17"/>
  <c r="D90" i="17"/>
  <c r="E90" i="17"/>
  <c r="E48" i="17"/>
  <c r="F48" i="17"/>
  <c r="D61" i="17"/>
  <c r="E60" i="17"/>
  <c r="F60" i="17"/>
  <c r="C103" i="17"/>
  <c r="F102" i="17"/>
  <c r="F111" i="17"/>
  <c r="C194" i="17"/>
  <c r="D207" i="17"/>
  <c r="E137" i="17"/>
  <c r="F137" i="17"/>
  <c r="D138" i="17"/>
  <c r="E172" i="17"/>
  <c r="D173" i="17"/>
  <c r="E173" i="17"/>
  <c r="C282" i="17"/>
  <c r="C266" i="17"/>
  <c r="C21" i="17"/>
  <c r="E30" i="17"/>
  <c r="F30" i="17"/>
  <c r="E35" i="17"/>
  <c r="F35" i="17"/>
  <c r="C37" i="17"/>
  <c r="E47" i="17"/>
  <c r="F47" i="17"/>
  <c r="E59" i="17"/>
  <c r="F59" i="17"/>
  <c r="E66" i="17"/>
  <c r="F66" i="17"/>
  <c r="E76" i="17"/>
  <c r="F76" i="17"/>
  <c r="F85" i="17"/>
  <c r="F94" i="17"/>
  <c r="F95" i="17"/>
  <c r="F100" i="17"/>
  <c r="F110" i="17"/>
  <c r="F120" i="17"/>
  <c r="D124" i="17"/>
  <c r="F129" i="17"/>
  <c r="F135" i="17"/>
  <c r="F155" i="17"/>
  <c r="F158" i="17"/>
  <c r="F164" i="17"/>
  <c r="F165" i="17"/>
  <c r="F170" i="17"/>
  <c r="F171" i="17"/>
  <c r="F179" i="17"/>
  <c r="F180" i="17"/>
  <c r="D277" i="17"/>
  <c r="D261" i="17"/>
  <c r="D214" i="17"/>
  <c r="D206" i="17"/>
  <c r="D190" i="17"/>
  <c r="E190" i="17"/>
  <c r="F190" i="17"/>
  <c r="C280" i="17"/>
  <c r="C264" i="17"/>
  <c r="C200" i="17"/>
  <c r="E191" i="17"/>
  <c r="F191" i="17"/>
  <c r="C286" i="17"/>
  <c r="F227" i="17"/>
  <c r="E239" i="17"/>
  <c r="D21" i="17"/>
  <c r="E88" i="17"/>
  <c r="F88" i="17"/>
  <c r="E101" i="17"/>
  <c r="F101" i="17"/>
  <c r="E109" i="17"/>
  <c r="F109" i="17"/>
  <c r="E123" i="17"/>
  <c r="F123" i="17"/>
  <c r="C124" i="17"/>
  <c r="E136" i="17"/>
  <c r="F136" i="17"/>
  <c r="E144" i="17"/>
  <c r="F144" i="17"/>
  <c r="E158" i="17"/>
  <c r="E171" i="17"/>
  <c r="E179" i="17"/>
  <c r="C277" i="17"/>
  <c r="C261" i="17"/>
  <c r="C254" i="17"/>
  <c r="C214" i="17"/>
  <c r="C206" i="17"/>
  <c r="E188" i="17"/>
  <c r="F188" i="17"/>
  <c r="C278" i="17"/>
  <c r="C262" i="17"/>
  <c r="C255" i="17"/>
  <c r="C215" i="17"/>
  <c r="E189" i="17"/>
  <c r="F189" i="17"/>
  <c r="C192" i="17"/>
  <c r="F239" i="17"/>
  <c r="D193" i="17"/>
  <c r="D266" i="17"/>
  <c r="E266" i="17"/>
  <c r="D290" i="17"/>
  <c r="E290" i="17"/>
  <c r="D274" i="17"/>
  <c r="D199" i="17"/>
  <c r="D200" i="17"/>
  <c r="E200" i="17"/>
  <c r="D283" i="17"/>
  <c r="D267" i="17"/>
  <c r="D285" i="17"/>
  <c r="E285" i="17"/>
  <c r="F285" i="17"/>
  <c r="D269" i="17"/>
  <c r="D205" i="17"/>
  <c r="E205" i="17"/>
  <c r="D215" i="17"/>
  <c r="F229" i="17"/>
  <c r="F230" i="17"/>
  <c r="F238" i="17"/>
  <c r="E306" i="17"/>
  <c r="D262" i="17"/>
  <c r="D264" i="17"/>
  <c r="E280" i="17"/>
  <c r="F290" i="17"/>
  <c r="E198" i="17"/>
  <c r="F198" i="17"/>
  <c r="C199" i="17"/>
  <c r="E203" i="17"/>
  <c r="F203" i="17"/>
  <c r="E204" i="17"/>
  <c r="F204" i="17"/>
  <c r="C205" i="17"/>
  <c r="E226" i="17"/>
  <c r="F226" i="17"/>
  <c r="E237" i="17"/>
  <c r="F237" i="17"/>
  <c r="E250" i="17"/>
  <c r="F250" i="17"/>
  <c r="C267" i="17"/>
  <c r="C269" i="17"/>
  <c r="C274" i="17"/>
  <c r="F294" i="17"/>
  <c r="F295" i="17"/>
  <c r="F296" i="17"/>
  <c r="F297" i="17"/>
  <c r="F298" i="17"/>
  <c r="F299" i="17"/>
  <c r="F21" i="16"/>
  <c r="F107" i="15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E20" i="13"/>
  <c r="E21" i="13"/>
  <c r="C69" i="13"/>
  <c r="D21" i="13"/>
  <c r="C22" i="13"/>
  <c r="C20" i="13"/>
  <c r="C21" i="13"/>
  <c r="D15" i="13"/>
  <c r="C17" i="13"/>
  <c r="C28" i="13"/>
  <c r="C70" i="13"/>
  <c r="C72" i="13"/>
  <c r="E17" i="13"/>
  <c r="E28" i="13"/>
  <c r="E70" i="13"/>
  <c r="E72" i="13"/>
  <c r="E69" i="13"/>
  <c r="D48" i="13"/>
  <c r="D42" i="13"/>
  <c r="C20" i="12"/>
  <c r="F47" i="12"/>
  <c r="D20" i="12"/>
  <c r="E17" i="12"/>
  <c r="F17" i="12"/>
  <c r="E15" i="12"/>
  <c r="F15" i="12"/>
  <c r="C43" i="11"/>
  <c r="E41" i="11"/>
  <c r="F75" i="11"/>
  <c r="F65" i="11"/>
  <c r="F73" i="11"/>
  <c r="F41" i="11"/>
  <c r="E22" i="11"/>
  <c r="F22" i="11"/>
  <c r="E38" i="11"/>
  <c r="F38" i="11"/>
  <c r="E56" i="11"/>
  <c r="F56" i="11"/>
  <c r="E61" i="11"/>
  <c r="F61" i="11"/>
  <c r="E121" i="10"/>
  <c r="E112" i="10"/>
  <c r="E113" i="10"/>
  <c r="F207" i="9"/>
  <c r="F208" i="9"/>
  <c r="E198" i="9"/>
  <c r="F198" i="9"/>
  <c r="E199" i="9"/>
  <c r="F199" i="9"/>
  <c r="D21" i="8"/>
  <c r="C20" i="8"/>
  <c r="C21" i="8"/>
  <c r="C140" i="8"/>
  <c r="C138" i="8"/>
  <c r="C136" i="8"/>
  <c r="C139" i="8"/>
  <c r="C137" i="8"/>
  <c r="C135" i="8"/>
  <c r="E157" i="8"/>
  <c r="E155" i="8"/>
  <c r="E153" i="8"/>
  <c r="E156" i="8"/>
  <c r="E154" i="8"/>
  <c r="E152" i="8"/>
  <c r="D156" i="8"/>
  <c r="D154" i="8"/>
  <c r="D152" i="8"/>
  <c r="D157" i="8"/>
  <c r="D155" i="8"/>
  <c r="D153" i="8"/>
  <c r="E20" i="8"/>
  <c r="E21" i="8"/>
  <c r="E140" i="8"/>
  <c r="E138" i="8"/>
  <c r="E136" i="8"/>
  <c r="E139" i="8"/>
  <c r="E137" i="8"/>
  <c r="E135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D15" i="8"/>
  <c r="C17" i="8"/>
  <c r="E17" i="8"/>
  <c r="C43" i="8"/>
  <c r="E43" i="8"/>
  <c r="D49" i="8"/>
  <c r="C53" i="8"/>
  <c r="E53" i="8"/>
  <c r="D77" i="8"/>
  <c r="D71" i="8"/>
  <c r="C49" i="8"/>
  <c r="E49" i="8"/>
  <c r="F95" i="7"/>
  <c r="F188" i="7"/>
  <c r="E90" i="7"/>
  <c r="F90" i="7"/>
  <c r="E183" i="7"/>
  <c r="F183" i="7"/>
  <c r="F25" i="6"/>
  <c r="F43" i="6"/>
  <c r="F68" i="6"/>
  <c r="F179" i="6"/>
  <c r="F49" i="6"/>
  <c r="F84" i="6"/>
  <c r="F86" i="6"/>
  <c r="F92" i="6"/>
  <c r="E25" i="6"/>
  <c r="E38" i="6"/>
  <c r="F38" i="6"/>
  <c r="E41" i="6"/>
  <c r="F41" i="6"/>
  <c r="E42" i="6"/>
  <c r="F42" i="6"/>
  <c r="E43" i="6"/>
  <c r="E44" i="6"/>
  <c r="E45" i="6"/>
  <c r="F45" i="6"/>
  <c r="E46" i="6"/>
  <c r="F46" i="6"/>
  <c r="E47" i="6"/>
  <c r="F47" i="6"/>
  <c r="E48" i="6"/>
  <c r="F48" i="6"/>
  <c r="E49" i="6"/>
  <c r="E50" i="6"/>
  <c r="E51" i="6"/>
  <c r="C52" i="6"/>
  <c r="E52" i="6"/>
  <c r="E68" i="6"/>
  <c r="E81" i="6"/>
  <c r="F81" i="6"/>
  <c r="E84" i="6"/>
  <c r="E85" i="6"/>
  <c r="F85" i="6"/>
  <c r="E86" i="6"/>
  <c r="E87" i="6"/>
  <c r="E88" i="6"/>
  <c r="F88" i="6"/>
  <c r="E89" i="6"/>
  <c r="F89" i="6"/>
  <c r="E90" i="6"/>
  <c r="F90" i="6"/>
  <c r="E91" i="6"/>
  <c r="F91" i="6"/>
  <c r="E92" i="6"/>
  <c r="E93" i="6"/>
  <c r="E94" i="6"/>
  <c r="C95" i="6"/>
  <c r="C21" i="5"/>
  <c r="D18" i="5"/>
  <c r="C43" i="4"/>
  <c r="E41" i="4"/>
  <c r="F41" i="4"/>
  <c r="F75" i="4"/>
  <c r="F65" i="4"/>
  <c r="F73" i="4"/>
  <c r="E43" i="4"/>
  <c r="E22" i="4"/>
  <c r="F22" i="4"/>
  <c r="E38" i="4"/>
  <c r="F38" i="4"/>
  <c r="E56" i="4"/>
  <c r="F56" i="4"/>
  <c r="E61" i="4"/>
  <c r="F61" i="4"/>
  <c r="D113" i="22"/>
  <c r="D56" i="22"/>
  <c r="D48" i="22"/>
  <c r="D38" i="22"/>
  <c r="E54" i="22"/>
  <c r="E46" i="22"/>
  <c r="E40" i="22"/>
  <c r="E36" i="22"/>
  <c r="E30" i="22"/>
  <c r="E111" i="22"/>
  <c r="C54" i="22"/>
  <c r="C46" i="22"/>
  <c r="C40" i="22"/>
  <c r="C36" i="22"/>
  <c r="C30" i="22"/>
  <c r="C111" i="22"/>
  <c r="D53" i="22"/>
  <c r="D45" i="22"/>
  <c r="D39" i="22"/>
  <c r="D35" i="22"/>
  <c r="D29" i="22"/>
  <c r="D110" i="22"/>
  <c r="E110" i="22"/>
  <c r="E53" i="22"/>
  <c r="E45" i="22"/>
  <c r="E39" i="22"/>
  <c r="E35" i="22"/>
  <c r="E29" i="22"/>
  <c r="C110" i="22"/>
  <c r="C53" i="22"/>
  <c r="C45" i="22"/>
  <c r="C39" i="22"/>
  <c r="C35" i="22"/>
  <c r="C29" i="22"/>
  <c r="F39" i="20"/>
  <c r="F43" i="20"/>
  <c r="E46" i="20"/>
  <c r="F46" i="20"/>
  <c r="F41" i="20"/>
  <c r="E76" i="18"/>
  <c r="C77" i="18"/>
  <c r="C259" i="18"/>
  <c r="C263" i="18"/>
  <c r="D247" i="18"/>
  <c r="E223" i="18"/>
  <c r="E326" i="18"/>
  <c r="D330" i="18"/>
  <c r="E330" i="18"/>
  <c r="E303" i="18"/>
  <c r="D306" i="18"/>
  <c r="D241" i="18"/>
  <c r="E241" i="18"/>
  <c r="E217" i="18"/>
  <c r="E222" i="18"/>
  <c r="D246" i="18"/>
  <c r="E246" i="18"/>
  <c r="C223" i="18"/>
  <c r="C247" i="18"/>
  <c r="D234" i="18"/>
  <c r="E234" i="18"/>
  <c r="E210" i="18"/>
  <c r="D211" i="18"/>
  <c r="D254" i="18"/>
  <c r="E254" i="18"/>
  <c r="E156" i="18"/>
  <c r="C181" i="18"/>
  <c r="C169" i="18"/>
  <c r="C294" i="18"/>
  <c r="E65" i="18"/>
  <c r="D284" i="18"/>
  <c r="E284" i="18"/>
  <c r="E22" i="18"/>
  <c r="D263" i="18"/>
  <c r="E263" i="18"/>
  <c r="D90" i="18"/>
  <c r="E90" i="18"/>
  <c r="E84" i="18"/>
  <c r="E96" i="18"/>
  <c r="D102" i="18"/>
  <c r="D103" i="18"/>
  <c r="E95" i="18"/>
  <c r="E258" i="18"/>
  <c r="D264" i="18"/>
  <c r="C295" i="18"/>
  <c r="E295" i="18"/>
  <c r="D128" i="18"/>
  <c r="C102" i="18"/>
  <c r="C103" i="18"/>
  <c r="D180" i="18"/>
  <c r="E180" i="18"/>
  <c r="D145" i="18"/>
  <c r="E144" i="18"/>
  <c r="D168" i="18"/>
  <c r="E168" i="18"/>
  <c r="C168" i="18"/>
  <c r="E294" i="18"/>
  <c r="E83" i="18"/>
  <c r="D91" i="18"/>
  <c r="D116" i="18"/>
  <c r="D129" i="18"/>
  <c r="C91" i="18"/>
  <c r="C264" i="18"/>
  <c r="C266" i="18"/>
  <c r="C267" i="18"/>
  <c r="C270" i="17"/>
  <c r="F205" i="17"/>
  <c r="D272" i="17"/>
  <c r="E262" i="17"/>
  <c r="F262" i="17"/>
  <c r="E215" i="17"/>
  <c r="D255" i="17"/>
  <c r="E255" i="17"/>
  <c r="F255" i="17"/>
  <c r="D270" i="17"/>
  <c r="E270" i="17"/>
  <c r="E267" i="17"/>
  <c r="F267" i="17"/>
  <c r="C288" i="17"/>
  <c r="C287" i="17"/>
  <c r="C284" i="17"/>
  <c r="C279" i="17"/>
  <c r="C300" i="17"/>
  <c r="C265" i="17"/>
  <c r="E278" i="17"/>
  <c r="F278" i="17"/>
  <c r="E206" i="17"/>
  <c r="F206" i="17"/>
  <c r="D271" i="17"/>
  <c r="D268" i="17"/>
  <c r="E261" i="17"/>
  <c r="D263" i="17"/>
  <c r="E124" i="17"/>
  <c r="F124" i="17"/>
  <c r="F266" i="17"/>
  <c r="E138" i="17"/>
  <c r="E207" i="17"/>
  <c r="D208" i="17"/>
  <c r="D125" i="17"/>
  <c r="C208" i="17"/>
  <c r="F207" i="17"/>
  <c r="F90" i="17"/>
  <c r="F160" i="17"/>
  <c r="C210" i="17"/>
  <c r="C175" i="17"/>
  <c r="C140" i="17"/>
  <c r="C105" i="17"/>
  <c r="C62" i="17"/>
  <c r="D300" i="17"/>
  <c r="E300" i="17"/>
  <c r="E264" i="17"/>
  <c r="F264" i="17"/>
  <c r="D265" i="17"/>
  <c r="E265" i="17"/>
  <c r="E269" i="17"/>
  <c r="F269" i="17"/>
  <c r="D286" i="17"/>
  <c r="E286" i="17"/>
  <c r="F286" i="17"/>
  <c r="E283" i="17"/>
  <c r="F283" i="17"/>
  <c r="E199" i="17"/>
  <c r="F199" i="17"/>
  <c r="E274" i="17"/>
  <c r="F274" i="17"/>
  <c r="D194" i="17"/>
  <c r="E193" i="17"/>
  <c r="F193" i="17"/>
  <c r="F215" i="17"/>
  <c r="C272" i="17"/>
  <c r="C216" i="17"/>
  <c r="C271" i="17"/>
  <c r="C268" i="17"/>
  <c r="C263" i="17"/>
  <c r="F261" i="17"/>
  <c r="D196" i="17"/>
  <c r="D49" i="17"/>
  <c r="D161" i="17"/>
  <c r="D126" i="17"/>
  <c r="D91" i="17"/>
  <c r="E21" i="17"/>
  <c r="D282" i="17"/>
  <c r="F200" i="17"/>
  <c r="F280" i="17"/>
  <c r="C281" i="17"/>
  <c r="D288" i="17"/>
  <c r="E288" i="17"/>
  <c r="E214" i="17"/>
  <c r="F214" i="17"/>
  <c r="D254" i="17"/>
  <c r="D216" i="17"/>
  <c r="D287" i="17"/>
  <c r="D284" i="17"/>
  <c r="E284" i="17"/>
  <c r="D279" i="17"/>
  <c r="E279" i="17"/>
  <c r="E277" i="17"/>
  <c r="F277" i="17"/>
  <c r="C304" i="17"/>
  <c r="C196" i="17"/>
  <c r="C161" i="17"/>
  <c r="C126" i="17"/>
  <c r="C91" i="17"/>
  <c r="F21" i="17"/>
  <c r="C49" i="17"/>
  <c r="D209" i="17"/>
  <c r="D174" i="17"/>
  <c r="E174" i="17"/>
  <c r="D139" i="17"/>
  <c r="D104" i="17"/>
  <c r="E104" i="17"/>
  <c r="E61" i="17"/>
  <c r="F61" i="17"/>
  <c r="E37" i="17"/>
  <c r="F37" i="17"/>
  <c r="D210" i="17"/>
  <c r="D62" i="17"/>
  <c r="D175" i="17"/>
  <c r="D140" i="17"/>
  <c r="D105" i="17"/>
  <c r="E32" i="17"/>
  <c r="F32" i="17"/>
  <c r="F138" i="17"/>
  <c r="E192" i="17"/>
  <c r="F192" i="17"/>
  <c r="E103" i="17"/>
  <c r="F103" i="17"/>
  <c r="C209" i="17"/>
  <c r="C174" i="17"/>
  <c r="C139" i="17"/>
  <c r="C104" i="17"/>
  <c r="C125" i="17"/>
  <c r="C195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E22" i="13"/>
  <c r="D34" i="12"/>
  <c r="E20" i="12"/>
  <c r="F20" i="12"/>
  <c r="C34" i="12"/>
  <c r="F43" i="11"/>
  <c r="E43" i="11"/>
  <c r="D24" i="8"/>
  <c r="D20" i="8"/>
  <c r="D17" i="8"/>
  <c r="D141" i="8"/>
  <c r="D158" i="8"/>
  <c r="C112" i="8"/>
  <c r="C111" i="8"/>
  <c r="C28" i="8"/>
  <c r="C158" i="8"/>
  <c r="E141" i="8"/>
  <c r="E158" i="8"/>
  <c r="C141" i="8"/>
  <c r="E112" i="8"/>
  <c r="E111" i="8"/>
  <c r="E28" i="8"/>
  <c r="F95" i="6"/>
  <c r="E95" i="6"/>
  <c r="F52" i="6"/>
  <c r="D21" i="5"/>
  <c r="E18" i="5"/>
  <c r="F18" i="5"/>
  <c r="C35" i="5"/>
  <c r="F43" i="4"/>
  <c r="C112" i="22"/>
  <c r="C55" i="22"/>
  <c r="C47" i="22"/>
  <c r="C37" i="22"/>
  <c r="E112" i="22"/>
  <c r="E55" i="22"/>
  <c r="E47" i="22"/>
  <c r="E37" i="22"/>
  <c r="D55" i="22"/>
  <c r="D47" i="22"/>
  <c r="D37" i="22"/>
  <c r="D112" i="22"/>
  <c r="C56" i="22"/>
  <c r="C48" i="22"/>
  <c r="C38" i="22"/>
  <c r="C113" i="22"/>
  <c r="E56" i="22"/>
  <c r="E48" i="22"/>
  <c r="E38" i="22"/>
  <c r="E113" i="22"/>
  <c r="E102" i="18"/>
  <c r="E259" i="18"/>
  <c r="E247" i="18"/>
  <c r="C126" i="18"/>
  <c r="E126" i="18"/>
  <c r="C124" i="18"/>
  <c r="E124" i="18"/>
  <c r="C127" i="18"/>
  <c r="E127" i="18"/>
  <c r="C125" i="18"/>
  <c r="E125" i="18"/>
  <c r="C123" i="18"/>
  <c r="E123" i="18"/>
  <c r="C121" i="18"/>
  <c r="C114" i="18"/>
  <c r="E114" i="18"/>
  <c r="C112" i="18"/>
  <c r="E112" i="18"/>
  <c r="C110" i="18"/>
  <c r="C122" i="18"/>
  <c r="C115" i="18"/>
  <c r="E115" i="18"/>
  <c r="C111" i="18"/>
  <c r="E111" i="18"/>
  <c r="C113" i="18"/>
  <c r="E113" i="18"/>
  <c r="C109" i="18"/>
  <c r="E77" i="18"/>
  <c r="C269" i="18"/>
  <c r="C268" i="18"/>
  <c r="C105" i="18"/>
  <c r="E91" i="18"/>
  <c r="D105" i="18"/>
  <c r="D169" i="18"/>
  <c r="E169" i="18"/>
  <c r="D181" i="18"/>
  <c r="E181" i="18"/>
  <c r="E145" i="18"/>
  <c r="D117" i="18"/>
  <c r="E264" i="18"/>
  <c r="D266" i="18"/>
  <c r="E103" i="18"/>
  <c r="E211" i="18"/>
  <c r="D235" i="18"/>
  <c r="E235" i="18"/>
  <c r="E306" i="18"/>
  <c r="D310" i="18"/>
  <c r="E310" i="18"/>
  <c r="E140" i="17"/>
  <c r="F140" i="17"/>
  <c r="D141" i="17"/>
  <c r="C127" i="17"/>
  <c r="F104" i="17"/>
  <c r="F174" i="17"/>
  <c r="E105" i="17"/>
  <c r="D106" i="17"/>
  <c r="E175" i="17"/>
  <c r="D176" i="17"/>
  <c r="E210" i="17"/>
  <c r="F210" i="17"/>
  <c r="D211" i="17"/>
  <c r="E139" i="17"/>
  <c r="F139" i="17"/>
  <c r="E209" i="17"/>
  <c r="F209" i="17"/>
  <c r="C50" i="17"/>
  <c r="C92" i="17"/>
  <c r="C162" i="17"/>
  <c r="E216" i="17"/>
  <c r="F216" i="17"/>
  <c r="E126" i="17"/>
  <c r="F126" i="17"/>
  <c r="D127" i="17"/>
  <c r="D50" i="17"/>
  <c r="E49" i="17"/>
  <c r="F49" i="17"/>
  <c r="C141" i="17"/>
  <c r="E208" i="17"/>
  <c r="F208" i="17"/>
  <c r="D304" i="17"/>
  <c r="D273" i="17"/>
  <c r="E271" i="17"/>
  <c r="F265" i="17"/>
  <c r="F279" i="17"/>
  <c r="F288" i="17"/>
  <c r="E272" i="17"/>
  <c r="F272" i="17"/>
  <c r="F270" i="17"/>
  <c r="D63" i="17"/>
  <c r="E63" i="17"/>
  <c r="E62" i="17"/>
  <c r="F62" i="17"/>
  <c r="E287" i="17"/>
  <c r="D291" i="17"/>
  <c r="D289" i="17"/>
  <c r="E254" i="17"/>
  <c r="F254" i="17"/>
  <c r="E282" i="17"/>
  <c r="F282" i="17"/>
  <c r="D281" i="17"/>
  <c r="E281" i="17"/>
  <c r="F281" i="17"/>
  <c r="E91" i="17"/>
  <c r="F91" i="17"/>
  <c r="D92" i="17"/>
  <c r="E161" i="17"/>
  <c r="F161" i="17"/>
  <c r="D162" i="17"/>
  <c r="E196" i="17"/>
  <c r="F196" i="17"/>
  <c r="D197" i="17"/>
  <c r="F271" i="17"/>
  <c r="C273" i="17"/>
  <c r="E194" i="17"/>
  <c r="F194" i="17"/>
  <c r="D195" i="17"/>
  <c r="E195" i="17"/>
  <c r="F195" i="17"/>
  <c r="C63" i="17"/>
  <c r="C106" i="17"/>
  <c r="F105" i="17"/>
  <c r="C176" i="17"/>
  <c r="F176" i="17"/>
  <c r="F175" i="17"/>
  <c r="E125" i="17"/>
  <c r="F125" i="17"/>
  <c r="E263" i="17"/>
  <c r="F263" i="17"/>
  <c r="E268" i="17"/>
  <c r="F268" i="17"/>
  <c r="F300" i="17"/>
  <c r="F284" i="17"/>
  <c r="C291" i="17"/>
  <c r="C289" i="17"/>
  <c r="F287" i="17"/>
  <c r="D70" i="13"/>
  <c r="D72" i="13"/>
  <c r="D69" i="13"/>
  <c r="D22" i="13"/>
  <c r="D42" i="12"/>
  <c r="E34" i="12"/>
  <c r="F34" i="12"/>
  <c r="C42" i="12"/>
  <c r="E99" i="8"/>
  <c r="E101" i="8"/>
  <c r="E98" i="8"/>
  <c r="E22" i="8"/>
  <c r="C99" i="8"/>
  <c r="C101" i="8"/>
  <c r="C98" i="8"/>
  <c r="C22" i="8"/>
  <c r="D28" i="8"/>
  <c r="D112" i="8"/>
  <c r="D111" i="8"/>
  <c r="D35" i="5"/>
  <c r="E21" i="5"/>
  <c r="F21" i="5"/>
  <c r="C43" i="5"/>
  <c r="E266" i="18"/>
  <c r="D267" i="18"/>
  <c r="D131" i="18"/>
  <c r="E105" i="18"/>
  <c r="C271" i="18"/>
  <c r="C116" i="18"/>
  <c r="E116" i="18"/>
  <c r="E110" i="18"/>
  <c r="C117" i="18"/>
  <c r="E117" i="18"/>
  <c r="E109" i="18"/>
  <c r="C128" i="18"/>
  <c r="E128" i="18"/>
  <c r="E122" i="18"/>
  <c r="E121" i="18"/>
  <c r="E291" i="17"/>
  <c r="F291" i="17"/>
  <c r="D305" i="17"/>
  <c r="C305" i="17"/>
  <c r="F63" i="17"/>
  <c r="D323" i="17"/>
  <c r="E162" i="17"/>
  <c r="D183" i="17"/>
  <c r="D324" i="17"/>
  <c r="E92" i="17"/>
  <c r="F92" i="17"/>
  <c r="D113" i="17"/>
  <c r="E113" i="17"/>
  <c r="E289" i="17"/>
  <c r="F289" i="17"/>
  <c r="E304" i="17"/>
  <c r="F304" i="17"/>
  <c r="E127" i="17"/>
  <c r="D148" i="17"/>
  <c r="C323" i="17"/>
  <c r="F323" i="17"/>
  <c r="C183" i="17"/>
  <c r="F183" i="17"/>
  <c r="F162" i="17"/>
  <c r="C324" i="17"/>
  <c r="C113" i="17"/>
  <c r="D322" i="17"/>
  <c r="E141" i="17"/>
  <c r="F141" i="17"/>
  <c r="E273" i="17"/>
  <c r="F273" i="17"/>
  <c r="C322" i="17"/>
  <c r="C211" i="17"/>
  <c r="D70" i="17"/>
  <c r="E50" i="17"/>
  <c r="F50" i="17"/>
  <c r="C70" i="17"/>
  <c r="E211" i="17"/>
  <c r="E176" i="17"/>
  <c r="E106" i="17"/>
  <c r="F106" i="17"/>
  <c r="C197" i="17"/>
  <c r="C148" i="17"/>
  <c r="F127" i="17"/>
  <c r="D49" i="12"/>
  <c r="E49" i="12"/>
  <c r="E42" i="12"/>
  <c r="F42" i="12"/>
  <c r="C49" i="12"/>
  <c r="D99" i="8"/>
  <c r="D101" i="8"/>
  <c r="D98" i="8"/>
  <c r="D22" i="8"/>
  <c r="C50" i="5"/>
  <c r="D43" i="5"/>
  <c r="E35" i="5"/>
  <c r="F35" i="5"/>
  <c r="C129" i="18"/>
  <c r="E129" i="18"/>
  <c r="D269" i="18"/>
  <c r="E269" i="18"/>
  <c r="E267" i="18"/>
  <c r="D268" i="18"/>
  <c r="C131" i="18"/>
  <c r="E131" i="18"/>
  <c r="E70" i="17"/>
  <c r="F70" i="17"/>
  <c r="F211" i="17"/>
  <c r="E322" i="17"/>
  <c r="F322" i="17"/>
  <c r="F113" i="17"/>
  <c r="E183" i="17"/>
  <c r="E323" i="17"/>
  <c r="C309" i="17"/>
  <c r="C325" i="17"/>
  <c r="E148" i="17"/>
  <c r="F148" i="17"/>
  <c r="D325" i="17"/>
  <c r="E325" i="17"/>
  <c r="E324" i="17"/>
  <c r="F324" i="17"/>
  <c r="E197" i="17"/>
  <c r="F197" i="17"/>
  <c r="D309" i="17"/>
  <c r="E305" i="17"/>
  <c r="F305" i="17"/>
  <c r="F49" i="12"/>
  <c r="D50" i="5"/>
  <c r="E50" i="5"/>
  <c r="E43" i="5"/>
  <c r="F43" i="5"/>
  <c r="F50" i="5"/>
  <c r="D271" i="18"/>
  <c r="E271" i="18"/>
  <c r="E268" i="18"/>
  <c r="F325" i="17"/>
  <c r="C310" i="17"/>
  <c r="E309" i="17"/>
  <c r="F309" i="17"/>
  <c r="D310" i="17"/>
  <c r="D312" i="17"/>
  <c r="E310" i="17"/>
  <c r="F310" i="17"/>
  <c r="C312" i="17"/>
  <c r="E312" i="17"/>
  <c r="D313" i="17"/>
  <c r="F312" i="17"/>
  <c r="C313" i="17"/>
  <c r="C251" i="17"/>
  <c r="C314" i="17"/>
  <c r="C256" i="17"/>
  <c r="C315" i="17"/>
  <c r="D315" i="17"/>
  <c r="D314" i="17"/>
  <c r="E313" i="17"/>
  <c r="F313" i="17"/>
  <c r="D251" i="17"/>
  <c r="E251" i="17"/>
  <c r="D256" i="17"/>
  <c r="C318" i="17"/>
  <c r="E256" i="17"/>
  <c r="D257" i="17"/>
  <c r="E315" i="17"/>
  <c r="F315" i="17"/>
  <c r="C257" i="17"/>
  <c r="F256" i="17"/>
  <c r="F251" i="17"/>
  <c r="D318" i="17"/>
  <c r="E314" i="17"/>
  <c r="F314" i="17"/>
  <c r="E257" i="17"/>
  <c r="F257" i="17"/>
  <c r="E318" i="17"/>
  <c r="F318" i="17"/>
</calcChain>
</file>

<file path=xl/sharedStrings.xml><?xml version="1.0" encoding="utf-8"?>
<sst xmlns="http://schemas.openxmlformats.org/spreadsheetml/2006/main" count="2333" uniqueCount="1008">
  <si>
    <t>BRIDGEPORT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</si>
  <si>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</si>
  <si>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</si>
  <si>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</si>
  <si>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</si>
  <si>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</si>
  <si>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</si>
  <si>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</si>
  <si>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</si>
  <si>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</si>
  <si>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</si>
  <si>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</si>
  <si>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</si>
  <si>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</si>
  <si>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</si>
  <si>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</si>
  <si>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</si>
  <si>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</si>
  <si>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</si>
  <si>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</si>
  <si>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</si>
  <si>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</si>
  <si>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</si>
  <si>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</si>
  <si>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</si>
  <si>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</si>
  <si>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</si>
  <si>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</si>
  <si>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</si>
  <si>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</si>
  <si>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</si>
  <si>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</si>
  <si>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</si>
  <si>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</si>
  <si>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</si>
  <si>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</si>
  <si>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</si>
  <si>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</si>
  <si>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</si>
  <si>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</si>
  <si>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</si>
  <si>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</si>
  <si>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</si>
  <si>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</si>
  <si>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</si>
  <si>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</si>
  <si>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</si>
  <si>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</si>
  <si>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</si>
  <si>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</si>
  <si>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</si>
  <si>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</si>
  <si>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</si>
  <si>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</si>
  <si>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</si>
  <si>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</si>
  <si>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</si>
  <si>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</si>
  <si>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</si>
  <si>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</si>
  <si>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</si>
  <si>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</si>
  <si>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</si>
  <si>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</si>
  <si>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</si>
  <si>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</si>
  <si>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</si>
  <si>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</si>
  <si>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</si>
  <si>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</si>
  <si>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</si>
  <si>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</si>
  <si>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</si>
  <si>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</si>
  <si>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</si>
  <si>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</si>
  <si>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</si>
  <si>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</si>
  <si>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</si>
  <si>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</si>
  <si>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</si>
  <si>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</si>
  <si>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</si>
  <si>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</si>
  <si>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</si>
  <si>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</si>
  <si>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</si>
  <si>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</si>
  <si>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</si>
  <si>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</si>
  <si>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</si>
  <si>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</si>
  <si>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</si>
  <si>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</si>
  <si>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</si>
  <si>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</si>
  <si>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</si>
  <si>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</si>
  <si>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</si>
  <si>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</si>
  <si>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</si>
  <si>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</si>
  <si>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</si>
  <si>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</si>
  <si>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</si>
  <si>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</si>
  <si>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</si>
  <si>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</si>
  <si>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</si>
  <si>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</si>
  <si>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</si>
  <si>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</si>
  <si>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</si>
  <si>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</si>
  <si>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</si>
  <si>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</si>
  <si>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</si>
  <si>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</si>
  <si>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</si>
  <si>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</si>
  <si>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</si>
  <si>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</si>
  <si>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</si>
  <si>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</si>
  <si>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</si>
  <si>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</si>
  <si>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</si>
  <si>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</si>
  <si>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</si>
  <si>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</si>
  <si>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</si>
  <si>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</si>
  <si>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</si>
  <si>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</si>
  <si>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</si>
  <si>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</si>
  <si>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</si>
  <si>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</si>
  <si>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</si>
  <si>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</si>
  <si>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</si>
  <si>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</si>
  <si>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</si>
  <si>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</si>
  <si>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</si>
  <si>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</si>
  <si>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</si>
  <si>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</si>
  <si>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</si>
  <si>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</si>
  <si>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</si>
  <si>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</si>
  <si>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</si>
  <si>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</si>
  <si>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</si>
  <si>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</si>
  <si>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</si>
  <si>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</si>
  <si>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</si>
  <si>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</si>
  <si>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</si>
  <si>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</si>
  <si>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</si>
  <si>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</si>
  <si>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</si>
  <si>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</si>
  <si>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</si>
  <si>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</si>
  <si>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</si>
  <si>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</si>
  <si>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</si>
  <si>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</si>
  <si>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</si>
  <si>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</si>
  <si>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</si>
  <si>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</si>
  <si>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</si>
  <si>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</si>
  <si>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</si>
  <si>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</si>
  <si>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</si>
  <si>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</si>
  <si>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</si>
  <si>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</si>
  <si>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</si>
  <si>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</si>
  <si>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</si>
  <si>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</si>
  <si>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</si>
  <si>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</si>
  <si>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</si>
  <si>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</si>
  <si>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</si>
  <si>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</si>
  <si>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</si>
  <si>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</si>
  <si>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</si>
  <si>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</si>
  <si>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</si>
  <si>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</si>
  <si>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</si>
  <si>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</si>
  <si>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</si>
  <si>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</si>
  <si>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</si>
  <si>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</si>
  <si>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</si>
  <si>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</si>
  <si>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</si>
  <si>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</si>
  <si>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</si>
  <si>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</si>
  <si>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</si>
  <si>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</si>
  <si>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</si>
  <si>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</si>
  <si>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</si>
  <si>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</si>
  <si>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</si>
  <si>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</si>
  <si>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</si>
  <si>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</si>
  <si>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</si>
  <si>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</si>
  <si>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</si>
  <si>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</si>
  <si>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</si>
  <si>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</si>
  <si>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</si>
  <si>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</si>
  <si>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</si>
  <si>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</si>
  <si>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</si>
  <si>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</si>
  <si>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</si>
  <si>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</si>
  <si>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</si>
  <si>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</si>
  <si>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</si>
  <si>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</si>
  <si>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</si>
  <si>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</si>
  <si>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</si>
  <si>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</si>
  <si>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</si>
  <si>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</si>
  <si>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</si>
  <si>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</si>
  <si>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</si>
  <si>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</si>
  <si>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</si>
  <si>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</si>
  <si>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</si>
  <si>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</si>
  <si>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</si>
  <si>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</si>
  <si>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</si>
  <si>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</si>
  <si>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</si>
  <si>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</si>
  <si>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</si>
  <si>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</si>
  <si>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</si>
  <si>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</si>
  <si>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</si>
  <si>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</si>
  <si>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</si>
  <si>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</si>
  <si>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</si>
  <si>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</si>
  <si>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</si>
  <si>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</si>
  <si>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</si>
  <si>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</si>
  <si>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</si>
  <si>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</si>
  <si>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</si>
  <si>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</si>
  <si>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</si>
  <si>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</si>
  <si>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</si>
  <si>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</si>
  <si>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</si>
  <si>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</si>
  <si>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</si>
  <si>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</si>
  <si>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</si>
  <si>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</si>
  <si>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</si>
  <si>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</si>
  <si>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</si>
  <si>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</si>
  <si>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</si>
  <si>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</si>
  <si>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</si>
  <si>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</si>
  <si>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</si>
  <si>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</si>
  <si>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</si>
  <si>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</si>
  <si>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</si>
  <si>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</si>
  <si>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</si>
  <si>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</si>
  <si>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</si>
  <si>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</si>
  <si>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</si>
  <si>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</si>
  <si>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</si>
  <si>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</si>
  <si>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</si>
  <si>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</si>
  <si>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</si>
  <si>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</si>
  <si>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</si>
  <si>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</si>
  <si>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</si>
  <si>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</si>
  <si>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</si>
  <si>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</si>
  <si>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</si>
  <si>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</si>
  <si>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</si>
  <si>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</si>
  <si>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</si>
  <si>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</si>
  <si>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</si>
  <si>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</si>
  <si>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</si>
  <si>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</si>
  <si>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</si>
  <si>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</si>
  <si>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</si>
  <si>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</si>
  <si>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</si>
  <si>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</si>
  <si>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</si>
  <si>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</si>
  <si>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</si>
  <si>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</si>
  <si>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</si>
  <si>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</si>
  <si>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</si>
  <si>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</si>
  <si>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</si>
  <si>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</si>
  <si>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</si>
  <si>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</si>
  <si>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</si>
  <si>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</si>
  <si>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</si>
  <si>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</si>
  <si>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</si>
  <si>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</si>
  <si>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</si>
  <si>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</si>
  <si>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</si>
  <si>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</si>
  <si>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</si>
  <si>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</si>
  <si>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</si>
  <si>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</si>
  <si>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</si>
  <si>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</si>
  <si>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</si>
  <si>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</si>
  <si>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</si>
  <si>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</si>
  <si>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</si>
  <si>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</si>
  <si>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</si>
  <si>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</si>
  <si>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</si>
  <si>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</si>
  <si>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</si>
  <si>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</si>
  <si>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</si>
  <si>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</si>
  <si>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</si>
  <si>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</si>
  <si>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</si>
  <si>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</si>
  <si>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</si>
  <si>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</si>
  <si>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</si>
  <si>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</si>
  <si>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</si>
  <si>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</si>
  <si>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</si>
  <si>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</si>
  <si>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</si>
  <si>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</si>
  <si>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</si>
  <si>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</si>
  <si>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</si>
  <si>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</si>
  <si>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</si>
  <si>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</si>
  <si>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</si>
  <si>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</si>
  <si>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</si>
  <si>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</si>
  <si>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</si>
  <si>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</si>
  <si>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</si>
  <si>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</si>
  <si>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</si>
  <si>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</si>
  <si>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</si>
  <si>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</si>
  <si>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</si>
  <si>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</si>
  <si>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</si>
  <si>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</si>
  <si>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</si>
  <si>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</si>
  <si>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</si>
  <si>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</si>
  <si>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</si>
  <si>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</si>
  <si>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</si>
  <si>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</si>
  <si>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</si>
  <si>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</si>
  <si>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</si>
  <si>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</si>
  <si>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</si>
  <si>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</si>
  <si>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</si>
  <si>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</si>
  <si>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</si>
  <si>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</si>
  <si>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</si>
  <si>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</si>
  <si>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</si>
  <si>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</si>
  <si>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</si>
  <si>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</si>
  <si>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</si>
  <si>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</si>
  <si>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</si>
  <si>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</si>
  <si>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</si>
  <si>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</si>
  <si>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</si>
  <si>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</si>
  <si>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</si>
  <si>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</si>
  <si>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</si>
  <si>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</si>
  <si>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</si>
  <si>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</si>
  <si>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</si>
  <si>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</si>
  <si>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</si>
  <si>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</si>
  <si>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</si>
  <si>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</si>
  <si>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</si>
  <si>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</si>
  <si>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</si>
  <si>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</si>
  <si>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</si>
  <si>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</si>
  <si>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</si>
  <si>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</si>
  <si>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</si>
  <si>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</si>
  <si>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</si>
  <si>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</si>
  <si>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</si>
  <si>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</si>
  <si>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</si>
  <si>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</si>
  <si>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</si>
  <si>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</si>
  <si>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</si>
  <si>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</si>
  <si>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</si>
  <si>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</si>
  <si>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</si>
  <si>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</si>
  <si>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</si>
  <si>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</si>
  <si>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</si>
  <si>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</si>
  <si>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</si>
  <si>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</si>
  <si>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</si>
  <si>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</si>
  <si>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</si>
  <si>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</si>
  <si>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</si>
  <si>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</si>
  <si>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</si>
  <si>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</si>
  <si>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</si>
  <si>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</si>
  <si>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</si>
  <si>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</si>
  <si>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YALE NEW HAVEN HEALTH SERVICES CORPORATION, INC. (YNHHSC)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</si>
  <si>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</si>
  <si>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</si>
  <si>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</si>
  <si>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</si>
  <si>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</si>
  <si>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</si>
  <si>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</si>
  <si>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</si>
  <si>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</si>
  <si>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</si>
  <si>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</si>
  <si>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</si>
  <si>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</si>
  <si>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</si>
  <si>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</si>
  <si>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</si>
  <si>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</si>
  <si>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</si>
  <si>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</si>
  <si>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</si>
  <si>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</si>
  <si>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</si>
  <si>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</si>
  <si>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</si>
  <si>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</si>
  <si>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</si>
  <si>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</si>
  <si>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</si>
  <si>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</si>
  <si>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</si>
  <si>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</si>
  <si>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</si>
  <si>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</si>
  <si>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</si>
  <si>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</si>
  <si>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</si>
  <si>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</si>
  <si>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</si>
  <si>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</si>
  <si>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</si>
  <si>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</si>
  <si>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</si>
  <si>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</si>
  <si>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</si>
  <si>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</si>
  <si>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</si>
  <si>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</si>
  <si>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</si>
  <si>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</si>
  <si>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</si>
  <si>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</si>
  <si>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</si>
  <si>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</si>
  <si>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</si>
  <si>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</si>
  <si>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</si>
  <si>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</si>
  <si>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</si>
  <si>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</si>
  <si>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</si>
  <si>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</si>
  <si>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</si>
  <si>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</si>
  <si>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</si>
  <si>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</si>
  <si>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</si>
  <si>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</si>
  <si>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</si>
  <si>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</si>
  <si>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</si>
  <si>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</si>
  <si>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</si>
  <si>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</si>
  <si>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</si>
  <si>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</si>
  <si>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</si>
  <si>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</si>
  <si>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</si>
  <si>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</si>
  <si>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</si>
  <si>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</si>
  <si>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</si>
  <si>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</si>
  <si>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</si>
  <si>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</si>
  <si>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</si>
  <si>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</si>
  <si>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</si>
  <si>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</si>
  <si>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</si>
  <si>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</si>
  <si>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</si>
  <si>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</si>
  <si>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</si>
  <si>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</si>
  <si>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</si>
  <si>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</si>
  <si>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</si>
  <si>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</si>
  <si>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</si>
  <si>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</si>
  <si>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</si>
  <si>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</si>
  <si>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</si>
  <si>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</si>
  <si>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</si>
  <si>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</si>
  <si>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</si>
  <si>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</si>
  <si>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</si>
  <si>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</si>
  <si>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</si>
  <si>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</si>
  <si>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</si>
  <si>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</si>
  <si>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</si>
  <si>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</si>
  <si>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</si>
  <si>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</si>
  <si>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</si>
  <si>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Bridgeport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</si>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</sst>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30127000</v>
      </c>
      <c r="D13" s="22">
        <v>28527000</v>
      </c>
      <c r="E13" s="22">
        <f t="shared" ref="E13:E22" si="0">D13-C13</f>
        <v>-1600000</v>
      </c>
      <c r="F13" s="23">
        <f t="shared" ref="F13:F22" si="1">IF(C13=0,0,E13/C13)</f>
        <v>-5.3108507319016167E-2</v>
      </c>
    </row>
    <row r="14" spans="1:8" ht="24" customHeight="1" x14ac:dyDescent="0.2">
      <c r="A14" s="20">
        <v>2</v>
      </c>
      <c r="B14" s="21" t="s">
        <v>17</v>
      </c>
      <c r="C14" s="22">
        <v>33642000</v>
      </c>
      <c r="D14" s="22">
        <v>37860000</v>
      </c>
      <c r="E14" s="22">
        <f t="shared" si="0"/>
        <v>4218000</v>
      </c>
      <c r="F14" s="23">
        <f t="shared" si="1"/>
        <v>0.12537899054752988</v>
      </c>
    </row>
    <row r="15" spans="1:8" ht="24" customHeight="1" x14ac:dyDescent="0.2">
      <c r="A15" s="20">
        <v>3</v>
      </c>
      <c r="B15" s="21" t="s">
        <v>18</v>
      </c>
      <c r="C15" s="22">
        <v>51432000</v>
      </c>
      <c r="D15" s="22">
        <v>49732000</v>
      </c>
      <c r="E15" s="22">
        <f t="shared" si="0"/>
        <v>-1700000</v>
      </c>
      <c r="F15" s="23">
        <f t="shared" si="1"/>
        <v>-3.3053351998755635E-2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247000</v>
      </c>
      <c r="E16" s="22">
        <f t="shared" si="0"/>
        <v>247000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10552000</v>
      </c>
      <c r="D18" s="22">
        <v>8273000</v>
      </c>
      <c r="E18" s="22">
        <f t="shared" si="0"/>
        <v>-2279000</v>
      </c>
      <c r="F18" s="23">
        <f t="shared" si="1"/>
        <v>-0.21597801364670205</v>
      </c>
    </row>
    <row r="19" spans="1:11" ht="24" customHeight="1" x14ac:dyDescent="0.2">
      <c r="A19" s="20">
        <v>7</v>
      </c>
      <c r="B19" s="21" t="s">
        <v>22</v>
      </c>
      <c r="C19" s="22">
        <v>4271000</v>
      </c>
      <c r="D19" s="22">
        <v>4338000</v>
      </c>
      <c r="E19" s="22">
        <f t="shared" si="0"/>
        <v>67000</v>
      </c>
      <c r="F19" s="23">
        <f t="shared" si="1"/>
        <v>1.5687192694919222E-2</v>
      </c>
    </row>
    <row r="20" spans="1:11" ht="24" customHeight="1" x14ac:dyDescent="0.2">
      <c r="A20" s="20">
        <v>8</v>
      </c>
      <c r="B20" s="21" t="s">
        <v>23</v>
      </c>
      <c r="C20" s="22">
        <v>8554000</v>
      </c>
      <c r="D20" s="22">
        <v>8608000</v>
      </c>
      <c r="E20" s="22">
        <f t="shared" si="0"/>
        <v>54000</v>
      </c>
      <c r="F20" s="23">
        <f t="shared" si="1"/>
        <v>6.3128361000701428E-3</v>
      </c>
    </row>
    <row r="21" spans="1:11" ht="24" customHeight="1" x14ac:dyDescent="0.2">
      <c r="A21" s="20">
        <v>9</v>
      </c>
      <c r="B21" s="21" t="s">
        <v>24</v>
      </c>
      <c r="C21" s="22">
        <v>4885000</v>
      </c>
      <c r="D21" s="22">
        <v>9216000</v>
      </c>
      <c r="E21" s="22">
        <f t="shared" si="0"/>
        <v>4331000</v>
      </c>
      <c r="F21" s="23">
        <f t="shared" si="1"/>
        <v>0.88659160696008188</v>
      </c>
    </row>
    <row r="22" spans="1:11" ht="24" customHeight="1" x14ac:dyDescent="0.25">
      <c r="A22" s="24"/>
      <c r="B22" s="25" t="s">
        <v>25</v>
      </c>
      <c r="C22" s="26">
        <f>SUM(C13:C21)</f>
        <v>143463000</v>
      </c>
      <c r="D22" s="26">
        <f>SUM(D13:D21)</f>
        <v>146801000</v>
      </c>
      <c r="E22" s="26">
        <f t="shared" si="0"/>
        <v>3338000</v>
      </c>
      <c r="F22" s="27">
        <f t="shared" si="1"/>
        <v>2.3267323281961204E-2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3856000</v>
      </c>
      <c r="E28" s="22">
        <f>D28-C28</f>
        <v>3856000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0</v>
      </c>
      <c r="D29" s="26">
        <f>SUM(D25:D28)</f>
        <v>3856000</v>
      </c>
      <c r="E29" s="26">
        <f>D29-C29</f>
        <v>3856000</v>
      </c>
      <c r="F29" s="27">
        <f>IF(C29=0,0,E29/C29)</f>
        <v>0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60014000</v>
      </c>
      <c r="D31" s="22">
        <v>65812000</v>
      </c>
      <c r="E31" s="22">
        <f>D31-C31</f>
        <v>5798000</v>
      </c>
      <c r="F31" s="23">
        <f>IF(C31=0,0,E31/C31)</f>
        <v>9.6610790815476383E-2</v>
      </c>
    </row>
    <row r="32" spans="1:11" ht="24" customHeight="1" x14ac:dyDescent="0.2">
      <c r="A32" s="20">
        <v>6</v>
      </c>
      <c r="B32" s="21" t="s">
        <v>34</v>
      </c>
      <c r="C32" s="22">
        <v>24082000</v>
      </c>
      <c r="D32" s="22">
        <v>25131000</v>
      </c>
      <c r="E32" s="22">
        <f>D32-C32</f>
        <v>1049000</v>
      </c>
      <c r="F32" s="23">
        <f>IF(C32=0,0,E32/C32)</f>
        <v>4.3559505024499623E-2</v>
      </c>
    </row>
    <row r="33" spans="1:8" ht="24" customHeight="1" x14ac:dyDescent="0.2">
      <c r="A33" s="20">
        <v>7</v>
      </c>
      <c r="B33" s="21" t="s">
        <v>35</v>
      </c>
      <c r="C33" s="22">
        <v>70042000</v>
      </c>
      <c r="D33" s="22">
        <v>65835000</v>
      </c>
      <c r="E33" s="22">
        <f>D33-C33</f>
        <v>-4207000</v>
      </c>
      <c r="F33" s="23">
        <f>IF(C33=0,0,E33/C33)</f>
        <v>-6.0063961623026185E-2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408633000</v>
      </c>
      <c r="D36" s="22">
        <v>431816000</v>
      </c>
      <c r="E36" s="22">
        <f>D36-C36</f>
        <v>23183000</v>
      </c>
      <c r="F36" s="23">
        <f>IF(C36=0,0,E36/C36)</f>
        <v>5.6733058759326827E-2</v>
      </c>
    </row>
    <row r="37" spans="1:8" ht="24" customHeight="1" x14ac:dyDescent="0.2">
      <c r="A37" s="20">
        <v>2</v>
      </c>
      <c r="B37" s="21" t="s">
        <v>39</v>
      </c>
      <c r="C37" s="22">
        <v>285402000</v>
      </c>
      <c r="D37" s="22">
        <v>303677000</v>
      </c>
      <c r="E37" s="22">
        <f>D37-C37</f>
        <v>18275000</v>
      </c>
      <c r="F37" s="23">
        <f>IF(C37=0,0,E37/C37)</f>
        <v>6.4032487508847172E-2</v>
      </c>
    </row>
    <row r="38" spans="1:8" ht="24" customHeight="1" x14ac:dyDescent="0.25">
      <c r="A38" s="24"/>
      <c r="B38" s="25" t="s">
        <v>40</v>
      </c>
      <c r="C38" s="26">
        <f>C36-C37</f>
        <v>123231000</v>
      </c>
      <c r="D38" s="26">
        <f>D36-D37</f>
        <v>128139000</v>
      </c>
      <c r="E38" s="26">
        <f>D38-C38</f>
        <v>4908000</v>
      </c>
      <c r="F38" s="27">
        <f>IF(C38=0,0,E38/C38)</f>
        <v>3.9827640772208295E-2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19477000</v>
      </c>
      <c r="D40" s="22">
        <v>37001000</v>
      </c>
      <c r="E40" s="22">
        <f>D40-C40</f>
        <v>17524000</v>
      </c>
      <c r="F40" s="23">
        <f>IF(C40=0,0,E40/C40)</f>
        <v>0.89972788417107352</v>
      </c>
    </row>
    <row r="41" spans="1:8" ht="24" customHeight="1" x14ac:dyDescent="0.25">
      <c r="A41" s="24"/>
      <c r="B41" s="25" t="s">
        <v>42</v>
      </c>
      <c r="C41" s="26">
        <f>+C38+C40</f>
        <v>142708000</v>
      </c>
      <c r="D41" s="26">
        <f>+D38+D40</f>
        <v>165140000</v>
      </c>
      <c r="E41" s="26">
        <f>D41-C41</f>
        <v>22432000</v>
      </c>
      <c r="F41" s="27">
        <f>IF(C41=0,0,E41/C41)</f>
        <v>0.15718810438097375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440309000</v>
      </c>
      <c r="D43" s="26">
        <f>D22+D29+D31+D32+D33+D41</f>
        <v>472575000</v>
      </c>
      <c r="E43" s="26">
        <f>D43-C43</f>
        <v>32266000</v>
      </c>
      <c r="F43" s="27">
        <f>IF(C43=0,0,E43/C43)</f>
        <v>7.3280355386785193E-2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16363000</v>
      </c>
      <c r="D49" s="22">
        <v>10476000</v>
      </c>
      <c r="E49" s="22">
        <f t="shared" ref="E49:E56" si="2">D49-C49</f>
        <v>-5887000</v>
      </c>
      <c r="F49" s="23">
        <f t="shared" ref="F49:F56" si="3">IF(C49=0,0,E49/C49)</f>
        <v>-0.35977510236509197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49185000</v>
      </c>
      <c r="D50" s="22">
        <v>58396000</v>
      </c>
      <c r="E50" s="22">
        <f t="shared" si="2"/>
        <v>9211000</v>
      </c>
      <c r="F50" s="23">
        <f t="shared" si="3"/>
        <v>0.18727254244180136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10552000</v>
      </c>
      <c r="D51" s="22">
        <v>8273000</v>
      </c>
      <c r="E51" s="22">
        <f t="shared" si="2"/>
        <v>-2279000</v>
      </c>
      <c r="F51" s="23">
        <f t="shared" si="3"/>
        <v>-0.21597801364670205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32205000</v>
      </c>
      <c r="D53" s="22">
        <v>9262000</v>
      </c>
      <c r="E53" s="22">
        <f t="shared" si="2"/>
        <v>-22943000</v>
      </c>
      <c r="F53" s="23">
        <f t="shared" si="3"/>
        <v>-0.7124049060704859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5306000</v>
      </c>
      <c r="D55" s="22">
        <v>4590000</v>
      </c>
      <c r="E55" s="22">
        <f t="shared" si="2"/>
        <v>-716000</v>
      </c>
      <c r="F55" s="23">
        <f t="shared" si="3"/>
        <v>-0.13494157557482095</v>
      </c>
    </row>
    <row r="56" spans="1:6" ht="24" customHeight="1" x14ac:dyDescent="0.25">
      <c r="A56" s="24"/>
      <c r="B56" s="25" t="s">
        <v>54</v>
      </c>
      <c r="C56" s="26">
        <f>SUM(C49:C55)</f>
        <v>113611000</v>
      </c>
      <c r="D56" s="26">
        <f>SUM(D49:D55)</f>
        <v>90997000</v>
      </c>
      <c r="E56" s="26">
        <f t="shared" si="2"/>
        <v>-22614000</v>
      </c>
      <c r="F56" s="27">
        <f t="shared" si="3"/>
        <v>-0.19904762743044246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49202000</v>
      </c>
      <c r="D59" s="22">
        <v>79882000</v>
      </c>
      <c r="E59" s="22">
        <f>D59-C59</f>
        <v>30680000</v>
      </c>
      <c r="F59" s="23">
        <f>IF(C59=0,0,E59/C59)</f>
        <v>0.6235518881346287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49202000</v>
      </c>
      <c r="D61" s="26">
        <f>SUM(D59:D60)</f>
        <v>79882000</v>
      </c>
      <c r="E61" s="26">
        <f>D61-C61</f>
        <v>30680000</v>
      </c>
      <c r="F61" s="27">
        <f>IF(C61=0,0,E61/C61)</f>
        <v>0.6235518881346287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36720000</v>
      </c>
      <c r="D63" s="22">
        <v>58281000</v>
      </c>
      <c r="E63" s="22">
        <f>D63-C63</f>
        <v>21561000</v>
      </c>
      <c r="F63" s="23">
        <f>IF(C63=0,0,E63/C63)</f>
        <v>0.58717320261437911</v>
      </c>
    </row>
    <row r="64" spans="1:6" ht="24" customHeight="1" x14ac:dyDescent="0.2">
      <c r="A64" s="20">
        <v>4</v>
      </c>
      <c r="B64" s="21" t="s">
        <v>60</v>
      </c>
      <c r="C64" s="22">
        <v>64916000</v>
      </c>
      <c r="D64" s="22">
        <v>87582000</v>
      </c>
      <c r="E64" s="22">
        <f>D64-C64</f>
        <v>22666000</v>
      </c>
      <c r="F64" s="23">
        <f>IF(C64=0,0,E64/C64)</f>
        <v>0.34915891305687352</v>
      </c>
    </row>
    <row r="65" spans="1:6" ht="24" customHeight="1" x14ac:dyDescent="0.25">
      <c r="A65" s="24"/>
      <c r="B65" s="25" t="s">
        <v>61</v>
      </c>
      <c r="C65" s="26">
        <f>SUM(C61:C64)</f>
        <v>150838000</v>
      </c>
      <c r="D65" s="26">
        <f>SUM(D61:D64)</f>
        <v>225745000</v>
      </c>
      <c r="E65" s="26">
        <f>D65-C65</f>
        <v>74907000</v>
      </c>
      <c r="F65" s="27">
        <f>IF(C65=0,0,E65/C65)</f>
        <v>0.49660562988106444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123039000</v>
      </c>
      <c r="D70" s="22">
        <v>100811000</v>
      </c>
      <c r="E70" s="22">
        <f>D70-C70</f>
        <v>-22228000</v>
      </c>
      <c r="F70" s="23">
        <f>IF(C70=0,0,E70/C70)</f>
        <v>-0.1806581652971822</v>
      </c>
    </row>
    <row r="71" spans="1:6" ht="24" customHeight="1" x14ac:dyDescent="0.2">
      <c r="A71" s="20">
        <v>2</v>
      </c>
      <c r="B71" s="21" t="s">
        <v>65</v>
      </c>
      <c r="C71" s="22">
        <v>32033000</v>
      </c>
      <c r="D71" s="22">
        <v>33279000</v>
      </c>
      <c r="E71" s="22">
        <f>D71-C71</f>
        <v>1246000</v>
      </c>
      <c r="F71" s="23">
        <f>IF(C71=0,0,E71/C71)</f>
        <v>3.8897387069584489E-2</v>
      </c>
    </row>
    <row r="72" spans="1:6" ht="24" customHeight="1" x14ac:dyDescent="0.2">
      <c r="A72" s="20">
        <v>3</v>
      </c>
      <c r="B72" s="21" t="s">
        <v>66</v>
      </c>
      <c r="C72" s="22">
        <v>20788000</v>
      </c>
      <c r="D72" s="22">
        <v>21743000</v>
      </c>
      <c r="E72" s="22">
        <f>D72-C72</f>
        <v>955000</v>
      </c>
      <c r="F72" s="23">
        <f>IF(C72=0,0,E72/C72)</f>
        <v>4.5939965364633441E-2</v>
      </c>
    </row>
    <row r="73" spans="1:6" ht="24" customHeight="1" x14ac:dyDescent="0.25">
      <c r="A73" s="20"/>
      <c r="B73" s="25" t="s">
        <v>67</v>
      </c>
      <c r="C73" s="26">
        <f>SUM(C70:C72)</f>
        <v>175860000</v>
      </c>
      <c r="D73" s="26">
        <f>SUM(D70:D72)</f>
        <v>155833000</v>
      </c>
      <c r="E73" s="26">
        <f>D73-C73</f>
        <v>-20027000</v>
      </c>
      <c r="F73" s="27">
        <f>IF(C73=0,0,E73/C73)</f>
        <v>-0.11388035937677699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440309000</v>
      </c>
      <c r="D75" s="26">
        <f>D56+D65+D67+D73</f>
        <v>472575000</v>
      </c>
      <c r="E75" s="26">
        <f>D75-C75</f>
        <v>32266000</v>
      </c>
      <c r="F75" s="27">
        <f>IF(C75=0,0,E75/C75)</f>
        <v>7.3280355386785193E-2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FILING&amp;RBRIDGEPORT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420616000</v>
      </c>
      <c r="D11" s="76">
        <v>418827000</v>
      </c>
      <c r="E11" s="76">
        <v>3287692000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19050000</v>
      </c>
      <c r="D12" s="185">
        <v>26208000</v>
      </c>
      <c r="E12" s="185">
        <v>106994000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439666000</v>
      </c>
      <c r="D13" s="76">
        <f>+D11+D12</f>
        <v>445035000</v>
      </c>
      <c r="E13" s="76">
        <f>+E11+E12</f>
        <v>3394686000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420298000</v>
      </c>
      <c r="D14" s="185">
        <v>425775000</v>
      </c>
      <c r="E14" s="185">
        <v>3224574000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19368000</v>
      </c>
      <c r="D15" s="76">
        <f>+D13-D14</f>
        <v>19260000</v>
      </c>
      <c r="E15" s="76">
        <f>+E13-E14</f>
        <v>170112000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2164000</v>
      </c>
      <c r="D16" s="185">
        <v>3969000</v>
      </c>
      <c r="E16" s="185">
        <v>34189000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21532000</v>
      </c>
      <c r="D17" s="76">
        <f>D15+D16</f>
        <v>23229000</v>
      </c>
      <c r="E17" s="76">
        <f>E15+E16</f>
        <v>204301000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4.383586447276102E-2</v>
      </c>
      <c r="D20" s="189">
        <f>IF(+D27=0,0,+D24/+D27)</f>
        <v>4.2894940802309107E-2</v>
      </c>
      <c r="E20" s="189">
        <f>IF(+E27=0,0,+E24/+E27)</f>
        <v>4.9611607305603149E-2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4.8978113754158843E-3</v>
      </c>
      <c r="D21" s="189">
        <f>IF(+D27=0,0,+D26/+D27)</f>
        <v>8.8395649036534189E-3</v>
      </c>
      <c r="E21" s="189">
        <f>IF(+E27=0,0,+E26/+E27)</f>
        <v>9.97090882578105E-3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4.8733675848176901E-2</v>
      </c>
      <c r="D22" s="189">
        <f>IF(+D27=0,0,+D28/+D27)</f>
        <v>5.1734505705962532E-2</v>
      </c>
      <c r="E22" s="189">
        <f>IF(+E27=0,0,+E28/+E27)</f>
        <v>5.9582516131384197E-2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19368000</v>
      </c>
      <c r="D24" s="76">
        <f>+D15</f>
        <v>19260000</v>
      </c>
      <c r="E24" s="76">
        <f>+E15</f>
        <v>170112000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439666000</v>
      </c>
      <c r="D25" s="76">
        <f>+D13</f>
        <v>445035000</v>
      </c>
      <c r="E25" s="76">
        <f>+E13</f>
        <v>3394686000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2164000</v>
      </c>
      <c r="D26" s="76">
        <f>+D16</f>
        <v>3969000</v>
      </c>
      <c r="E26" s="76">
        <f>+E16</f>
        <v>34189000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441830000</v>
      </c>
      <c r="D27" s="76">
        <f>SUM(D25:D26)</f>
        <v>449004000</v>
      </c>
      <c r="E27" s="76">
        <f>SUM(E25:E26)</f>
        <v>3428875000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21532000</v>
      </c>
      <c r="D28" s="76">
        <f>+D17</f>
        <v>23229000</v>
      </c>
      <c r="E28" s="76">
        <f>+E17</f>
        <v>204301000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72028000</v>
      </c>
      <c r="D31" s="76">
        <v>120290000</v>
      </c>
      <c r="E31" s="76">
        <v>1644056000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120732000</v>
      </c>
      <c r="D32" s="76">
        <v>173111000</v>
      </c>
      <c r="E32" s="76">
        <v>1866624000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4590000</v>
      </c>
      <c r="D33" s="76">
        <f>+D32-C32</f>
        <v>52379000</v>
      </c>
      <c r="E33" s="76">
        <f>+E32-D32</f>
        <v>1693513000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1.0395000000000001</v>
      </c>
      <c r="D34" s="193">
        <f>IF(C32=0,0,+D33/C32)</f>
        <v>0.43384521088029687</v>
      </c>
      <c r="E34" s="193">
        <f>IF(D32=0,0,+E33/D32)</f>
        <v>9.7828156500742303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1.994556198139301</v>
      </c>
      <c r="D38" s="338">
        <f>IF(+D40=0,0,+D39/+D40)</f>
        <v>1.5554526593234375</v>
      </c>
      <c r="E38" s="338">
        <f>IF(+E40=0,0,+E39/+E40)</f>
        <v>2.9653532596725967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158647000</v>
      </c>
      <c r="D39" s="341">
        <v>174682000</v>
      </c>
      <c r="E39" s="341">
        <v>1683007000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79540000</v>
      </c>
      <c r="D40" s="341">
        <v>112303000</v>
      </c>
      <c r="E40" s="341">
        <v>567557000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78.153874995313259</v>
      </c>
      <c r="D42" s="343">
        <f>IF((D48/365)=0,0,+D45/(D48/365))</f>
        <v>86.008272175162631</v>
      </c>
      <c r="E42" s="343">
        <f>IF((E48/365)=0,0,+E45/(E48/365))</f>
        <v>144.66881307910103</v>
      </c>
    </row>
    <row r="43" spans="1:14" ht="24" customHeight="1" x14ac:dyDescent="0.2">
      <c r="A43" s="339">
        <v>5</v>
      </c>
      <c r="B43" s="344" t="s">
        <v>16</v>
      </c>
      <c r="C43" s="345">
        <v>16072000</v>
      </c>
      <c r="D43" s="345">
        <v>30636000</v>
      </c>
      <c r="E43" s="345">
        <v>161059000</v>
      </c>
    </row>
    <row r="44" spans="1:14" ht="24" customHeight="1" x14ac:dyDescent="0.2">
      <c r="A44" s="339">
        <v>6</v>
      </c>
      <c r="B44" s="346" t="s">
        <v>17</v>
      </c>
      <c r="C44" s="345">
        <v>69590000</v>
      </c>
      <c r="D44" s="345">
        <v>64307000</v>
      </c>
      <c r="E44" s="345">
        <v>1040882000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85662000</v>
      </c>
      <c r="D45" s="341">
        <f>+D43+D44</f>
        <v>94943000</v>
      </c>
      <c r="E45" s="341">
        <f>+E43+E44</f>
        <v>1201941000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420298000</v>
      </c>
      <c r="D46" s="341">
        <f>+D14</f>
        <v>425775000</v>
      </c>
      <c r="E46" s="341">
        <f>+E14</f>
        <v>3224574000</v>
      </c>
    </row>
    <row r="47" spans="1:14" ht="24" customHeight="1" x14ac:dyDescent="0.2">
      <c r="A47" s="339">
        <v>9</v>
      </c>
      <c r="B47" s="340" t="s">
        <v>356</v>
      </c>
      <c r="C47" s="341">
        <v>20233000</v>
      </c>
      <c r="D47" s="341">
        <v>22858000</v>
      </c>
      <c r="E47" s="341">
        <v>192072000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400065000</v>
      </c>
      <c r="D48" s="341">
        <f>+D46-D47</f>
        <v>402917000</v>
      </c>
      <c r="E48" s="341">
        <f>+E46-E47</f>
        <v>3032502000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37.299567776784528</v>
      </c>
      <c r="D50" s="350">
        <f>IF((D55/365)=0,0,+D54/(D55/365))</f>
        <v>44.822038693780492</v>
      </c>
      <c r="E50" s="350">
        <f>IF((E55/365)=0,0,+E54/(E55/365))</f>
        <v>40.893377481832246</v>
      </c>
    </row>
    <row r="51" spans="1:5" ht="24" customHeight="1" x14ac:dyDescent="0.2">
      <c r="A51" s="339">
        <v>12</v>
      </c>
      <c r="B51" s="344" t="s">
        <v>359</v>
      </c>
      <c r="C51" s="351">
        <v>42983000</v>
      </c>
      <c r="D51" s="351">
        <v>51432000</v>
      </c>
      <c r="E51" s="351">
        <v>368342000</v>
      </c>
    </row>
    <row r="52" spans="1:5" ht="24" customHeight="1" x14ac:dyDescent="0.2">
      <c r="A52" s="339">
        <v>13</v>
      </c>
      <c r="B52" s="344" t="s">
        <v>21</v>
      </c>
      <c r="C52" s="341">
        <v>11424000</v>
      </c>
      <c r="D52" s="341">
        <v>10552000</v>
      </c>
      <c r="E52" s="341">
        <v>35271000</v>
      </c>
    </row>
    <row r="53" spans="1:5" ht="24" customHeight="1" x14ac:dyDescent="0.2">
      <c r="A53" s="339">
        <v>14</v>
      </c>
      <c r="B53" s="344" t="s">
        <v>49</v>
      </c>
      <c r="C53" s="341">
        <v>11424000</v>
      </c>
      <c r="D53" s="341">
        <v>10552000</v>
      </c>
      <c r="E53" s="341">
        <v>35271000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42983000</v>
      </c>
      <c r="D54" s="352">
        <f>+D51+D52-D53</f>
        <v>51432000</v>
      </c>
      <c r="E54" s="352">
        <f>+E51+E52-E53</f>
        <v>368342000</v>
      </c>
    </row>
    <row r="55" spans="1:5" ht="24" customHeight="1" x14ac:dyDescent="0.2">
      <c r="A55" s="339">
        <v>16</v>
      </c>
      <c r="B55" s="340" t="s">
        <v>75</v>
      </c>
      <c r="C55" s="341">
        <f>+C11</f>
        <v>420616000</v>
      </c>
      <c r="D55" s="341">
        <f>+D11</f>
        <v>418827000</v>
      </c>
      <c r="E55" s="341">
        <f>+E11</f>
        <v>3287692000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72.56845762563583</v>
      </c>
      <c r="D57" s="355">
        <f>IF((D61/365)=0,0,+D58/(D61/365))</f>
        <v>101.73458801688686</v>
      </c>
      <c r="E57" s="355">
        <f>IF((E61/365)=0,0,+E58/(E61/365))</f>
        <v>68.312668878701487</v>
      </c>
    </row>
    <row r="58" spans="1:5" ht="24" customHeight="1" x14ac:dyDescent="0.2">
      <c r="A58" s="339">
        <v>18</v>
      </c>
      <c r="B58" s="340" t="s">
        <v>54</v>
      </c>
      <c r="C58" s="353">
        <f>+C40</f>
        <v>79540000</v>
      </c>
      <c r="D58" s="353">
        <f>+D40</f>
        <v>112303000</v>
      </c>
      <c r="E58" s="353">
        <f>+E40</f>
        <v>567557000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420298000</v>
      </c>
      <c r="D59" s="353">
        <f t="shared" si="0"/>
        <v>425775000</v>
      </c>
      <c r="E59" s="353">
        <f t="shared" si="0"/>
        <v>3224574000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20233000</v>
      </c>
      <c r="D60" s="356">
        <f t="shared" si="0"/>
        <v>22858000</v>
      </c>
      <c r="E60" s="356">
        <f t="shared" si="0"/>
        <v>192072000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400065000</v>
      </c>
      <c r="D61" s="353">
        <f>+D59-D60</f>
        <v>402917000</v>
      </c>
      <c r="E61" s="353">
        <f>+E59-E60</f>
        <v>3032502000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30.74909076090832</v>
      </c>
      <c r="D65" s="357">
        <f>IF(D67=0,0,(D66/D67)*100)</f>
        <v>39.088092775823377</v>
      </c>
      <c r="E65" s="357">
        <f>IF(E67=0,0,(E66/E67)*100)</f>
        <v>44.095108709132646</v>
      </c>
    </row>
    <row r="66" spans="1:5" ht="24" customHeight="1" x14ac:dyDescent="0.2">
      <c r="A66" s="339">
        <v>2</v>
      </c>
      <c r="B66" s="340" t="s">
        <v>67</v>
      </c>
      <c r="C66" s="353">
        <f>+C32</f>
        <v>120732000</v>
      </c>
      <c r="D66" s="353">
        <f>+D32</f>
        <v>173111000</v>
      </c>
      <c r="E66" s="353">
        <f>+E32</f>
        <v>1866624000</v>
      </c>
    </row>
    <row r="67" spans="1:5" ht="24" customHeight="1" x14ac:dyDescent="0.2">
      <c r="A67" s="339">
        <v>3</v>
      </c>
      <c r="B67" s="340" t="s">
        <v>43</v>
      </c>
      <c r="C67" s="353">
        <v>392636000</v>
      </c>
      <c r="D67" s="353">
        <v>442874000</v>
      </c>
      <c r="E67" s="353">
        <v>4233177000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32.892042590725808</v>
      </c>
      <c r="D69" s="357">
        <f>IF(D75=0,0,(D72/D75)*100)</f>
        <v>28.535958639051422</v>
      </c>
      <c r="E69" s="357">
        <f>IF(E75=0,0,(E72/E75)*100)</f>
        <v>25.479312397391212</v>
      </c>
    </row>
    <row r="70" spans="1:5" ht="24" customHeight="1" x14ac:dyDescent="0.2">
      <c r="A70" s="339">
        <v>5</v>
      </c>
      <c r="B70" s="340" t="s">
        <v>366</v>
      </c>
      <c r="C70" s="353">
        <f>+C28</f>
        <v>21532000</v>
      </c>
      <c r="D70" s="353">
        <f>+D28</f>
        <v>23229000</v>
      </c>
      <c r="E70" s="353">
        <f>+E28</f>
        <v>204301000</v>
      </c>
    </row>
    <row r="71" spans="1:5" ht="24" customHeight="1" x14ac:dyDescent="0.2">
      <c r="A71" s="339">
        <v>6</v>
      </c>
      <c r="B71" s="340" t="s">
        <v>356</v>
      </c>
      <c r="C71" s="356">
        <f>+C47</f>
        <v>20233000</v>
      </c>
      <c r="D71" s="356">
        <f>+D47</f>
        <v>22858000</v>
      </c>
      <c r="E71" s="356">
        <f>+E47</f>
        <v>192072000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41765000</v>
      </c>
      <c r="D72" s="353">
        <f>+D70+D71</f>
        <v>46087000</v>
      </c>
      <c r="E72" s="353">
        <f>+E70+E71</f>
        <v>396373000</v>
      </c>
    </row>
    <row r="73" spans="1:5" ht="24" customHeight="1" x14ac:dyDescent="0.2">
      <c r="A73" s="339">
        <v>8</v>
      </c>
      <c r="B73" s="340" t="s">
        <v>54</v>
      </c>
      <c r="C73" s="341">
        <f>+C40</f>
        <v>79540000</v>
      </c>
      <c r="D73" s="341">
        <f>+D40</f>
        <v>112303000</v>
      </c>
      <c r="E73" s="341">
        <f>+E40</f>
        <v>567557000</v>
      </c>
    </row>
    <row r="74" spans="1:5" ht="24" customHeight="1" x14ac:dyDescent="0.2">
      <c r="A74" s="339">
        <v>9</v>
      </c>
      <c r="B74" s="340" t="s">
        <v>58</v>
      </c>
      <c r="C74" s="353">
        <v>47436000</v>
      </c>
      <c r="D74" s="353">
        <v>49202000</v>
      </c>
      <c r="E74" s="353">
        <v>988109000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126976000</v>
      </c>
      <c r="D75" s="341">
        <f>+D73+D74</f>
        <v>161505000</v>
      </c>
      <c r="E75" s="341">
        <f>+E73+E74</f>
        <v>1555666000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28.207506778935347</v>
      </c>
      <c r="D77" s="359">
        <f>IF(D80=0,0,(D78/D80)*100)</f>
        <v>22.131859135543131</v>
      </c>
      <c r="E77" s="359">
        <f>IF(E80=0,0,(E78/E80)*100)</f>
        <v>34.61300934273013</v>
      </c>
    </row>
    <row r="78" spans="1:5" ht="24" customHeight="1" x14ac:dyDescent="0.2">
      <c r="A78" s="339">
        <v>12</v>
      </c>
      <c r="B78" s="340" t="s">
        <v>58</v>
      </c>
      <c r="C78" s="341">
        <f>+C74</f>
        <v>47436000</v>
      </c>
      <c r="D78" s="341">
        <f>+D74</f>
        <v>49202000</v>
      </c>
      <c r="E78" s="341">
        <f>+E74</f>
        <v>988109000</v>
      </c>
    </row>
    <row r="79" spans="1:5" ht="24" customHeight="1" x14ac:dyDescent="0.2">
      <c r="A79" s="339">
        <v>13</v>
      </c>
      <c r="B79" s="340" t="s">
        <v>67</v>
      </c>
      <c r="C79" s="341">
        <f>+C32</f>
        <v>120732000</v>
      </c>
      <c r="D79" s="341">
        <f>+D32</f>
        <v>173111000</v>
      </c>
      <c r="E79" s="341">
        <f>+E32</f>
        <v>1866624000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168168000</v>
      </c>
      <c r="D80" s="341">
        <f>+D78+D79</f>
        <v>222313000</v>
      </c>
      <c r="E80" s="341">
        <f>+E78+E79</f>
        <v>2854733000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FILING&amp;R&amp;8YALE NEW HAVEN HEALTH SERVICES CORPORATION, INC. (YNHHSC)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68584</v>
      </c>
      <c r="D11" s="376">
        <v>12891</v>
      </c>
      <c r="E11" s="376">
        <v>13032</v>
      </c>
      <c r="F11" s="377">
        <v>188</v>
      </c>
      <c r="G11" s="377">
        <v>233</v>
      </c>
      <c r="H11" s="378">
        <f>IF(F11=0,0,$C11/(F11*365))</f>
        <v>0.99947537161177502</v>
      </c>
      <c r="I11" s="378">
        <f>IF(G11=0,0,$C11/(G11*365))</f>
        <v>0.80644364748074548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8478</v>
      </c>
      <c r="D13" s="376">
        <v>386</v>
      </c>
      <c r="E13" s="376">
        <v>0</v>
      </c>
      <c r="F13" s="377">
        <v>24</v>
      </c>
      <c r="G13" s="377">
        <v>32</v>
      </c>
      <c r="H13" s="378">
        <f>IF(F13=0,0,$C13/(F13*365))</f>
        <v>0.96780821917808224</v>
      </c>
      <c r="I13" s="378">
        <f>IF(G13=0,0,$C13/(G13*365))</f>
        <v>0.7258561643835616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5801</v>
      </c>
      <c r="D16" s="376">
        <v>294</v>
      </c>
      <c r="E16" s="376">
        <v>215</v>
      </c>
      <c r="F16" s="377">
        <v>16</v>
      </c>
      <c r="G16" s="377">
        <v>19</v>
      </c>
      <c r="H16" s="378">
        <f t="shared" si="0"/>
        <v>0.99332191780821921</v>
      </c>
      <c r="I16" s="378">
        <f t="shared" si="0"/>
        <v>0.83648161499639506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5801</v>
      </c>
      <c r="D17" s="381">
        <f>SUM(D15:D16)</f>
        <v>294</v>
      </c>
      <c r="E17" s="381">
        <f>SUM(E15:E16)</f>
        <v>215</v>
      </c>
      <c r="F17" s="381">
        <f>SUM(F15:F16)</f>
        <v>16</v>
      </c>
      <c r="G17" s="381">
        <f>SUM(G15:G16)</f>
        <v>19</v>
      </c>
      <c r="H17" s="382">
        <f t="shared" si="0"/>
        <v>0.99332191780821921</v>
      </c>
      <c r="I17" s="382">
        <f t="shared" si="0"/>
        <v>0.83648161499639506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5221</v>
      </c>
      <c r="D19" s="376">
        <v>353</v>
      </c>
      <c r="E19" s="376">
        <v>375</v>
      </c>
      <c r="F19" s="377">
        <v>15</v>
      </c>
      <c r="G19" s="377">
        <v>18</v>
      </c>
      <c r="H19" s="378">
        <f>IF(F19=0,0,$C19/(F19*365))</f>
        <v>0.95360730593607301</v>
      </c>
      <c r="I19" s="378">
        <f>IF(G19=0,0,$C19/(G19*365))</f>
        <v>0.79467275494672751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8108</v>
      </c>
      <c r="D21" s="376">
        <v>2776</v>
      </c>
      <c r="E21" s="376">
        <v>2517</v>
      </c>
      <c r="F21" s="377">
        <v>23</v>
      </c>
      <c r="G21" s="377">
        <v>42</v>
      </c>
      <c r="H21" s="378">
        <f>IF(F21=0,0,$C21/(F21*365))</f>
        <v>0.96581298391899939</v>
      </c>
      <c r="I21" s="378">
        <f>IF(G21=0,0,$C21/(G21*365))</f>
        <v>0.52889758643183304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5043</v>
      </c>
      <c r="D23" s="376">
        <v>1893</v>
      </c>
      <c r="E23" s="376">
        <v>1951</v>
      </c>
      <c r="F23" s="377">
        <v>14</v>
      </c>
      <c r="G23" s="377">
        <v>24</v>
      </c>
      <c r="H23" s="378">
        <f>IF(F23=0,0,$C23/(F23*365))</f>
        <v>0.98688845401174163</v>
      </c>
      <c r="I23" s="378">
        <f>IF(G23=0,0,$C23/(G23*365))</f>
        <v>0.5756849315068493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96192</v>
      </c>
      <c r="D31" s="384">
        <f>SUM(D10:D29)-D13-D17-D23</f>
        <v>16314</v>
      </c>
      <c r="E31" s="384">
        <f>SUM(E10:E29)-E17-E23</f>
        <v>16139</v>
      </c>
      <c r="F31" s="384">
        <f>SUM(F10:F29)-F17-F23</f>
        <v>266</v>
      </c>
      <c r="G31" s="384">
        <f>SUM(G10:G29)-G17-G23</f>
        <v>344</v>
      </c>
      <c r="H31" s="385">
        <f>IF(F31=0,0,$C31/(F31*365))</f>
        <v>0.9907508497270574</v>
      </c>
      <c r="I31" s="385">
        <f>IF(G31=0,0,$C31/(G31*365))</f>
        <v>0.766103854730806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101235</v>
      </c>
      <c r="D33" s="384">
        <f>SUM(D10:D29)-D13-D17</f>
        <v>18207</v>
      </c>
      <c r="E33" s="384">
        <f>SUM(E10:E29)-E17</f>
        <v>18090</v>
      </c>
      <c r="F33" s="384">
        <f>SUM(F10:F29)-F17</f>
        <v>280</v>
      </c>
      <c r="G33" s="384">
        <f>SUM(G10:G29)-G17</f>
        <v>368</v>
      </c>
      <c r="H33" s="385">
        <f>IF(F33=0,0,$C33/(F33*365))</f>
        <v>0.99055772994129154</v>
      </c>
      <c r="I33" s="385">
        <f>IF(G33=0,0,$C33/(G33*365))</f>
        <v>0.75368522930315662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101235</v>
      </c>
      <c r="D36" s="384">
        <f t="shared" si="1"/>
        <v>18207</v>
      </c>
      <c r="E36" s="384">
        <f t="shared" si="1"/>
        <v>18090</v>
      </c>
      <c r="F36" s="384">
        <f t="shared" si="1"/>
        <v>280</v>
      </c>
      <c r="G36" s="384">
        <f t="shared" si="1"/>
        <v>368</v>
      </c>
      <c r="H36" s="387">
        <f t="shared" si="1"/>
        <v>0.99055772994129154</v>
      </c>
      <c r="I36" s="387">
        <f t="shared" si="1"/>
        <v>0.75368522930315662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97440</v>
      </c>
      <c r="D37" s="384">
        <v>18453</v>
      </c>
      <c r="E37" s="384">
        <v>18111</v>
      </c>
      <c r="F37" s="386">
        <v>271</v>
      </c>
      <c r="G37" s="386">
        <v>333</v>
      </c>
      <c r="H37" s="385">
        <f>IF(F37=0,0,$C37/(F37*365))</f>
        <v>0.98508820704645406</v>
      </c>
      <c r="I37" s="385">
        <f>IF(G37=0,0,$C37/(G37*365))</f>
        <v>0.80167839071948666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3795</v>
      </c>
      <c r="D38" s="384">
        <f t="shared" si="2"/>
        <v>-246</v>
      </c>
      <c r="E38" s="384">
        <f t="shared" si="2"/>
        <v>-21</v>
      </c>
      <c r="F38" s="384">
        <f t="shared" si="2"/>
        <v>9</v>
      </c>
      <c r="G38" s="384">
        <f t="shared" si="2"/>
        <v>35</v>
      </c>
      <c r="H38" s="387">
        <f t="shared" si="2"/>
        <v>5.4695228948374863E-3</v>
      </c>
      <c r="I38" s="387">
        <f t="shared" si="2"/>
        <v>-4.7993161416330032E-2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3.8947044334975367E-2</v>
      </c>
      <c r="D40" s="389">
        <f t="shared" si="3"/>
        <v>-1.3331165664119656E-2</v>
      </c>
      <c r="E40" s="389">
        <f t="shared" si="3"/>
        <v>-1.1595163160510187E-3</v>
      </c>
      <c r="F40" s="389">
        <f t="shared" si="3"/>
        <v>3.3210332103321034E-2</v>
      </c>
      <c r="G40" s="389">
        <f t="shared" si="3"/>
        <v>0.10510510510510511</v>
      </c>
      <c r="H40" s="389">
        <f t="shared" si="3"/>
        <v>5.552317909922516E-3</v>
      </c>
      <c r="I40" s="389">
        <f t="shared" si="3"/>
        <v>-5.9865853903405514E-2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383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FILING&amp;RBRIDGEPORT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4307</v>
      </c>
      <c r="D12" s="409">
        <v>10054</v>
      </c>
      <c r="E12" s="409">
        <f>+D12-C12</f>
        <v>5747</v>
      </c>
      <c r="F12" s="410">
        <f>IF(C12=0,0,+E12/C12)</f>
        <v>1.3343394474111911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1654</v>
      </c>
      <c r="D13" s="409">
        <v>7900</v>
      </c>
      <c r="E13" s="409">
        <f>+D13-C13</f>
        <v>6246</v>
      </c>
      <c r="F13" s="410">
        <f>IF(C13=0,0,+E13/C13)</f>
        <v>3.7762998790810158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13076</v>
      </c>
      <c r="D14" s="409">
        <v>8849</v>
      </c>
      <c r="E14" s="409">
        <f>+D14-C14</f>
        <v>-4227</v>
      </c>
      <c r="F14" s="410">
        <f>IF(C14=0,0,+E14/C14)</f>
        <v>-0.32326399510553688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19037</v>
      </c>
      <c r="D16" s="401">
        <f>SUM(D12:D15)</f>
        <v>26803</v>
      </c>
      <c r="E16" s="401">
        <f>+D16-C16</f>
        <v>7766</v>
      </c>
      <c r="F16" s="402">
        <f>IF(C16=0,0,+E16/C16)</f>
        <v>0.40794242790355623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1282</v>
      </c>
      <c r="D19" s="409">
        <v>1412</v>
      </c>
      <c r="E19" s="409">
        <f>+D19-C19</f>
        <v>130</v>
      </c>
      <c r="F19" s="410">
        <f>IF(C19=0,0,+E19/C19)</f>
        <v>0.10140405616224649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1884</v>
      </c>
      <c r="D20" s="409">
        <v>3299</v>
      </c>
      <c r="E20" s="409">
        <f>+D20-C20</f>
        <v>1415</v>
      </c>
      <c r="F20" s="410">
        <f>IF(C20=0,0,+E20/C20)</f>
        <v>0.75106157112526539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513</v>
      </c>
      <c r="D21" s="409">
        <v>292</v>
      </c>
      <c r="E21" s="409">
        <f>+D21-C21</f>
        <v>-221</v>
      </c>
      <c r="F21" s="410">
        <f>IF(C21=0,0,+E21/C21)</f>
        <v>-0.43079922027290446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3679</v>
      </c>
      <c r="D23" s="401">
        <f>SUM(D19:D22)</f>
        <v>5003</v>
      </c>
      <c r="E23" s="401">
        <f>+D23-C23</f>
        <v>1324</v>
      </c>
      <c r="F23" s="402">
        <f>IF(C23=0,0,+E23/C23)</f>
        <v>0.35988040228322915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264</v>
      </c>
      <c r="D34" s="409">
        <v>313</v>
      </c>
      <c r="E34" s="409">
        <f>+D34-C34</f>
        <v>49</v>
      </c>
      <c r="F34" s="410">
        <f>IF(C34=0,0,+E34/C34)</f>
        <v>0.18560606060606061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1</v>
      </c>
      <c r="E35" s="409">
        <f>+D35-C35</f>
        <v>1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264</v>
      </c>
      <c r="D37" s="401">
        <f>SUM(D33:D36)</f>
        <v>314</v>
      </c>
      <c r="E37" s="401">
        <f>+D37-C37</f>
        <v>50</v>
      </c>
      <c r="F37" s="402">
        <f>IF(C37=0,0,+E37/C37)</f>
        <v>0.18939393939393939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174</v>
      </c>
      <c r="D43" s="409">
        <v>189</v>
      </c>
      <c r="E43" s="409">
        <f>+D43-C43</f>
        <v>15</v>
      </c>
      <c r="F43" s="410">
        <f>IF(C43=0,0,+E43/C43)</f>
        <v>8.6206896551724144E-2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9150</v>
      </c>
      <c r="D44" s="409">
        <v>11004</v>
      </c>
      <c r="E44" s="409">
        <f>+D44-C44</f>
        <v>1854</v>
      </c>
      <c r="F44" s="410">
        <f>IF(C44=0,0,+E44/C44)</f>
        <v>0.20262295081967213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9324</v>
      </c>
      <c r="D45" s="401">
        <f>SUM(D43:D44)</f>
        <v>11193</v>
      </c>
      <c r="E45" s="401">
        <f>+D45-C45</f>
        <v>1869</v>
      </c>
      <c r="F45" s="402">
        <f>IF(C45=0,0,+E45/C45)</f>
        <v>0.20045045045045046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398</v>
      </c>
      <c r="D48" s="409">
        <v>390</v>
      </c>
      <c r="E48" s="409">
        <f>+D48-C48</f>
        <v>-8</v>
      </c>
      <c r="F48" s="410">
        <f>IF(C48=0,0,+E48/C48)</f>
        <v>-2.0100502512562814E-2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397</v>
      </c>
      <c r="D49" s="409">
        <v>292</v>
      </c>
      <c r="E49" s="409">
        <f>+D49-C49</f>
        <v>-105</v>
      </c>
      <c r="F49" s="410">
        <f>IF(C49=0,0,+E49/C49)</f>
        <v>-0.26448362720403024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795</v>
      </c>
      <c r="D50" s="401">
        <f>SUM(D48:D49)</f>
        <v>682</v>
      </c>
      <c r="E50" s="401">
        <f>+D50-C50</f>
        <v>-113</v>
      </c>
      <c r="F50" s="402">
        <f>IF(C50=0,0,+E50/C50)</f>
        <v>-0.14213836477987421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174</v>
      </c>
      <c r="D53" s="409">
        <v>169</v>
      </c>
      <c r="E53" s="409">
        <f>+D53-C53</f>
        <v>-5</v>
      </c>
      <c r="F53" s="410">
        <f>IF(C53=0,0,+E53/C53)</f>
        <v>-2.8735632183908046E-2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215</v>
      </c>
      <c r="D54" s="409">
        <v>228</v>
      </c>
      <c r="E54" s="409">
        <f>+D54-C54</f>
        <v>13</v>
      </c>
      <c r="F54" s="410">
        <f>IF(C54=0,0,+E54/C54)</f>
        <v>6.0465116279069767E-2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389</v>
      </c>
      <c r="D55" s="401">
        <f>SUM(D53:D54)</f>
        <v>397</v>
      </c>
      <c r="E55" s="401">
        <f>+D55-C55</f>
        <v>8</v>
      </c>
      <c r="F55" s="402">
        <f>IF(C55=0,0,+E55/C55)</f>
        <v>2.056555269922879E-2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130</v>
      </c>
      <c r="D58" s="409">
        <v>128</v>
      </c>
      <c r="E58" s="409">
        <f>+D58-C58</f>
        <v>-2</v>
      </c>
      <c r="F58" s="410">
        <f>IF(C58=0,0,+E58/C58)</f>
        <v>-1.5384615384615385E-2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383</v>
      </c>
      <c r="D59" s="409">
        <v>262</v>
      </c>
      <c r="E59" s="409">
        <f>+D59-C59</f>
        <v>-121</v>
      </c>
      <c r="F59" s="410">
        <f>IF(C59=0,0,+E59/C59)</f>
        <v>-0.31592689295039167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513</v>
      </c>
      <c r="D60" s="401">
        <f>SUM(D58:D59)</f>
        <v>390</v>
      </c>
      <c r="E60" s="401">
        <f>SUM(E58:E59)</f>
        <v>-123</v>
      </c>
      <c r="F60" s="402">
        <f>IF(C60=0,0,+E60/C60)</f>
        <v>-0.23976608187134502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3947</v>
      </c>
      <c r="D63" s="409">
        <v>4079</v>
      </c>
      <c r="E63" s="409">
        <f>+D63-C63</f>
        <v>132</v>
      </c>
      <c r="F63" s="410">
        <f>IF(C63=0,0,+E63/C63)</f>
        <v>3.3443121357993412E-2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8087</v>
      </c>
      <c r="D64" s="409">
        <v>9494</v>
      </c>
      <c r="E64" s="409">
        <f>+D64-C64</f>
        <v>1407</v>
      </c>
      <c r="F64" s="410">
        <f>IF(C64=0,0,+E64/C64)</f>
        <v>0.17398293557561517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12034</v>
      </c>
      <c r="D65" s="401">
        <f>SUM(D63:D64)</f>
        <v>13573</v>
      </c>
      <c r="E65" s="401">
        <f>+D65-C65</f>
        <v>1539</v>
      </c>
      <c r="F65" s="402">
        <f>IF(C65=0,0,+E65/C65)</f>
        <v>0.12788765165364799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1159</v>
      </c>
      <c r="D68" s="409">
        <v>300</v>
      </c>
      <c r="E68" s="409">
        <f>+D68-C68</f>
        <v>-859</v>
      </c>
      <c r="F68" s="410">
        <f>IF(C68=0,0,+E68/C68)</f>
        <v>-0.74115616911130289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5400</v>
      </c>
      <c r="D69" s="409">
        <v>4278</v>
      </c>
      <c r="E69" s="409">
        <f>+D69-C69</f>
        <v>-1122</v>
      </c>
      <c r="F69" s="412">
        <f>IF(C69=0,0,+E69/C69)</f>
        <v>-0.20777777777777778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6559</v>
      </c>
      <c r="D70" s="401">
        <f>SUM(D68:D69)</f>
        <v>4578</v>
      </c>
      <c r="E70" s="401">
        <f>+D70-C70</f>
        <v>-1981</v>
      </c>
      <c r="F70" s="402">
        <f>IF(C70=0,0,+E70/C70)</f>
        <v>-0.30202774813233724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10835</v>
      </c>
      <c r="D73" s="376">
        <v>13334</v>
      </c>
      <c r="E73" s="409">
        <f>+D73-C73</f>
        <v>2499</v>
      </c>
      <c r="F73" s="410">
        <f>IF(C73=0,0,+E73/C73)</f>
        <v>0.2306414397784956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66060</v>
      </c>
      <c r="D74" s="376">
        <v>73906</v>
      </c>
      <c r="E74" s="409">
        <f>+D74-C74</f>
        <v>7846</v>
      </c>
      <c r="F74" s="410">
        <f>IF(C74=0,0,+E74/C74)</f>
        <v>0.11877081441114139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76895</v>
      </c>
      <c r="D75" s="401">
        <f>SUM(D73:D74)</f>
        <v>87240</v>
      </c>
      <c r="E75" s="401">
        <f>SUM(E73:E74)</f>
        <v>10345</v>
      </c>
      <c r="F75" s="402">
        <f>IF(C75=0,0,+E75/C75)</f>
        <v>0.13453410494830614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17349</v>
      </c>
      <c r="D86" s="376">
        <v>18911</v>
      </c>
      <c r="E86" s="409">
        <f t="shared" si="0"/>
        <v>1562</v>
      </c>
      <c r="F86" s="410">
        <f t="shared" si="1"/>
        <v>9.0034007723788112E-2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7943</v>
      </c>
      <c r="D90" s="376">
        <v>7845</v>
      </c>
      <c r="E90" s="409">
        <f t="shared" si="0"/>
        <v>-98</v>
      </c>
      <c r="F90" s="410">
        <f t="shared" si="1"/>
        <v>-1.2337907591590079E-2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4213</v>
      </c>
      <c r="D91" s="376">
        <v>2424</v>
      </c>
      <c r="E91" s="409">
        <f t="shared" si="0"/>
        <v>-1789</v>
      </c>
      <c r="F91" s="410">
        <f t="shared" si="1"/>
        <v>-0.42463802516021837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29505</v>
      </c>
      <c r="D92" s="381">
        <f>SUM(D79:D91)</f>
        <v>29180</v>
      </c>
      <c r="E92" s="401">
        <f t="shared" si="0"/>
        <v>-325</v>
      </c>
      <c r="F92" s="402">
        <f t="shared" si="1"/>
        <v>-1.1015082189459414E-2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11557</v>
      </c>
      <c r="D95" s="414">
        <v>102417</v>
      </c>
      <c r="E95" s="415">
        <f t="shared" ref="E95:E100" si="2">+D95-C95</f>
        <v>90860</v>
      </c>
      <c r="F95" s="412">
        <f t="shared" ref="F95:F100" si="3">IF(C95=0,0,+E95/C95)</f>
        <v>7.8619018776499088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3676</v>
      </c>
      <c r="D96" s="414">
        <v>3172</v>
      </c>
      <c r="E96" s="409">
        <f t="shared" si="2"/>
        <v>-504</v>
      </c>
      <c r="F96" s="410">
        <f t="shared" si="3"/>
        <v>-0.13710554951033732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1002</v>
      </c>
      <c r="D97" s="414">
        <v>2610</v>
      </c>
      <c r="E97" s="409">
        <f t="shared" si="2"/>
        <v>1608</v>
      </c>
      <c r="F97" s="410">
        <f t="shared" si="3"/>
        <v>1.6047904191616766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5400</v>
      </c>
      <c r="D98" s="414">
        <v>6862</v>
      </c>
      <c r="E98" s="409">
        <f t="shared" si="2"/>
        <v>1462</v>
      </c>
      <c r="F98" s="410">
        <f t="shared" si="3"/>
        <v>0.27074074074074073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120800</v>
      </c>
      <c r="D99" s="414">
        <v>49597</v>
      </c>
      <c r="E99" s="409">
        <f t="shared" si="2"/>
        <v>-71203</v>
      </c>
      <c r="F99" s="410">
        <f t="shared" si="3"/>
        <v>-0.58942880794701991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142435</v>
      </c>
      <c r="D100" s="381">
        <f>SUM(D95:D99)</f>
        <v>164658</v>
      </c>
      <c r="E100" s="401">
        <f t="shared" si="2"/>
        <v>22223</v>
      </c>
      <c r="F100" s="402">
        <f t="shared" si="3"/>
        <v>0.15602204514339874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606.5</v>
      </c>
      <c r="D104" s="416">
        <v>616.4</v>
      </c>
      <c r="E104" s="417">
        <f>+D104-C104</f>
        <v>9.8999999999999773</v>
      </c>
      <c r="F104" s="410">
        <f>IF(C104=0,0,+E104/C104)</f>
        <v>1.6323165704863935E-2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107.2</v>
      </c>
      <c r="D105" s="416">
        <v>117</v>
      </c>
      <c r="E105" s="417">
        <f>+D105-C105</f>
        <v>9.7999999999999972</v>
      </c>
      <c r="F105" s="410">
        <f>IF(C105=0,0,+E105/C105)</f>
        <v>9.1417910447761166E-2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1412.3</v>
      </c>
      <c r="D106" s="416">
        <v>1417.6</v>
      </c>
      <c r="E106" s="417">
        <f>+D106-C106</f>
        <v>5.2999999999999545</v>
      </c>
      <c r="F106" s="410">
        <f>IF(C106=0,0,+E106/C106)</f>
        <v>3.7527437513275893E-3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2126</v>
      </c>
      <c r="D107" s="418">
        <f>SUM(D104:D106)</f>
        <v>2151</v>
      </c>
      <c r="E107" s="418">
        <f>+D107-C107</f>
        <v>25</v>
      </c>
      <c r="F107" s="402">
        <f>IF(C107=0,0,+E107/C107)</f>
        <v>1.1759172154280339E-2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FILING&amp;RBRIDGEPORT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8087</v>
      </c>
      <c r="D12" s="409">
        <v>9494</v>
      </c>
      <c r="E12" s="409">
        <f>+D12-C12</f>
        <v>1407</v>
      </c>
      <c r="F12" s="410">
        <f>IF(C12=0,0,+E12/C12)</f>
        <v>0.17398293557561517</v>
      </c>
    </row>
    <row r="13" spans="1:6" ht="15.75" customHeight="1" x14ac:dyDescent="0.25">
      <c r="A13" s="374"/>
      <c r="B13" s="399" t="s">
        <v>622</v>
      </c>
      <c r="C13" s="401">
        <f>SUM(C11:C12)</f>
        <v>8087</v>
      </c>
      <c r="D13" s="401">
        <f>SUM(D11:D12)</f>
        <v>9494</v>
      </c>
      <c r="E13" s="401">
        <f>+D13-C13</f>
        <v>1407</v>
      </c>
      <c r="F13" s="402">
        <f>IF(C13=0,0,+E13/C13)</f>
        <v>0.17398293557561517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5400</v>
      </c>
      <c r="D16" s="409">
        <v>4278</v>
      </c>
      <c r="E16" s="409">
        <f>+D16-C16</f>
        <v>-1122</v>
      </c>
      <c r="F16" s="410">
        <f>IF(C16=0,0,+E16/C16)</f>
        <v>-0.20777777777777778</v>
      </c>
    </row>
    <row r="17" spans="1:6" ht="15.75" customHeight="1" x14ac:dyDescent="0.25">
      <c r="A17" s="374"/>
      <c r="B17" s="399" t="s">
        <v>623</v>
      </c>
      <c r="C17" s="401">
        <f>SUM(C15:C16)</f>
        <v>5400</v>
      </c>
      <c r="D17" s="401">
        <f>SUM(D15:D16)</f>
        <v>4278</v>
      </c>
      <c r="E17" s="401">
        <f>+D17-C17</f>
        <v>-1122</v>
      </c>
      <c r="F17" s="402">
        <f>IF(C17=0,0,+E17/C17)</f>
        <v>-0.20777777777777778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66060</v>
      </c>
      <c r="D20" s="409">
        <v>73906</v>
      </c>
      <c r="E20" s="409">
        <f>+D20-C20</f>
        <v>7846</v>
      </c>
      <c r="F20" s="410">
        <f>IF(C20=0,0,+E20/C20)</f>
        <v>0.11877081441114139</v>
      </c>
    </row>
    <row r="21" spans="1:6" ht="15.75" customHeight="1" x14ac:dyDescent="0.25">
      <c r="A21" s="374"/>
      <c r="B21" s="399" t="s">
        <v>625</v>
      </c>
      <c r="C21" s="401">
        <f>SUM(C19:C20)</f>
        <v>66060</v>
      </c>
      <c r="D21" s="401">
        <f>SUM(D19:D20)</f>
        <v>73906</v>
      </c>
      <c r="E21" s="401">
        <f>+D21-C21</f>
        <v>7846</v>
      </c>
      <c r="F21" s="402">
        <f>IF(C21=0,0,+E21/C21)</f>
        <v>0.11877081441114139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626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627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628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FILING&amp;RBRIDGEPORT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378190000</v>
      </c>
      <c r="D15" s="448">
        <v>395362847</v>
      </c>
      <c r="E15" s="448">
        <f t="shared" ref="E15:E24" si="0">D15-C15</f>
        <v>17172847</v>
      </c>
      <c r="F15" s="449">
        <f t="shared" ref="F15:F24" si="1">IF(C15=0,0,E15/C15)</f>
        <v>4.5407988048335492E-2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125611818</v>
      </c>
      <c r="D16" s="448">
        <v>122306782</v>
      </c>
      <c r="E16" s="448">
        <f t="shared" si="0"/>
        <v>-3305036</v>
      </c>
      <c r="F16" s="449">
        <f t="shared" si="1"/>
        <v>-2.6311505180189335E-2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0.33213944842539467</v>
      </c>
      <c r="D17" s="453">
        <f>IF(LN_IA1=0,0,LN_IA2/LN_IA1)</f>
        <v>0.30935325088854393</v>
      </c>
      <c r="E17" s="454">
        <f t="shared" si="0"/>
        <v>-2.2786197536850739E-2</v>
      </c>
      <c r="F17" s="449">
        <f t="shared" si="1"/>
        <v>-6.8604309559961787E-2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7117</v>
      </c>
      <c r="D18" s="456">
        <v>6958</v>
      </c>
      <c r="E18" s="456">
        <f t="shared" si="0"/>
        <v>-159</v>
      </c>
      <c r="F18" s="449">
        <f t="shared" si="1"/>
        <v>-2.2340873963748769E-2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1.5920700000000001</v>
      </c>
      <c r="D19" s="459">
        <v>1.59206</v>
      </c>
      <c r="E19" s="460">
        <f t="shared" si="0"/>
        <v>-1.0000000000065512E-5</v>
      </c>
      <c r="F19" s="449">
        <f t="shared" si="1"/>
        <v>-6.2811308548402467E-6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11330.762190000001</v>
      </c>
      <c r="D20" s="463">
        <f>LN_IA4*LN_IA5</f>
        <v>11077.55348</v>
      </c>
      <c r="E20" s="463">
        <f t="shared" si="0"/>
        <v>-253.20871000000079</v>
      </c>
      <c r="F20" s="449">
        <f t="shared" si="1"/>
        <v>-2.234701476865086E-2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11085.910717538411</v>
      </c>
      <c r="D21" s="465">
        <f>IF(LN_IA6=0,0,LN_IA2/LN_IA6)</f>
        <v>11040.956129963093</v>
      </c>
      <c r="E21" s="465">
        <f t="shared" si="0"/>
        <v>-44.954587575317419</v>
      </c>
      <c r="F21" s="449">
        <f t="shared" si="1"/>
        <v>-4.0551100149306841E-3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49215</v>
      </c>
      <c r="D22" s="456">
        <v>50222</v>
      </c>
      <c r="E22" s="456">
        <f t="shared" si="0"/>
        <v>1007</v>
      </c>
      <c r="F22" s="449">
        <f t="shared" si="1"/>
        <v>2.0461241491415219E-2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2552.3075891496496</v>
      </c>
      <c r="D23" s="465">
        <f>IF(LN_IA8=0,0,LN_IA2/LN_IA8)</f>
        <v>2435.3228067380828</v>
      </c>
      <c r="E23" s="465">
        <f t="shared" si="0"/>
        <v>-116.98478241156681</v>
      </c>
      <c r="F23" s="449">
        <f t="shared" si="1"/>
        <v>-4.5834907559297172E-2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6.9151327806660108</v>
      </c>
      <c r="D24" s="466">
        <f>IF(LN_IA4=0,0,LN_IA8/LN_IA4)</f>
        <v>7.217878700776085</v>
      </c>
      <c r="E24" s="466">
        <f t="shared" si="0"/>
        <v>0.30274592011007417</v>
      </c>
      <c r="F24" s="449">
        <f t="shared" si="1"/>
        <v>4.3780203462834462E-2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195430453</v>
      </c>
      <c r="D27" s="448">
        <v>233806171</v>
      </c>
      <c r="E27" s="448">
        <f t="shared" ref="E27:E32" si="2">D27-C27</f>
        <v>38375718</v>
      </c>
      <c r="F27" s="449">
        <f t="shared" ref="F27:F32" si="3">IF(C27=0,0,E27/C27)</f>
        <v>0.19636508748204151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34467369</v>
      </c>
      <c r="D28" s="448">
        <v>37180232</v>
      </c>
      <c r="E28" s="448">
        <f t="shared" si="2"/>
        <v>2712863</v>
      </c>
      <c r="F28" s="449">
        <f t="shared" si="3"/>
        <v>7.8708154370587438E-2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0.17636641818560386</v>
      </c>
      <c r="D29" s="453">
        <f>IF(LN_IA11=0,0,LN_IA12/LN_IA11)</f>
        <v>0.15902160255641842</v>
      </c>
      <c r="E29" s="454">
        <f t="shared" si="2"/>
        <v>-1.7344815629185439E-2</v>
      </c>
      <c r="F29" s="449">
        <f t="shared" si="3"/>
        <v>-9.8345341520357718E-2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0.51675203733573072</v>
      </c>
      <c r="D30" s="453">
        <f>IF(LN_IA1=0,0,LN_IA11/LN_IA1)</f>
        <v>0.591371123448026</v>
      </c>
      <c r="E30" s="454">
        <f t="shared" si="2"/>
        <v>7.4619086112295285E-2</v>
      </c>
      <c r="F30" s="449">
        <f t="shared" si="3"/>
        <v>0.14440017788225132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3677.7242497183956</v>
      </c>
      <c r="D31" s="463">
        <f>LN_IA14*LN_IA4</f>
        <v>4114.7602769513651</v>
      </c>
      <c r="E31" s="463">
        <f t="shared" si="2"/>
        <v>437.03602723296945</v>
      </c>
      <c r="F31" s="449">
        <f t="shared" si="3"/>
        <v>0.11883327774409226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9371.9285785602806</v>
      </c>
      <c r="D32" s="465">
        <f>IF(LN_IA15=0,0,LN_IA12/LN_IA15)</f>
        <v>9035.8197069859234</v>
      </c>
      <c r="E32" s="465">
        <f t="shared" si="2"/>
        <v>-336.10887157435718</v>
      </c>
      <c r="F32" s="449">
        <f t="shared" si="3"/>
        <v>-3.5863362461303602E-2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573620453</v>
      </c>
      <c r="D35" s="448">
        <f>LN_IA1+LN_IA11</f>
        <v>629169018</v>
      </c>
      <c r="E35" s="448">
        <f>D35-C35</f>
        <v>55548565</v>
      </c>
      <c r="F35" s="449">
        <f>IF(C35=0,0,E35/C35)</f>
        <v>9.6838536194942829E-2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160079187</v>
      </c>
      <c r="D36" s="448">
        <f>LN_IA2+LN_IA12</f>
        <v>159487014</v>
      </c>
      <c r="E36" s="448">
        <f>D36-C36</f>
        <v>-592173</v>
      </c>
      <c r="F36" s="449">
        <f>IF(C36=0,0,E36/C36)</f>
        <v>-3.6992504216054019E-3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413541266</v>
      </c>
      <c r="D37" s="448">
        <f>LN_IA17-LN_IA18</f>
        <v>469682004</v>
      </c>
      <c r="E37" s="448">
        <f>D37-C37</f>
        <v>56140738</v>
      </c>
      <c r="F37" s="449">
        <f>IF(C37=0,0,E37/C37)</f>
        <v>0.13575607228517794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213641687</v>
      </c>
      <c r="D42" s="448">
        <v>203888134</v>
      </c>
      <c r="E42" s="448">
        <f t="shared" ref="E42:E53" si="4">D42-C42</f>
        <v>-9753553</v>
      </c>
      <c r="F42" s="449">
        <f t="shared" ref="F42:F53" si="5">IF(C42=0,0,E42/C42)</f>
        <v>-4.5653791340825728E-2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93881151</v>
      </c>
      <c r="D43" s="448">
        <v>85266636</v>
      </c>
      <c r="E43" s="448">
        <f t="shared" si="4"/>
        <v>-8614515</v>
      </c>
      <c r="F43" s="449">
        <f t="shared" si="5"/>
        <v>-9.175979318787858E-2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0.43943273580310194</v>
      </c>
      <c r="D44" s="453">
        <f>IF(LN_IB1=0,0,LN_IB2/LN_IB1)</f>
        <v>0.4182030328454524</v>
      </c>
      <c r="E44" s="454">
        <f t="shared" si="4"/>
        <v>-2.1229702957649532E-2</v>
      </c>
      <c r="F44" s="449">
        <f t="shared" si="5"/>
        <v>-4.8311610009778592E-2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5525</v>
      </c>
      <c r="D45" s="456">
        <v>5161</v>
      </c>
      <c r="E45" s="456">
        <f t="shared" si="4"/>
        <v>-364</v>
      </c>
      <c r="F45" s="449">
        <f t="shared" si="5"/>
        <v>-6.5882352941176475E-2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1.2422</v>
      </c>
      <c r="D46" s="459">
        <v>1.2794000000000001</v>
      </c>
      <c r="E46" s="460">
        <f t="shared" si="4"/>
        <v>3.7200000000000122E-2</v>
      </c>
      <c r="F46" s="449">
        <f t="shared" si="5"/>
        <v>2.9946868459185417E-2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6863.1549999999997</v>
      </c>
      <c r="D47" s="463">
        <f>LN_IB4*LN_IB5</f>
        <v>6602.9834000000001</v>
      </c>
      <c r="E47" s="463">
        <f t="shared" si="4"/>
        <v>-260.17159999999967</v>
      </c>
      <c r="F47" s="449">
        <f t="shared" si="5"/>
        <v>-3.790845463930214E-2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13679.007832403611</v>
      </c>
      <c r="D48" s="465">
        <f>IF(LN_IB6=0,0,LN_IB2/LN_IB6)</f>
        <v>12913.350047192303</v>
      </c>
      <c r="E48" s="465">
        <f t="shared" si="4"/>
        <v>-765.65778521130778</v>
      </c>
      <c r="F48" s="449">
        <f t="shared" si="5"/>
        <v>-5.5973195906619345E-2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-2593.0971148652006</v>
      </c>
      <c r="D49" s="465">
        <f>LN_IA7-LN_IB7</f>
        <v>-1872.3939172292103</v>
      </c>
      <c r="E49" s="465">
        <f t="shared" si="4"/>
        <v>720.70319763599036</v>
      </c>
      <c r="F49" s="449">
        <f t="shared" si="5"/>
        <v>-0.27793143322881503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-17796827.429372676</v>
      </c>
      <c r="D50" s="479">
        <f>LN_IB8*LN_IB6</f>
        <v>-12363385.95372545</v>
      </c>
      <c r="E50" s="479">
        <f t="shared" si="4"/>
        <v>5433441.475647226</v>
      </c>
      <c r="F50" s="449">
        <f t="shared" si="5"/>
        <v>-0.30530393673872641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21986</v>
      </c>
      <c r="D51" s="456">
        <v>21689</v>
      </c>
      <c r="E51" s="456">
        <f t="shared" si="4"/>
        <v>-297</v>
      </c>
      <c r="F51" s="449">
        <f t="shared" si="5"/>
        <v>-1.3508596379514237E-2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4270.0423451287179</v>
      </c>
      <c r="D52" s="465">
        <f>IF(LN_IB10=0,0,LN_IB2/LN_IB10)</f>
        <v>3931.3309050670846</v>
      </c>
      <c r="E52" s="465">
        <f t="shared" si="4"/>
        <v>-338.71144006163331</v>
      </c>
      <c r="F52" s="449">
        <f t="shared" si="5"/>
        <v>-7.9322735627677499E-2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3.9793665158371039</v>
      </c>
      <c r="D53" s="466">
        <f>IF(LN_IB4=0,0,LN_IB10/LN_IB4)</f>
        <v>4.2024801395078475</v>
      </c>
      <c r="E53" s="466">
        <f t="shared" si="4"/>
        <v>0.22311362367074361</v>
      </c>
      <c r="F53" s="449">
        <f t="shared" si="5"/>
        <v>5.6067623523190141E-2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302900956</v>
      </c>
      <c r="D56" s="448">
        <v>340964989</v>
      </c>
      <c r="E56" s="448">
        <f t="shared" ref="E56:E63" si="6">D56-C56</f>
        <v>38064033</v>
      </c>
      <c r="F56" s="449">
        <f t="shared" ref="F56:F63" si="7">IF(C56=0,0,E56/C56)</f>
        <v>0.12566494838002426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97825415</v>
      </c>
      <c r="D57" s="448">
        <v>112735268</v>
      </c>
      <c r="E57" s="448">
        <f t="shared" si="6"/>
        <v>14909853</v>
      </c>
      <c r="F57" s="449">
        <f t="shared" si="7"/>
        <v>0.15241287757378796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0.32296172416174218</v>
      </c>
      <c r="D58" s="453">
        <f>IF(LN_IB13=0,0,LN_IB14/LN_IB13)</f>
        <v>0.33063590584662639</v>
      </c>
      <c r="E58" s="454">
        <f t="shared" si="6"/>
        <v>7.674181684884207E-3</v>
      </c>
      <c r="F58" s="449">
        <f t="shared" si="7"/>
        <v>2.3761892232904067E-2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1.4177989335948278</v>
      </c>
      <c r="D59" s="453">
        <f>IF(LN_IB1=0,0,LN_IB13/LN_IB1)</f>
        <v>1.6723140396193925</v>
      </c>
      <c r="E59" s="454">
        <f t="shared" si="6"/>
        <v>0.25451510602456473</v>
      </c>
      <c r="F59" s="449">
        <f t="shared" si="7"/>
        <v>0.17951424563371757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7833.3391081114232</v>
      </c>
      <c r="D60" s="463">
        <f>LN_IB16*LN_IB4</f>
        <v>8630.8127584756839</v>
      </c>
      <c r="E60" s="463">
        <f t="shared" si="6"/>
        <v>797.47365036426072</v>
      </c>
      <c r="F60" s="449">
        <f t="shared" si="7"/>
        <v>0.1018050718037314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12488.341644587015</v>
      </c>
      <c r="D61" s="465">
        <f>IF(LN_IB17=0,0,LN_IB14/LN_IB17)</f>
        <v>13061.952698405028</v>
      </c>
      <c r="E61" s="465">
        <f t="shared" si="6"/>
        <v>573.61105381801281</v>
      </c>
      <c r="F61" s="449">
        <f t="shared" si="7"/>
        <v>4.5931723373906934E-2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-3116.4130660267347</v>
      </c>
      <c r="D62" s="465">
        <f>LN_IA16-LN_IB18</f>
        <v>-4026.1329914191047</v>
      </c>
      <c r="E62" s="465">
        <f t="shared" si="6"/>
        <v>-909.71992539236999</v>
      </c>
      <c r="F62" s="449">
        <f t="shared" si="7"/>
        <v>0.29191249879856773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-24411920.347136647</v>
      </c>
      <c r="D63" s="448">
        <f>LN_IB19*LN_IB17</f>
        <v>-34748799.989659883</v>
      </c>
      <c r="E63" s="448">
        <f t="shared" si="6"/>
        <v>-10336879.642523237</v>
      </c>
      <c r="F63" s="449">
        <f t="shared" si="7"/>
        <v>0.4234357435028942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516542643</v>
      </c>
      <c r="D66" s="448">
        <f>LN_IB1+LN_IB13</f>
        <v>544853123</v>
      </c>
      <c r="E66" s="448">
        <f>D66-C66</f>
        <v>28310480</v>
      </c>
      <c r="F66" s="449">
        <f>IF(C66=0,0,E66/C66)</f>
        <v>5.4807633762000943E-2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191706566</v>
      </c>
      <c r="D67" s="448">
        <f>LN_IB2+LN_IB14</f>
        <v>198001904</v>
      </c>
      <c r="E67" s="448">
        <f>D67-C67</f>
        <v>6295338</v>
      </c>
      <c r="F67" s="449">
        <f>IF(C67=0,0,E67/C67)</f>
        <v>3.2838405753927075E-2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324836077</v>
      </c>
      <c r="D68" s="448">
        <f>LN_IB21-LN_IB22</f>
        <v>346851219</v>
      </c>
      <c r="E68" s="448">
        <f>D68-C68</f>
        <v>22015142</v>
      </c>
      <c r="F68" s="449">
        <f>IF(C68=0,0,E68/C68)</f>
        <v>6.7773081744242347E-2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-42208747.776509322</v>
      </c>
      <c r="D70" s="441">
        <f>LN_IB9+LN_IB20</f>
        <v>-47112185.943385333</v>
      </c>
      <c r="E70" s="448">
        <f>D70-C70</f>
        <v>-4903438.1668760106</v>
      </c>
      <c r="F70" s="449">
        <f>IF(C70=0,0,E70/C70)</f>
        <v>0.11617113572852662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445668953</v>
      </c>
      <c r="D73" s="488">
        <v>485798950</v>
      </c>
      <c r="E73" s="488">
        <f>D73-C73</f>
        <v>40129997</v>
      </c>
      <c r="F73" s="489">
        <f>IF(C73=0,0,E73/C73)</f>
        <v>9.0044407917282049E-2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174346795</v>
      </c>
      <c r="D74" s="488">
        <v>308406459</v>
      </c>
      <c r="E74" s="488">
        <f>D74-C74</f>
        <v>134059664</v>
      </c>
      <c r="F74" s="489">
        <f>IF(C74=0,0,E74/C74)</f>
        <v>0.76892531348224669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271322158</v>
      </c>
      <c r="D76" s="441">
        <f>LN_IB32-LN_IB33</f>
        <v>177392491</v>
      </c>
      <c r="E76" s="488">
        <f>D76-C76</f>
        <v>-93929667</v>
      </c>
      <c r="F76" s="489">
        <f>IF(E76=0,0,E76/C76)</f>
        <v>-0.3461923924399864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0.60879753048447149</v>
      </c>
      <c r="D77" s="453">
        <f>IF(LN_IB32=0,0,LN_IB34/LN_IB32)</f>
        <v>0.36515618446684578</v>
      </c>
      <c r="E77" s="493">
        <f>D77-C77</f>
        <v>-0.24364134601762572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12095054</v>
      </c>
      <c r="D83" s="448">
        <v>8164273</v>
      </c>
      <c r="E83" s="448">
        <f t="shared" ref="E83:E95" si="8">D83-C83</f>
        <v>-3930781</v>
      </c>
      <c r="F83" s="449">
        <f t="shared" ref="F83:F95" si="9">IF(C83=0,0,E83/C83)</f>
        <v>-0.32499077722182967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2401935</v>
      </c>
      <c r="D84" s="448">
        <v>1903873</v>
      </c>
      <c r="E84" s="448">
        <f t="shared" si="8"/>
        <v>-498062</v>
      </c>
      <c r="F84" s="449">
        <f t="shared" si="9"/>
        <v>-0.20735865042143106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0.19858819977157605</v>
      </c>
      <c r="D85" s="453">
        <f>IF(LN_IC1=0,0,LN_IC2/LN_IC1)</f>
        <v>0.23319565624520394</v>
      </c>
      <c r="E85" s="454">
        <f t="shared" si="8"/>
        <v>3.4607456473627896E-2</v>
      </c>
      <c r="F85" s="449">
        <f t="shared" si="9"/>
        <v>0.17426743640072648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301</v>
      </c>
      <c r="D86" s="456">
        <v>215</v>
      </c>
      <c r="E86" s="456">
        <f t="shared" si="8"/>
        <v>-86</v>
      </c>
      <c r="F86" s="449">
        <f t="shared" si="9"/>
        <v>-0.2857142857142857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1.1533199999999999</v>
      </c>
      <c r="D87" s="459">
        <v>1.18129</v>
      </c>
      <c r="E87" s="460">
        <f t="shared" si="8"/>
        <v>2.797000000000005E-2</v>
      </c>
      <c r="F87" s="449">
        <f t="shared" si="9"/>
        <v>2.4251725453473497E-2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347.14931999999999</v>
      </c>
      <c r="D88" s="463">
        <f>LN_IC4*LN_IC5</f>
        <v>253.97735</v>
      </c>
      <c r="E88" s="463">
        <f t="shared" si="8"/>
        <v>-93.171969999999988</v>
      </c>
      <c r="F88" s="449">
        <f t="shared" si="9"/>
        <v>-0.26839162467609035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6919.0255075251198</v>
      </c>
      <c r="D89" s="465">
        <f>IF(LN_IC6=0,0,LN_IC2/LN_IC6)</f>
        <v>7496.231455285284</v>
      </c>
      <c r="E89" s="465">
        <f t="shared" si="8"/>
        <v>577.20594776016424</v>
      </c>
      <c r="F89" s="449">
        <f t="shared" si="9"/>
        <v>8.3423011973636468E-2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6759.9823248784915</v>
      </c>
      <c r="D90" s="465">
        <f>LN_IB7-LN_IC7</f>
        <v>5417.1185919070194</v>
      </c>
      <c r="E90" s="465">
        <f t="shared" si="8"/>
        <v>-1342.863732971472</v>
      </c>
      <c r="F90" s="449">
        <f t="shared" si="9"/>
        <v>-0.19864900060897861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4166.8852100132908</v>
      </c>
      <c r="D91" s="465">
        <f>LN_IA7-LN_IC7</f>
        <v>3544.7246746778092</v>
      </c>
      <c r="E91" s="465">
        <f t="shared" si="8"/>
        <v>-622.16053533548165</v>
      </c>
      <c r="F91" s="449">
        <f t="shared" si="9"/>
        <v>-0.14931069707425351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1446531.3671741711</v>
      </c>
      <c r="D92" s="441">
        <f>LN_IC9*LN_IC6</f>
        <v>900279.77935428207</v>
      </c>
      <c r="E92" s="441">
        <f t="shared" si="8"/>
        <v>-546251.58781988907</v>
      </c>
      <c r="F92" s="449">
        <f t="shared" si="9"/>
        <v>-0.37762858118106546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1191</v>
      </c>
      <c r="D93" s="456">
        <v>881</v>
      </c>
      <c r="E93" s="456">
        <f t="shared" si="8"/>
        <v>-310</v>
      </c>
      <c r="F93" s="449">
        <f t="shared" si="9"/>
        <v>-0.26028547439126787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2016.7380352644836</v>
      </c>
      <c r="D94" s="499">
        <f>IF(LN_IC11=0,0,LN_IC2/LN_IC11)</f>
        <v>2161.0363223609534</v>
      </c>
      <c r="E94" s="499">
        <f t="shared" si="8"/>
        <v>144.29828709646972</v>
      </c>
      <c r="F94" s="449">
        <f t="shared" si="9"/>
        <v>7.1550337512004042E-2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3.9568106312292359</v>
      </c>
      <c r="D95" s="466">
        <f>IF(LN_IC4=0,0,LN_IC11/LN_IC4)</f>
        <v>4.097674418604651</v>
      </c>
      <c r="E95" s="466">
        <f t="shared" si="8"/>
        <v>0.14086378737541505</v>
      </c>
      <c r="F95" s="449">
        <f t="shared" si="9"/>
        <v>3.5600335852224961E-2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40109711</v>
      </c>
      <c r="D98" s="448">
        <v>37791733</v>
      </c>
      <c r="E98" s="448">
        <f t="shared" ref="E98:E106" si="10">D98-C98</f>
        <v>-2317978</v>
      </c>
      <c r="F98" s="449">
        <f t="shared" ref="F98:F106" si="11">IF(C98=0,0,E98/C98)</f>
        <v>-5.7790942447827662E-2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3308858</v>
      </c>
      <c r="D99" s="448">
        <v>11963371</v>
      </c>
      <c r="E99" s="448">
        <f t="shared" si="10"/>
        <v>8654513</v>
      </c>
      <c r="F99" s="449">
        <f t="shared" si="11"/>
        <v>2.6155589027996973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8.2495184270961211E-2</v>
      </c>
      <c r="D100" s="453">
        <f>IF(LN_IC14=0,0,LN_IC15/LN_IC14)</f>
        <v>0.31656052925649109</v>
      </c>
      <c r="E100" s="454">
        <f t="shared" si="10"/>
        <v>0.23406534498552989</v>
      </c>
      <c r="F100" s="449">
        <f t="shared" si="11"/>
        <v>2.8373213182569041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3.3162076829090634</v>
      </c>
      <c r="D101" s="453">
        <f>IF(LN_IC1=0,0,LN_IC14/LN_IC1)</f>
        <v>4.6289158875505514</v>
      </c>
      <c r="E101" s="454">
        <f t="shared" si="10"/>
        <v>1.312708204641488</v>
      </c>
      <c r="F101" s="449">
        <f t="shared" si="11"/>
        <v>0.39584619847751701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998.17851255562812</v>
      </c>
      <c r="D102" s="463">
        <f>LN_IC17*LN_IC4</f>
        <v>995.21691582336859</v>
      </c>
      <c r="E102" s="463">
        <f t="shared" si="10"/>
        <v>-2.9615967322595225</v>
      </c>
      <c r="F102" s="449">
        <f t="shared" si="11"/>
        <v>-2.9670010874878194E-3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3314.8960415190249</v>
      </c>
      <c r="D103" s="465">
        <f>IF(LN_IC18=0,0,LN_IC15/LN_IC18)</f>
        <v>12020.867822672</v>
      </c>
      <c r="E103" s="465">
        <f t="shared" si="10"/>
        <v>8705.9717811529754</v>
      </c>
      <c r="F103" s="449">
        <f t="shared" si="11"/>
        <v>2.6263181928213752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9173.4456030679903</v>
      </c>
      <c r="D104" s="465">
        <f>LN_IB18-LN_IC19</f>
        <v>1041.0848757330277</v>
      </c>
      <c r="E104" s="465">
        <f t="shared" si="10"/>
        <v>-8132.3607273349626</v>
      </c>
      <c r="F104" s="449">
        <f t="shared" si="11"/>
        <v>-0.88651103186518654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6057.0325370412556</v>
      </c>
      <c r="D105" s="465">
        <f>LN_IA16-LN_IC19</f>
        <v>-2985.0481156860769</v>
      </c>
      <c r="E105" s="465">
        <f t="shared" si="10"/>
        <v>-9042.0806527273326</v>
      </c>
      <c r="F105" s="449">
        <f t="shared" si="11"/>
        <v>-1.492823523306384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6045999.7283248827</v>
      </c>
      <c r="D106" s="448">
        <f>LN_IC21*LN_IC18</f>
        <v>-2970770.3792774556</v>
      </c>
      <c r="E106" s="448">
        <f t="shared" si="10"/>
        <v>-9016770.1076023392</v>
      </c>
      <c r="F106" s="449">
        <f t="shared" si="11"/>
        <v>-1.4913613153767944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52204765</v>
      </c>
      <c r="D109" s="448">
        <f>LN_IC1+LN_IC14</f>
        <v>45956006</v>
      </c>
      <c r="E109" s="448">
        <f>D109-C109</f>
        <v>-6248759</v>
      </c>
      <c r="F109" s="449">
        <f>IF(C109=0,0,E109/C109)</f>
        <v>-0.11969710044667378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5710793</v>
      </c>
      <c r="D110" s="448">
        <f>LN_IC2+LN_IC15</f>
        <v>13867244</v>
      </c>
      <c r="E110" s="448">
        <f>D110-C110</f>
        <v>8156451</v>
      </c>
      <c r="F110" s="449">
        <f>IF(C110=0,0,E110/C110)</f>
        <v>1.4282519082726339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46493972</v>
      </c>
      <c r="D111" s="448">
        <f>LN_IC23-LN_IC24</f>
        <v>32088762</v>
      </c>
      <c r="E111" s="448">
        <f>D111-C111</f>
        <v>-14405210</v>
      </c>
      <c r="F111" s="449">
        <f>IF(C111=0,0,E111/C111)</f>
        <v>-0.30982962694604799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7492531.0954990536</v>
      </c>
      <c r="D113" s="448">
        <f>LN_IC10+LN_IC22</f>
        <v>-2070490.5999231734</v>
      </c>
      <c r="E113" s="448">
        <f>D113-C113</f>
        <v>-9563021.6954222266</v>
      </c>
      <c r="F113" s="449">
        <f>IF(C113=0,0,E113/C113)</f>
        <v>-1.276340608204745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198004779</v>
      </c>
      <c r="D118" s="448">
        <v>230209572</v>
      </c>
      <c r="E118" s="448">
        <f t="shared" ref="E118:E130" si="12">D118-C118</f>
        <v>32204793</v>
      </c>
      <c r="F118" s="449">
        <f t="shared" ref="F118:F130" si="13">IF(C118=0,0,E118/C118)</f>
        <v>0.1626465440008395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44541610</v>
      </c>
      <c r="D119" s="448">
        <v>49876097</v>
      </c>
      <c r="E119" s="448">
        <f t="shared" si="12"/>
        <v>5334487</v>
      </c>
      <c r="F119" s="449">
        <f t="shared" si="13"/>
        <v>0.11976412617325687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0.22495219673460506</v>
      </c>
      <c r="D120" s="453">
        <f>IF(LN_ID1=0,0,LN_1D2/LN_ID1)</f>
        <v>0.21665518321714269</v>
      </c>
      <c r="E120" s="454">
        <f t="shared" si="12"/>
        <v>-8.2970135174623705E-3</v>
      </c>
      <c r="F120" s="449">
        <f t="shared" si="13"/>
        <v>-3.6883451852888778E-2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5789</v>
      </c>
      <c r="D121" s="456">
        <v>6057</v>
      </c>
      <c r="E121" s="456">
        <f t="shared" si="12"/>
        <v>268</v>
      </c>
      <c r="F121" s="449">
        <f t="shared" si="13"/>
        <v>4.6294696838832271E-2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1.0349299999999999</v>
      </c>
      <c r="D122" s="459">
        <v>1.0716300000000001</v>
      </c>
      <c r="E122" s="460">
        <f t="shared" si="12"/>
        <v>3.6700000000000177E-2</v>
      </c>
      <c r="F122" s="449">
        <f t="shared" si="13"/>
        <v>3.5461335549264374E-2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5991.2097699999995</v>
      </c>
      <c r="D123" s="463">
        <f>LN_ID4*LN_ID5</f>
        <v>6490.8629100000007</v>
      </c>
      <c r="E123" s="463">
        <f t="shared" si="12"/>
        <v>499.65314000000126</v>
      </c>
      <c r="F123" s="449">
        <f t="shared" si="13"/>
        <v>8.3397704166849981E-2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7434.4934846105389</v>
      </c>
      <c r="D124" s="465">
        <f>IF(LN_ID6=0,0,LN_1D2/LN_ID6)</f>
        <v>7684.0472047498524</v>
      </c>
      <c r="E124" s="465">
        <f t="shared" si="12"/>
        <v>249.55372013931355</v>
      </c>
      <c r="F124" s="449">
        <f t="shared" si="13"/>
        <v>3.3567010403047867E-2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6244.5143477930724</v>
      </c>
      <c r="D125" s="465">
        <f>LN_IB7-LN_ID7</f>
        <v>5229.302842442451</v>
      </c>
      <c r="E125" s="465">
        <f t="shared" si="12"/>
        <v>-1015.2115053506213</v>
      </c>
      <c r="F125" s="449">
        <f t="shared" si="13"/>
        <v>-0.16257653498857216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3651.4172329278717</v>
      </c>
      <c r="D126" s="465">
        <f>LN_IA7-LN_ID7</f>
        <v>3356.9089252132408</v>
      </c>
      <c r="E126" s="465">
        <f t="shared" si="12"/>
        <v>-294.50830771463097</v>
      </c>
      <c r="F126" s="449">
        <f t="shared" si="13"/>
        <v>-8.065589028249201E-2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21876406.60026383</v>
      </c>
      <c r="D127" s="479">
        <f>LN_ID9*LN_ID6</f>
        <v>21789235.634914592</v>
      </c>
      <c r="E127" s="479">
        <f t="shared" si="12"/>
        <v>-87170.965349238366</v>
      </c>
      <c r="F127" s="449">
        <f t="shared" si="13"/>
        <v>-3.9847021927352129E-3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26165</v>
      </c>
      <c r="D128" s="456">
        <v>29184</v>
      </c>
      <c r="E128" s="456">
        <f t="shared" si="12"/>
        <v>3019</v>
      </c>
      <c r="F128" s="449">
        <f t="shared" si="13"/>
        <v>0.11538314542327537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1702.3355627746989</v>
      </c>
      <c r="D129" s="465">
        <f>IF(LN_ID11=0,0,LN_1D2/LN_ID11)</f>
        <v>1709.0219640899122</v>
      </c>
      <c r="E129" s="465">
        <f t="shared" si="12"/>
        <v>6.6864013152132884</v>
      </c>
      <c r="F129" s="449">
        <f t="shared" si="13"/>
        <v>3.9277810212193882E-3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4.5197788910001728</v>
      </c>
      <c r="D130" s="466">
        <f>IF(LN_ID4=0,0,LN_ID11/LN_ID4)</f>
        <v>4.8182268449727585</v>
      </c>
      <c r="E130" s="466">
        <f t="shared" si="12"/>
        <v>0.29844795397258572</v>
      </c>
      <c r="F130" s="449">
        <f t="shared" si="13"/>
        <v>6.6031538526554509E-2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222585424</v>
      </c>
      <c r="D133" s="448">
        <v>286369150</v>
      </c>
      <c r="E133" s="448">
        <f t="shared" ref="E133:E141" si="14">D133-C133</f>
        <v>63783726</v>
      </c>
      <c r="F133" s="449">
        <f t="shared" ref="F133:F141" si="15">IF(C133=0,0,E133/C133)</f>
        <v>0.28655841363628554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33268005</v>
      </c>
      <c r="D134" s="448">
        <v>42640833</v>
      </c>
      <c r="E134" s="448">
        <f t="shared" si="14"/>
        <v>9372828</v>
      </c>
      <c r="F134" s="449">
        <f t="shared" si="15"/>
        <v>0.28173700226388687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0.14946174103475887</v>
      </c>
      <c r="D135" s="453">
        <f>IF(LN_ID14=0,0,LN_ID15/LN_ID14)</f>
        <v>0.14890162924323377</v>
      </c>
      <c r="E135" s="454">
        <f t="shared" si="14"/>
        <v>-5.6011179152509749E-4</v>
      </c>
      <c r="F135" s="449">
        <f t="shared" si="15"/>
        <v>-3.7475262073578932E-3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1.124141675388552</v>
      </c>
      <c r="D136" s="453">
        <f>IF(LN_ID1=0,0,LN_ID14/LN_ID1)</f>
        <v>1.2439497954498608</v>
      </c>
      <c r="E136" s="454">
        <f t="shared" si="14"/>
        <v>0.11980812006130881</v>
      </c>
      <c r="F136" s="449">
        <f t="shared" si="15"/>
        <v>0.10657742051943581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6507.6561588243276</v>
      </c>
      <c r="D137" s="463">
        <f>LN_ID17*LN_ID4</f>
        <v>7534.6039110398069</v>
      </c>
      <c r="E137" s="463">
        <f t="shared" si="14"/>
        <v>1026.9477522154793</v>
      </c>
      <c r="F137" s="449">
        <f t="shared" si="15"/>
        <v>0.1578060867310801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5112.1331840633375</v>
      </c>
      <c r="D138" s="465">
        <f>IF(LN_ID18=0,0,LN_ID15/LN_ID18)</f>
        <v>5659.3330589710304</v>
      </c>
      <c r="E138" s="465">
        <f t="shared" si="14"/>
        <v>547.1998749076929</v>
      </c>
      <c r="F138" s="449">
        <f t="shared" si="15"/>
        <v>0.1070394403286566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7376.2084605236778</v>
      </c>
      <c r="D139" s="465">
        <f>LN_IB18-LN_ID19</f>
        <v>7402.6196394339977</v>
      </c>
      <c r="E139" s="465">
        <f t="shared" si="14"/>
        <v>26.411178910319904</v>
      </c>
      <c r="F139" s="449">
        <f t="shared" si="15"/>
        <v>3.5805900892943079E-3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4259.7953944969431</v>
      </c>
      <c r="D140" s="465">
        <f>LN_IA16-LN_ID19</f>
        <v>3376.486648014893</v>
      </c>
      <c r="E140" s="465">
        <f t="shared" si="14"/>
        <v>-883.30874648205008</v>
      </c>
      <c r="F140" s="449">
        <f t="shared" si="15"/>
        <v>-0.20735943036681076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27721283.734329537</v>
      </c>
      <c r="D141" s="441">
        <f>LN_ID21*LN_ID18</f>
        <v>25440489.503706701</v>
      </c>
      <c r="E141" s="441">
        <f t="shared" si="14"/>
        <v>-2280794.2306228355</v>
      </c>
      <c r="F141" s="449">
        <f t="shared" si="15"/>
        <v>-8.2275923888702931E-2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420590203</v>
      </c>
      <c r="D144" s="448">
        <f>LN_ID1+LN_ID14</f>
        <v>516578722</v>
      </c>
      <c r="E144" s="448">
        <f>D144-C144</f>
        <v>95988519</v>
      </c>
      <c r="F144" s="449">
        <f>IF(C144=0,0,E144/C144)</f>
        <v>0.22822338303491108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77809615</v>
      </c>
      <c r="D145" s="448">
        <f>LN_1D2+LN_ID15</f>
        <v>92516930</v>
      </c>
      <c r="E145" s="448">
        <f>D145-C145</f>
        <v>14707315</v>
      </c>
      <c r="F145" s="449">
        <f>IF(C145=0,0,E145/C145)</f>
        <v>0.18901667872280309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342780588</v>
      </c>
      <c r="D146" s="448">
        <f>LN_ID23-LN_ID24</f>
        <v>424061792</v>
      </c>
      <c r="E146" s="448">
        <f>D146-C146</f>
        <v>81281204</v>
      </c>
      <c r="F146" s="449">
        <f>IF(C146=0,0,E146/C146)</f>
        <v>0.23712312437015831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49597690.334593371</v>
      </c>
      <c r="D148" s="448">
        <f>LN_ID10+LN_ID22</f>
        <v>47229725.138621293</v>
      </c>
      <c r="E148" s="448">
        <f>D148-C148</f>
        <v>-2367965.1959720775</v>
      </c>
      <c r="F148" s="503">
        <f>IF(C148=0,0,E148/C148)</f>
        <v>-4.7743457003691772E-2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13679.007832403611</v>
      </c>
      <c r="D160" s="465">
        <f>LN_IB7-LN_IE7</f>
        <v>12913.350047192303</v>
      </c>
      <c r="E160" s="465">
        <f t="shared" si="16"/>
        <v>-765.65778521130778</v>
      </c>
      <c r="F160" s="449">
        <f t="shared" si="17"/>
        <v>-5.5973195906619345E-2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11085.910717538411</v>
      </c>
      <c r="D161" s="465">
        <f>LN_IA7-LN_IE7</f>
        <v>11040.956129963093</v>
      </c>
      <c r="E161" s="465">
        <f t="shared" si="16"/>
        <v>-44.954587575317419</v>
      </c>
      <c r="F161" s="449">
        <f t="shared" si="17"/>
        <v>-4.0551100149306841E-3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12488.341644587015</v>
      </c>
      <c r="D174" s="465">
        <f>LN_IB18-LN_IE19</f>
        <v>13061.952698405028</v>
      </c>
      <c r="E174" s="465">
        <f t="shared" si="18"/>
        <v>573.61105381801281</v>
      </c>
      <c r="F174" s="449">
        <f t="shared" si="19"/>
        <v>4.5931723373906934E-2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9371.9285785602806</v>
      </c>
      <c r="D175" s="465">
        <f>LN_IA16-LN_IE19</f>
        <v>9035.8197069859234</v>
      </c>
      <c r="E175" s="465">
        <f t="shared" si="18"/>
        <v>-336.10887157435718</v>
      </c>
      <c r="F175" s="449">
        <f t="shared" si="19"/>
        <v>-3.5863362461303602E-2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198004779</v>
      </c>
      <c r="D188" s="448">
        <f>LN_ID1+LN_IE1</f>
        <v>230209572</v>
      </c>
      <c r="E188" s="448">
        <f t="shared" ref="E188:E200" si="20">D188-C188</f>
        <v>32204793</v>
      </c>
      <c r="F188" s="449">
        <f t="shared" ref="F188:F200" si="21">IF(C188=0,0,E188/C188)</f>
        <v>0.1626465440008395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44541610</v>
      </c>
      <c r="D189" s="448">
        <f>LN_1D2+LN_IE2</f>
        <v>49876097</v>
      </c>
      <c r="E189" s="448">
        <f t="shared" si="20"/>
        <v>5334487</v>
      </c>
      <c r="F189" s="449">
        <f t="shared" si="21"/>
        <v>0.11976412617325687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0.22495219673460506</v>
      </c>
      <c r="D190" s="453">
        <f>IF(LN_IF1=0,0,LN_IF2/LN_IF1)</f>
        <v>0.21665518321714269</v>
      </c>
      <c r="E190" s="454">
        <f t="shared" si="20"/>
        <v>-8.2970135174623705E-3</v>
      </c>
      <c r="F190" s="449">
        <f t="shared" si="21"/>
        <v>-3.6883451852888778E-2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5789</v>
      </c>
      <c r="D191" s="456">
        <f>LN_ID4+LN_IE4</f>
        <v>6057</v>
      </c>
      <c r="E191" s="456">
        <f t="shared" si="20"/>
        <v>268</v>
      </c>
      <c r="F191" s="449">
        <f t="shared" si="21"/>
        <v>4.6294696838832271E-2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1.0349299999999999</v>
      </c>
      <c r="D192" s="459">
        <f>IF((LN_ID4+LN_IE4)=0,0,(LN_ID6+LN_IE6)/(LN_ID4+LN_IE4))</f>
        <v>1.0716300000000001</v>
      </c>
      <c r="E192" s="460">
        <f t="shared" si="20"/>
        <v>3.6700000000000177E-2</v>
      </c>
      <c r="F192" s="449">
        <f t="shared" si="21"/>
        <v>3.5461335549264374E-2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5991.2097699999995</v>
      </c>
      <c r="D193" s="463">
        <f>LN_IF4*LN_IF5</f>
        <v>6490.8629100000007</v>
      </c>
      <c r="E193" s="463">
        <f t="shared" si="20"/>
        <v>499.65314000000126</v>
      </c>
      <c r="F193" s="449">
        <f t="shared" si="21"/>
        <v>8.3397704166849981E-2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7434.4934846105389</v>
      </c>
      <c r="D194" s="465">
        <f>IF(LN_IF6=0,0,LN_IF2/LN_IF6)</f>
        <v>7684.0472047498524</v>
      </c>
      <c r="E194" s="465">
        <f t="shared" si="20"/>
        <v>249.55372013931355</v>
      </c>
      <c r="F194" s="449">
        <f t="shared" si="21"/>
        <v>3.3567010403047867E-2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6244.5143477930724</v>
      </c>
      <c r="D195" s="465">
        <f>LN_IB7-LN_IF7</f>
        <v>5229.302842442451</v>
      </c>
      <c r="E195" s="465">
        <f t="shared" si="20"/>
        <v>-1015.2115053506213</v>
      </c>
      <c r="F195" s="449">
        <f t="shared" si="21"/>
        <v>-0.16257653498857216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3651.4172329278717</v>
      </c>
      <c r="D196" s="465">
        <f>LN_IA7-LN_IF7</f>
        <v>3356.9089252132408</v>
      </c>
      <c r="E196" s="465">
        <f t="shared" si="20"/>
        <v>-294.50830771463097</v>
      </c>
      <c r="F196" s="449">
        <f t="shared" si="21"/>
        <v>-8.065589028249201E-2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21876406.60026383</v>
      </c>
      <c r="D197" s="479">
        <f>LN_IF9*LN_IF6</f>
        <v>21789235.634914592</v>
      </c>
      <c r="E197" s="479">
        <f t="shared" si="20"/>
        <v>-87170.965349238366</v>
      </c>
      <c r="F197" s="449">
        <f t="shared" si="21"/>
        <v>-3.9847021927352129E-3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26165</v>
      </c>
      <c r="D198" s="456">
        <f>LN_ID11+LN_IE11</f>
        <v>29184</v>
      </c>
      <c r="E198" s="456">
        <f t="shared" si="20"/>
        <v>3019</v>
      </c>
      <c r="F198" s="449">
        <f t="shared" si="21"/>
        <v>0.11538314542327537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1702.3355627746989</v>
      </c>
      <c r="D199" s="519">
        <f>IF(LN_IF11=0,0,LN_IF2/LN_IF11)</f>
        <v>1709.0219640899122</v>
      </c>
      <c r="E199" s="519">
        <f t="shared" si="20"/>
        <v>6.6864013152132884</v>
      </c>
      <c r="F199" s="449">
        <f t="shared" si="21"/>
        <v>3.9277810212193882E-3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4.5197788910001728</v>
      </c>
      <c r="D200" s="466">
        <f>IF(LN_IF4=0,0,LN_IF11/LN_IF4)</f>
        <v>4.8182268449727585</v>
      </c>
      <c r="E200" s="466">
        <f t="shared" si="20"/>
        <v>0.29844795397258572</v>
      </c>
      <c r="F200" s="449">
        <f t="shared" si="21"/>
        <v>6.6031538526554509E-2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222585424</v>
      </c>
      <c r="D203" s="448">
        <f>LN_ID14+LN_IE14</f>
        <v>286369150</v>
      </c>
      <c r="E203" s="448">
        <f t="shared" ref="E203:E211" si="22">D203-C203</f>
        <v>63783726</v>
      </c>
      <c r="F203" s="449">
        <f t="shared" ref="F203:F211" si="23">IF(C203=0,0,E203/C203)</f>
        <v>0.28655841363628554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33268005</v>
      </c>
      <c r="D204" s="448">
        <f>LN_ID15+LN_IE15</f>
        <v>42640833</v>
      </c>
      <c r="E204" s="448">
        <f t="shared" si="22"/>
        <v>9372828</v>
      </c>
      <c r="F204" s="449">
        <f t="shared" si="23"/>
        <v>0.28173700226388687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0.14946174103475887</v>
      </c>
      <c r="D205" s="453">
        <f>IF(LN_IF14=0,0,LN_IF15/LN_IF14)</f>
        <v>0.14890162924323377</v>
      </c>
      <c r="E205" s="454">
        <f t="shared" si="22"/>
        <v>-5.6011179152509749E-4</v>
      </c>
      <c r="F205" s="449">
        <f t="shared" si="23"/>
        <v>-3.7475262073578932E-3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1.124141675388552</v>
      </c>
      <c r="D206" s="453">
        <f>IF(LN_IF1=0,0,LN_IF14/LN_IF1)</f>
        <v>1.2439497954498608</v>
      </c>
      <c r="E206" s="454">
        <f t="shared" si="22"/>
        <v>0.11980812006130881</v>
      </c>
      <c r="F206" s="449">
        <f t="shared" si="23"/>
        <v>0.10657742051943581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6507.6561588243276</v>
      </c>
      <c r="D207" s="463">
        <f>LN_ID18+LN_IE18</f>
        <v>7534.6039110398069</v>
      </c>
      <c r="E207" s="463">
        <f t="shared" si="22"/>
        <v>1026.9477522154793</v>
      </c>
      <c r="F207" s="449">
        <f t="shared" si="23"/>
        <v>0.1578060867310801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5112.1331840633375</v>
      </c>
      <c r="D208" s="465">
        <f>IF(LN_IF18=0,0,LN_IF15/LN_IF18)</f>
        <v>5659.3330589710304</v>
      </c>
      <c r="E208" s="465">
        <f t="shared" si="22"/>
        <v>547.1998749076929</v>
      </c>
      <c r="F208" s="449">
        <f t="shared" si="23"/>
        <v>0.1070394403286566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7376.2084605236778</v>
      </c>
      <c r="D209" s="465">
        <f>LN_IB18-LN_IF19</f>
        <v>7402.6196394339977</v>
      </c>
      <c r="E209" s="465">
        <f t="shared" si="22"/>
        <v>26.411178910319904</v>
      </c>
      <c r="F209" s="449">
        <f t="shared" si="23"/>
        <v>3.5805900892943079E-3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4259.7953944969431</v>
      </c>
      <c r="D210" s="465">
        <f>LN_IA16-LN_IF19</f>
        <v>3376.486648014893</v>
      </c>
      <c r="E210" s="465">
        <f t="shared" si="22"/>
        <v>-883.30874648205008</v>
      </c>
      <c r="F210" s="449">
        <f t="shared" si="23"/>
        <v>-0.20735943036681076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27721283.734329537</v>
      </c>
      <c r="D211" s="441">
        <f>LN_IF21*LN_IF18</f>
        <v>25440489.503706701</v>
      </c>
      <c r="E211" s="441">
        <f t="shared" si="22"/>
        <v>-2280794.2306228355</v>
      </c>
      <c r="F211" s="449">
        <f t="shared" si="23"/>
        <v>-8.2275923888702931E-2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420590203</v>
      </c>
      <c r="D214" s="448">
        <f>LN_IF1+LN_IF14</f>
        <v>516578722</v>
      </c>
      <c r="E214" s="448">
        <f>D214-C214</f>
        <v>95988519</v>
      </c>
      <c r="F214" s="449">
        <f>IF(C214=0,0,E214/C214)</f>
        <v>0.22822338303491108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77809615</v>
      </c>
      <c r="D215" s="448">
        <f>LN_IF2+LN_IF15</f>
        <v>92516930</v>
      </c>
      <c r="E215" s="448">
        <f>D215-C215</f>
        <v>14707315</v>
      </c>
      <c r="F215" s="449">
        <f>IF(C215=0,0,E215/C215)</f>
        <v>0.18901667872280309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342780588</v>
      </c>
      <c r="D216" s="448">
        <f>LN_IF23-LN_IF24</f>
        <v>424061792</v>
      </c>
      <c r="E216" s="448">
        <f>D216-C216</f>
        <v>81281204</v>
      </c>
      <c r="F216" s="449">
        <f>IF(C216=0,0,E216/C216)</f>
        <v>0.23712312437015831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597583</v>
      </c>
      <c r="D221" s="448">
        <v>1194141</v>
      </c>
      <c r="E221" s="448">
        <f t="shared" ref="E221:E230" si="24">D221-C221</f>
        <v>596558</v>
      </c>
      <c r="F221" s="449">
        <f t="shared" ref="F221:F230" si="25">IF(C221=0,0,E221/C221)</f>
        <v>0.99828475709650377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81673</v>
      </c>
      <c r="D222" s="448">
        <v>184899</v>
      </c>
      <c r="E222" s="448">
        <f t="shared" si="24"/>
        <v>103226</v>
      </c>
      <c r="F222" s="449">
        <f t="shared" si="25"/>
        <v>1.263893820479228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0.13667222795829198</v>
      </c>
      <c r="D223" s="453">
        <f>IF(LN_IG1=0,0,LN_IG2/LN_IG1)</f>
        <v>0.15483849897122701</v>
      </c>
      <c r="E223" s="454">
        <f t="shared" si="24"/>
        <v>1.8166271012935026E-2</v>
      </c>
      <c r="F223" s="449">
        <f t="shared" si="25"/>
        <v>0.1329185254701401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22</v>
      </c>
      <c r="D224" s="456">
        <v>31</v>
      </c>
      <c r="E224" s="456">
        <f t="shared" si="24"/>
        <v>9</v>
      </c>
      <c r="F224" s="449">
        <f t="shared" si="25"/>
        <v>0.40909090909090912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1.2058500000000001</v>
      </c>
      <c r="D225" s="459">
        <v>1.1305099999999999</v>
      </c>
      <c r="E225" s="460">
        <f t="shared" si="24"/>
        <v>-7.5340000000000185E-2</v>
      </c>
      <c r="F225" s="449">
        <f t="shared" si="25"/>
        <v>-6.2478749429862902E-2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26.528700000000001</v>
      </c>
      <c r="D226" s="463">
        <f>LN_IG3*LN_IG4</f>
        <v>35.045809999999996</v>
      </c>
      <c r="E226" s="463">
        <f t="shared" si="24"/>
        <v>8.5171099999999953</v>
      </c>
      <c r="F226" s="449">
        <f t="shared" si="25"/>
        <v>0.32105267125792047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3078.6657469080656</v>
      </c>
      <c r="D227" s="465">
        <f>IF(LN_IG5=0,0,LN_IG2/LN_IG5)</f>
        <v>5275.9231417393412</v>
      </c>
      <c r="E227" s="465">
        <f t="shared" si="24"/>
        <v>2197.2573948312756</v>
      </c>
      <c r="F227" s="449">
        <f t="shared" si="25"/>
        <v>0.71370443414911244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74</v>
      </c>
      <c r="D228" s="456">
        <v>140</v>
      </c>
      <c r="E228" s="456">
        <f t="shared" si="24"/>
        <v>66</v>
      </c>
      <c r="F228" s="449">
        <f t="shared" si="25"/>
        <v>0.89189189189189189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1103.6891891891892</v>
      </c>
      <c r="D229" s="465">
        <f>IF(LN_IG6=0,0,LN_IG2/LN_IG6)</f>
        <v>1320.7071428571428</v>
      </c>
      <c r="E229" s="465">
        <f t="shared" si="24"/>
        <v>217.01795366795363</v>
      </c>
      <c r="F229" s="449">
        <f t="shared" si="25"/>
        <v>0.19662959082473486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3.3636363636363638</v>
      </c>
      <c r="D230" s="466">
        <f>IF(LN_IG3=0,0,LN_IG6/LN_IG3)</f>
        <v>4.5161290322580649</v>
      </c>
      <c r="E230" s="466">
        <f t="shared" si="24"/>
        <v>1.1524926686217012</v>
      </c>
      <c r="F230" s="449">
        <f t="shared" si="25"/>
        <v>0.34263295553618145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1168685</v>
      </c>
      <c r="D233" s="448">
        <v>1284733</v>
      </c>
      <c r="E233" s="448">
        <f>D233-C233</f>
        <v>116048</v>
      </c>
      <c r="F233" s="449">
        <f>IF(C233=0,0,E233/C233)</f>
        <v>9.9297928868771312E-2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235554</v>
      </c>
      <c r="D234" s="448">
        <v>546488</v>
      </c>
      <c r="E234" s="448">
        <f>D234-C234</f>
        <v>310934</v>
      </c>
      <c r="F234" s="449">
        <f>IF(C234=0,0,E234/C234)</f>
        <v>1.3200115472460667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1766268</v>
      </c>
      <c r="D237" s="448">
        <f>LN_IG1+LN_IG9</f>
        <v>2478874</v>
      </c>
      <c r="E237" s="448">
        <f>D237-C237</f>
        <v>712606</v>
      </c>
      <c r="F237" s="449">
        <f>IF(C237=0,0,E237/C237)</f>
        <v>0.403452930132913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317227</v>
      </c>
      <c r="D238" s="448">
        <f>LN_IG2+LN_IG10</f>
        <v>731387</v>
      </c>
      <c r="E238" s="448">
        <f>D238-C238</f>
        <v>414160</v>
      </c>
      <c r="F238" s="449">
        <f>IF(C238=0,0,E238/C238)</f>
        <v>1.305563523911899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1449041</v>
      </c>
      <c r="D239" s="448">
        <f>LN_IG13-LN_IG14</f>
        <v>1747487</v>
      </c>
      <c r="E239" s="448">
        <f>D239-C239</f>
        <v>298446</v>
      </c>
      <c r="F239" s="449">
        <f>IF(C239=0,0,E239/C239)</f>
        <v>0.2059610459607423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4728741</v>
      </c>
      <c r="D243" s="448">
        <v>5236454</v>
      </c>
      <c r="E243" s="441">
        <f>D243-C243</f>
        <v>507713</v>
      </c>
      <c r="F243" s="503">
        <f>IF(C243=0,0,E243/C243)</f>
        <v>0.10736747899705228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409234000</v>
      </c>
      <c r="D244" s="448">
        <v>426496000</v>
      </c>
      <c r="E244" s="441">
        <f>D244-C244</f>
        <v>17262000</v>
      </c>
      <c r="F244" s="503">
        <f>IF(C244=0,0,E244/C244)</f>
        <v>4.2181245937532072E-2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19484535</v>
      </c>
      <c r="D248" s="441">
        <v>13389500</v>
      </c>
      <c r="E248" s="441">
        <f>D248-C248</f>
        <v>-6095035</v>
      </c>
      <c r="F248" s="449">
        <f>IF(C248=0,0,E248/C248)</f>
        <v>-0.31281398298702023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32666112</v>
      </c>
      <c r="D249" s="441">
        <v>55466000</v>
      </c>
      <c r="E249" s="441">
        <f>D249-C249</f>
        <v>22799888</v>
      </c>
      <c r="F249" s="449">
        <f>IF(C249=0,0,E249/C249)</f>
        <v>0.69796760630711119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52150647</v>
      </c>
      <c r="D250" s="441">
        <f>LN_IH4+LN_IH5</f>
        <v>68855500</v>
      </c>
      <c r="E250" s="441">
        <f>D250-C250</f>
        <v>16704853</v>
      </c>
      <c r="F250" s="449">
        <f>IF(C250=0,0,E250/C250)</f>
        <v>0.32031918990381847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14820162.777333293</v>
      </c>
      <c r="D251" s="441">
        <f>LN_IH6*LN_III10</f>
        <v>22422348.115372017</v>
      </c>
      <c r="E251" s="441">
        <f>D251-C251</f>
        <v>7602185.3380387239</v>
      </c>
      <c r="F251" s="449">
        <f>IF(C251=0,0,E251/C251)</f>
        <v>0.51296233734125318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420590203</v>
      </c>
      <c r="D254" s="441">
        <f>LN_IF23</f>
        <v>516578722</v>
      </c>
      <c r="E254" s="441">
        <f>D254-C254</f>
        <v>95988519</v>
      </c>
      <c r="F254" s="449">
        <f>IF(C254=0,0,E254/C254)</f>
        <v>0.22822338303491108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77809615</v>
      </c>
      <c r="D255" s="441">
        <f>LN_IF24</f>
        <v>92516930</v>
      </c>
      <c r="E255" s="441">
        <f>D255-C255</f>
        <v>14707315</v>
      </c>
      <c r="F255" s="449">
        <f>IF(C255=0,0,E255/C255)</f>
        <v>0.18901667872280309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119523258.66660205</v>
      </c>
      <c r="D256" s="441">
        <f>LN_IH8*LN_III10</f>
        <v>168220518.82097995</v>
      </c>
      <c r="E256" s="441">
        <f>D256-C256</f>
        <v>48697260.154377908</v>
      </c>
      <c r="F256" s="449">
        <f>IF(C256=0,0,E256/C256)</f>
        <v>0.40742915393742696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41713643.666602045</v>
      </c>
      <c r="D257" s="441">
        <f>LN_IH10-LN_IH9</f>
        <v>75703588.820979953</v>
      </c>
      <c r="E257" s="441">
        <f>D257-C257</f>
        <v>33989945.154377908</v>
      </c>
      <c r="F257" s="449">
        <f>IF(C257=0,0,E257/C257)</f>
        <v>0.81483999398479534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790434049</v>
      </c>
      <c r="D261" s="448">
        <f>LN_IA1+LN_IB1+LN_IF1+LN_IG1</f>
        <v>830654694</v>
      </c>
      <c r="E261" s="448">
        <f t="shared" ref="E261:E274" si="26">D261-C261</f>
        <v>40220645</v>
      </c>
      <c r="F261" s="503">
        <f t="shared" ref="F261:F274" si="27">IF(C261=0,0,E261/C261)</f>
        <v>5.0884251571505876E-2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264116252</v>
      </c>
      <c r="D262" s="448">
        <f>+LN_IA2+LN_IB2+LN_IF2+LN_IG2</f>
        <v>257634414</v>
      </c>
      <c r="E262" s="448">
        <f t="shared" si="26"/>
        <v>-6481838</v>
      </c>
      <c r="F262" s="503">
        <f t="shared" si="27"/>
        <v>-2.4541609805972864E-2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0.33414078294595329</v>
      </c>
      <c r="D263" s="453">
        <f>IF(LN_IIA1=0,0,LN_IIA2/LN_IIA1)</f>
        <v>0.31015825933561753</v>
      </c>
      <c r="E263" s="454">
        <f t="shared" si="26"/>
        <v>-2.398252361033576E-2</v>
      </c>
      <c r="F263" s="458">
        <f t="shared" si="27"/>
        <v>-7.1773709868318866E-2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18453</v>
      </c>
      <c r="D264" s="456">
        <f>LN_IA4+LN_IB4+LN_IF4+LN_IG3</f>
        <v>18207</v>
      </c>
      <c r="E264" s="456">
        <f t="shared" si="26"/>
        <v>-246</v>
      </c>
      <c r="F264" s="503">
        <f t="shared" si="27"/>
        <v>-1.3331165664119656E-2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1.3120715146588631</v>
      </c>
      <c r="D265" s="525">
        <f>IF(LN_IIA4=0,0,LN_IIA6/LN_IIA4)</f>
        <v>1.3295131323117482</v>
      </c>
      <c r="E265" s="525">
        <f t="shared" si="26"/>
        <v>1.74416176528851E-2</v>
      </c>
      <c r="F265" s="503">
        <f t="shared" si="27"/>
        <v>1.3293191307045408E-2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24211.65566</v>
      </c>
      <c r="D266" s="463">
        <f>LN_IA6+LN_IB6+LN_IF6+LN_IG5</f>
        <v>24206.445599999999</v>
      </c>
      <c r="E266" s="463">
        <f t="shared" si="26"/>
        <v>-5.2100600000012491</v>
      </c>
      <c r="F266" s="503">
        <f t="shared" si="27"/>
        <v>-2.1518809259330301E-4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722085518</v>
      </c>
      <c r="D267" s="448">
        <f>LN_IA11+LN_IB13+LN_IF14+LN_IG9</f>
        <v>862425043</v>
      </c>
      <c r="E267" s="448">
        <f t="shared" si="26"/>
        <v>140339525</v>
      </c>
      <c r="F267" s="503">
        <f t="shared" si="27"/>
        <v>0.19435305306870868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0.91353038107800444</v>
      </c>
      <c r="D268" s="453">
        <f>IF(LN_IIA1=0,0,LN_IIA7/LN_IIA1)</f>
        <v>1.0382473598590174</v>
      </c>
      <c r="E268" s="454">
        <f t="shared" si="26"/>
        <v>0.12471697878101295</v>
      </c>
      <c r="F268" s="458">
        <f t="shared" si="27"/>
        <v>0.13652198259004988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165796343</v>
      </c>
      <c r="D269" s="448">
        <f>LN_IA12+LN_IB14+LN_IF15+LN_IG10</f>
        <v>193102821</v>
      </c>
      <c r="E269" s="448">
        <f t="shared" si="26"/>
        <v>27306478</v>
      </c>
      <c r="F269" s="503">
        <f t="shared" si="27"/>
        <v>0.16469891618779553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0.22960762799843329</v>
      </c>
      <c r="D270" s="453">
        <f>IF(LN_IIA7=0,0,LN_IIA9/LN_IIA7)</f>
        <v>0.2239067876882142</v>
      </c>
      <c r="E270" s="454">
        <f t="shared" si="26"/>
        <v>-5.7008403102190852E-3</v>
      </c>
      <c r="F270" s="458">
        <f t="shared" si="27"/>
        <v>-2.4828618978886819E-2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1512519567</v>
      </c>
      <c r="D271" s="441">
        <f>LN_IIA1+LN_IIA7</f>
        <v>1693079737</v>
      </c>
      <c r="E271" s="441">
        <f t="shared" si="26"/>
        <v>180560170</v>
      </c>
      <c r="F271" s="503">
        <f t="shared" si="27"/>
        <v>0.11937708042887091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429912595</v>
      </c>
      <c r="D272" s="441">
        <f>LN_IIA2+LN_IIA9</f>
        <v>450737235</v>
      </c>
      <c r="E272" s="441">
        <f t="shared" si="26"/>
        <v>20824640</v>
      </c>
      <c r="F272" s="503">
        <f t="shared" si="27"/>
        <v>4.8439241469536383E-2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0.28423605510949401</v>
      </c>
      <c r="D273" s="453">
        <f>IF(LN_IIA11=0,0,LN_IIA12/LN_IIA11)</f>
        <v>0.26622327652368566</v>
      </c>
      <c r="E273" s="454">
        <f t="shared" si="26"/>
        <v>-1.8012778585808353E-2</v>
      </c>
      <c r="F273" s="458">
        <f t="shared" si="27"/>
        <v>-6.3372602673047354E-2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97440</v>
      </c>
      <c r="D274" s="508">
        <f>LN_IA8+LN_IB10+LN_IF11+LN_IG6</f>
        <v>101235</v>
      </c>
      <c r="E274" s="528">
        <f t="shared" si="26"/>
        <v>3795</v>
      </c>
      <c r="F274" s="458">
        <f t="shared" si="27"/>
        <v>3.8947044334975367E-2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576792362</v>
      </c>
      <c r="D277" s="448">
        <f>LN_IA1+LN_IF1+LN_IG1</f>
        <v>626766560</v>
      </c>
      <c r="E277" s="448">
        <f t="shared" ref="E277:E291" si="28">D277-C277</f>
        <v>49974198</v>
      </c>
      <c r="F277" s="503">
        <f t="shared" ref="F277:F291" si="29">IF(C277=0,0,E277/C277)</f>
        <v>8.6641573800868052E-2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170235101</v>
      </c>
      <c r="D278" s="448">
        <f>LN_IA2+LN_IF2+LN_IG2</f>
        <v>172367778</v>
      </c>
      <c r="E278" s="448">
        <f t="shared" si="28"/>
        <v>2132677</v>
      </c>
      <c r="F278" s="503">
        <f t="shared" si="29"/>
        <v>1.2527833493046772E-2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0.29514104592113166</v>
      </c>
      <c r="D279" s="453">
        <f>IF(D277=0,0,LN_IIB2/D277)</f>
        <v>0.27501112694972113</v>
      </c>
      <c r="E279" s="454">
        <f t="shared" si="28"/>
        <v>-2.0129918971410532E-2</v>
      </c>
      <c r="F279" s="458">
        <f t="shared" si="29"/>
        <v>-6.8204403452543499E-2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12928</v>
      </c>
      <c r="D280" s="456">
        <f>LN_IA4+LN_IF4+LN_IG3</f>
        <v>13046</v>
      </c>
      <c r="E280" s="456">
        <f t="shared" si="28"/>
        <v>118</v>
      </c>
      <c r="F280" s="503">
        <f t="shared" si="29"/>
        <v>9.1274752475247519E-3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1.3419322911509901</v>
      </c>
      <c r="D281" s="525">
        <f>IF(LN_IIB4=0,0,LN_IIB6/LN_IIB4)</f>
        <v>1.3493378966733101</v>
      </c>
      <c r="E281" s="525">
        <f t="shared" si="28"/>
        <v>7.4056055223199468E-3</v>
      </c>
      <c r="F281" s="503">
        <f t="shared" si="29"/>
        <v>5.5186133988683415E-3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17348.500660000002</v>
      </c>
      <c r="D282" s="463">
        <f>LN_IA6+LN_IF6+LN_IG5</f>
        <v>17603.462200000002</v>
      </c>
      <c r="E282" s="463">
        <f t="shared" si="28"/>
        <v>254.96154000000024</v>
      </c>
      <c r="F282" s="503">
        <f t="shared" si="29"/>
        <v>1.4696459653591771E-2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419184562</v>
      </c>
      <c r="D283" s="448">
        <f>LN_IA11+LN_IF14+LN_IG9</f>
        <v>521460054</v>
      </c>
      <c r="E283" s="448">
        <f t="shared" si="28"/>
        <v>102275492</v>
      </c>
      <c r="F283" s="503">
        <f t="shared" si="29"/>
        <v>0.24398678117349179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0.72675123600197744</v>
      </c>
      <c r="D284" s="453">
        <f>IF(D277=0,0,LN_IIB7/D277)</f>
        <v>0.8319844855794476</v>
      </c>
      <c r="E284" s="454">
        <f t="shared" si="28"/>
        <v>0.10523324957747016</v>
      </c>
      <c r="F284" s="458">
        <f t="shared" si="29"/>
        <v>0.14479954675602894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67970928</v>
      </c>
      <c r="D285" s="448">
        <f>LN_IA12+LN_IF15+LN_IG10</f>
        <v>80367553</v>
      </c>
      <c r="E285" s="448">
        <f t="shared" si="28"/>
        <v>12396625</v>
      </c>
      <c r="F285" s="503">
        <f t="shared" si="29"/>
        <v>0.1823812821858192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0.1621503608713529</v>
      </c>
      <c r="D286" s="453">
        <f>IF(LN_IIB7=0,0,LN_IIB9/LN_IIB7)</f>
        <v>0.15412024829806042</v>
      </c>
      <c r="E286" s="454">
        <f t="shared" si="28"/>
        <v>-8.030112573292475E-3</v>
      </c>
      <c r="F286" s="458">
        <f t="shared" si="29"/>
        <v>-4.9522631526324003E-2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995976924</v>
      </c>
      <c r="D287" s="441">
        <f>D277+LN_IIB7</f>
        <v>1148226614</v>
      </c>
      <c r="E287" s="441">
        <f t="shared" si="28"/>
        <v>152249690</v>
      </c>
      <c r="F287" s="503">
        <f t="shared" si="29"/>
        <v>0.15286467621010866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238206029</v>
      </c>
      <c r="D288" s="441">
        <f>LN_IIB2+LN_IIB9</f>
        <v>252735331</v>
      </c>
      <c r="E288" s="441">
        <f t="shared" si="28"/>
        <v>14529302</v>
      </c>
      <c r="F288" s="503">
        <f t="shared" si="29"/>
        <v>6.0994686242807059E-2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0.23916822092958451</v>
      </c>
      <c r="D289" s="453">
        <f>IF(LN_IIB11=0,0,LN_IIB12/LN_IIB11)</f>
        <v>0.2201092780105165</v>
      </c>
      <c r="E289" s="454">
        <f t="shared" si="28"/>
        <v>-1.9058942919068012E-2</v>
      </c>
      <c r="F289" s="458">
        <f t="shared" si="29"/>
        <v>-7.968844207224049E-2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75454</v>
      </c>
      <c r="D290" s="508">
        <f>LN_IA8+LN_IF11+LN_IG6</f>
        <v>79546</v>
      </c>
      <c r="E290" s="528">
        <f t="shared" si="28"/>
        <v>4092</v>
      </c>
      <c r="F290" s="458">
        <f t="shared" si="29"/>
        <v>5.4231717337715694E-2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757770895</v>
      </c>
      <c r="D291" s="516">
        <f>LN_IIB11-LN_IIB12</f>
        <v>895491283</v>
      </c>
      <c r="E291" s="441">
        <f t="shared" si="28"/>
        <v>137720388</v>
      </c>
      <c r="F291" s="503">
        <f t="shared" si="29"/>
        <v>0.18174409826072827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6.9151327806660108</v>
      </c>
      <c r="D294" s="466">
        <f>IF(LN_IA4=0,0,LN_IA8/LN_IA4)</f>
        <v>7.217878700776085</v>
      </c>
      <c r="E294" s="466">
        <f t="shared" ref="E294:E300" si="30">D294-C294</f>
        <v>0.30274592011007417</v>
      </c>
      <c r="F294" s="503">
        <f t="shared" ref="F294:F300" si="31">IF(C294=0,0,E294/C294)</f>
        <v>4.3780203462834462E-2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3.9793665158371039</v>
      </c>
      <c r="D295" s="466">
        <f>IF(LN_IB4=0,0,(LN_IB10)/(LN_IB4))</f>
        <v>4.2024801395078475</v>
      </c>
      <c r="E295" s="466">
        <f t="shared" si="30"/>
        <v>0.22311362367074361</v>
      </c>
      <c r="F295" s="503">
        <f t="shared" si="31"/>
        <v>5.6067623523190141E-2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3.9568106312292359</v>
      </c>
      <c r="D296" s="466">
        <f>IF(LN_IC4=0,0,LN_IC11/LN_IC4)</f>
        <v>4.097674418604651</v>
      </c>
      <c r="E296" s="466">
        <f t="shared" si="30"/>
        <v>0.14086378737541505</v>
      </c>
      <c r="F296" s="503">
        <f t="shared" si="31"/>
        <v>3.5600335852224961E-2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4.5197788910001728</v>
      </c>
      <c r="D297" s="466">
        <f>IF(LN_ID4=0,0,LN_ID11/LN_ID4)</f>
        <v>4.8182268449727585</v>
      </c>
      <c r="E297" s="466">
        <f t="shared" si="30"/>
        <v>0.29844795397258572</v>
      </c>
      <c r="F297" s="503">
        <f t="shared" si="31"/>
        <v>6.6031538526554509E-2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3.3636363636363638</v>
      </c>
      <c r="D299" s="466">
        <f>IF(LN_IG3=0,0,LN_IG6/LN_IG3)</f>
        <v>4.5161290322580649</v>
      </c>
      <c r="E299" s="466">
        <f t="shared" si="30"/>
        <v>1.1524926686217012</v>
      </c>
      <c r="F299" s="503">
        <f t="shared" si="31"/>
        <v>0.34263295553618145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5.2804422045195905</v>
      </c>
      <c r="D300" s="466">
        <f>IF(LN_IIA4=0,0,LN_IIA14/LN_IIA4)</f>
        <v>5.5602240896358541</v>
      </c>
      <c r="E300" s="466">
        <f t="shared" si="30"/>
        <v>0.27978188511626367</v>
      </c>
      <c r="F300" s="503">
        <f t="shared" si="31"/>
        <v>5.2984555891321977E-2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1512519567</v>
      </c>
      <c r="D304" s="441">
        <f>LN_IIA11</f>
        <v>1693079737</v>
      </c>
      <c r="E304" s="441">
        <f t="shared" ref="E304:E316" si="32">D304-C304</f>
        <v>180560170</v>
      </c>
      <c r="F304" s="449">
        <f>IF(C304=0,0,E304/C304)</f>
        <v>0.11937708042887091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757770895</v>
      </c>
      <c r="D305" s="441">
        <f>LN_IIB14</f>
        <v>895491283</v>
      </c>
      <c r="E305" s="441">
        <f t="shared" si="32"/>
        <v>137720388</v>
      </c>
      <c r="F305" s="449">
        <f>IF(C305=0,0,E305/C305)</f>
        <v>0.18174409826072827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52150647</v>
      </c>
      <c r="D306" s="441">
        <f>LN_IH6</f>
        <v>68855500</v>
      </c>
      <c r="E306" s="441">
        <f t="shared" si="32"/>
        <v>16704853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271322158</v>
      </c>
      <c r="D307" s="441">
        <f>LN_IB32-LN_IB33</f>
        <v>177392491</v>
      </c>
      <c r="E307" s="441">
        <f t="shared" si="32"/>
        <v>-93929667</v>
      </c>
      <c r="F307" s="449">
        <f t="shared" ref="F307:F316" si="33">IF(C307=0,0,E307/C307)</f>
        <v>-0.3461923924399864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1448291</v>
      </c>
      <c r="D308" s="441">
        <v>0</v>
      </c>
      <c r="E308" s="441">
        <f t="shared" si="32"/>
        <v>-1448291</v>
      </c>
      <c r="F308" s="449">
        <f t="shared" si="33"/>
        <v>-1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1082691991</v>
      </c>
      <c r="D309" s="441">
        <f>LN_III2+LN_III3+LN_III4+LN_III5</f>
        <v>1141739274</v>
      </c>
      <c r="E309" s="441">
        <f t="shared" si="32"/>
        <v>59047283</v>
      </c>
      <c r="F309" s="449">
        <f t="shared" si="33"/>
        <v>5.4537470943571427E-2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429827576</v>
      </c>
      <c r="D310" s="441">
        <f>LN_III1-LN_III6</f>
        <v>551340463</v>
      </c>
      <c r="E310" s="441">
        <f t="shared" si="32"/>
        <v>121512887</v>
      </c>
      <c r="F310" s="449">
        <f t="shared" si="33"/>
        <v>0.28270146864658119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429827576</v>
      </c>
      <c r="D312" s="441">
        <f>LN_III7+LN_III8</f>
        <v>551340463</v>
      </c>
      <c r="E312" s="441">
        <f t="shared" si="32"/>
        <v>121512887</v>
      </c>
      <c r="F312" s="449">
        <f t="shared" si="33"/>
        <v>0.28270146864658119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0.2841798449275863</v>
      </c>
      <c r="D313" s="532">
        <f>IF(LN_III1=0,0,LN_III9/LN_III1)</f>
        <v>0.32564353051494821</v>
      </c>
      <c r="E313" s="532">
        <f t="shared" si="32"/>
        <v>4.1463685587361909E-2</v>
      </c>
      <c r="F313" s="449">
        <f t="shared" si="33"/>
        <v>0.14590649663394509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14820162.777333293</v>
      </c>
      <c r="D314" s="441">
        <f>D313*LN_III5</f>
        <v>22422348.115372017</v>
      </c>
      <c r="E314" s="441">
        <f t="shared" si="32"/>
        <v>7602185.3380387239</v>
      </c>
      <c r="F314" s="449">
        <f t="shared" si="33"/>
        <v>0.51296233734125318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41713643.666602045</v>
      </c>
      <c r="D315" s="441">
        <f>D313*LN_IH8-LN_IH9</f>
        <v>75703588.820979953</v>
      </c>
      <c r="E315" s="441">
        <f t="shared" si="32"/>
        <v>33989945.154377908</v>
      </c>
      <c r="F315" s="449">
        <f t="shared" si="33"/>
        <v>0.81483999398479534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56533806.443935335</v>
      </c>
      <c r="D318" s="441">
        <f>D314+D315+D316</f>
        <v>98125936.93635197</v>
      </c>
      <c r="E318" s="441">
        <f>D318-C318</f>
        <v>41592130.492416635</v>
      </c>
      <c r="F318" s="449">
        <f>IF(C318=0,0,E318/C318)</f>
        <v>0.73570369852353068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27721283.734329537</v>
      </c>
      <c r="D322" s="441">
        <f>LN_ID22</f>
        <v>25440489.503706701</v>
      </c>
      <c r="E322" s="441">
        <f>LN_IV2-C322</f>
        <v>-2280794.2306228355</v>
      </c>
      <c r="F322" s="449">
        <f>IF(C322=0,0,E322/C322)</f>
        <v>-8.2275923888702931E-2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7492531.0954990536</v>
      </c>
      <c r="D324" s="441">
        <f>LN_IC10+LN_IC22</f>
        <v>-2070490.5999231734</v>
      </c>
      <c r="E324" s="441">
        <f>LN_IV1-C324</f>
        <v>-9563021.6954222266</v>
      </c>
      <c r="F324" s="449">
        <f>IF(C324=0,0,E324/C324)</f>
        <v>-1.276340608204745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35213814.82982859</v>
      </c>
      <c r="D325" s="516">
        <f>LN_IV1+LN_IV2+LN_IV3</f>
        <v>23369998.903783526</v>
      </c>
      <c r="E325" s="441">
        <f>LN_IV4-C325</f>
        <v>-11843815.926045064</v>
      </c>
      <c r="F325" s="449">
        <f>IF(C325=0,0,E325/C325)</f>
        <v>-0.3363400410685557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2030733</v>
      </c>
      <c r="D329" s="518">
        <v>0</v>
      </c>
      <c r="E329" s="518">
        <f t="shared" ref="E329:E335" si="34">D329-C329</f>
        <v>-2030733</v>
      </c>
      <c r="F329" s="542">
        <f t="shared" ref="F329:F335" si="35">IF(C329=0,0,E329/C329)</f>
        <v>-1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-11085595</v>
      </c>
      <c r="D330" s="516">
        <v>-11362275</v>
      </c>
      <c r="E330" s="518">
        <f t="shared" si="34"/>
        <v>-276680</v>
      </c>
      <c r="F330" s="543">
        <f t="shared" si="35"/>
        <v>2.495851598403153E-2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418827000</v>
      </c>
      <c r="D331" s="516">
        <v>439374962</v>
      </c>
      <c r="E331" s="518">
        <f t="shared" si="34"/>
        <v>20547962</v>
      </c>
      <c r="F331" s="542">
        <f t="shared" si="35"/>
        <v>4.9060738682081148E-2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1512519566</v>
      </c>
      <c r="D333" s="516">
        <v>1693079737</v>
      </c>
      <c r="E333" s="518">
        <f t="shared" si="34"/>
        <v>180560171</v>
      </c>
      <c r="F333" s="542">
        <f t="shared" si="35"/>
        <v>0.11937708116894535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0</v>
      </c>
      <c r="D334" s="516">
        <v>687500</v>
      </c>
      <c r="E334" s="516">
        <f t="shared" si="34"/>
        <v>687500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52150647</v>
      </c>
      <c r="D335" s="516">
        <v>69543000</v>
      </c>
      <c r="E335" s="516">
        <f t="shared" si="34"/>
        <v>17392353</v>
      </c>
      <c r="F335" s="542">
        <f t="shared" si="35"/>
        <v>0.33350215194837374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FILING&amp;RBRIDGEPORT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213641687</v>
      </c>
      <c r="D14" s="589">
        <v>203888134</v>
      </c>
      <c r="E14" s="590">
        <f t="shared" ref="E14:E22" si="0">D14-C14</f>
        <v>-9753553</v>
      </c>
    </row>
    <row r="15" spans="1:5" s="421" customFormat="1" x14ac:dyDescent="0.2">
      <c r="A15" s="588">
        <v>2</v>
      </c>
      <c r="B15" s="587" t="s">
        <v>635</v>
      </c>
      <c r="C15" s="589">
        <v>378190000</v>
      </c>
      <c r="D15" s="591">
        <v>395362847</v>
      </c>
      <c r="E15" s="590">
        <f t="shared" si="0"/>
        <v>17172847</v>
      </c>
    </row>
    <row r="16" spans="1:5" s="421" customFormat="1" x14ac:dyDescent="0.2">
      <c r="A16" s="588">
        <v>3</v>
      </c>
      <c r="B16" s="587" t="s">
        <v>777</v>
      </c>
      <c r="C16" s="589">
        <v>198004779</v>
      </c>
      <c r="D16" s="591">
        <v>230209572</v>
      </c>
      <c r="E16" s="590">
        <f t="shared" si="0"/>
        <v>32204793</v>
      </c>
    </row>
    <row r="17" spans="1:5" s="421" customFormat="1" x14ac:dyDescent="0.2">
      <c r="A17" s="588">
        <v>4</v>
      </c>
      <c r="B17" s="587" t="s">
        <v>115</v>
      </c>
      <c r="C17" s="589">
        <v>198004779</v>
      </c>
      <c r="D17" s="591">
        <v>230209572</v>
      </c>
      <c r="E17" s="590">
        <f t="shared" si="0"/>
        <v>32204793</v>
      </c>
    </row>
    <row r="18" spans="1:5" s="421" customFormat="1" x14ac:dyDescent="0.2">
      <c r="A18" s="588">
        <v>5</v>
      </c>
      <c r="B18" s="587" t="s">
        <v>743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597583</v>
      </c>
      <c r="D19" s="591">
        <v>1194141</v>
      </c>
      <c r="E19" s="590">
        <f t="shared" si="0"/>
        <v>596558</v>
      </c>
    </row>
    <row r="20" spans="1:5" s="421" customFormat="1" x14ac:dyDescent="0.2">
      <c r="A20" s="588">
        <v>7</v>
      </c>
      <c r="B20" s="587" t="s">
        <v>758</v>
      </c>
      <c r="C20" s="589">
        <v>12095054</v>
      </c>
      <c r="D20" s="591">
        <v>8164273</v>
      </c>
      <c r="E20" s="590">
        <f t="shared" si="0"/>
        <v>-3930781</v>
      </c>
    </row>
    <row r="21" spans="1:5" s="421" customFormat="1" x14ac:dyDescent="0.2">
      <c r="A21" s="588"/>
      <c r="B21" s="592" t="s">
        <v>778</v>
      </c>
      <c r="C21" s="593">
        <f>SUM(C15+C16+C19)</f>
        <v>576792362</v>
      </c>
      <c r="D21" s="593">
        <f>SUM(D15+D16+D19)</f>
        <v>626766560</v>
      </c>
      <c r="E21" s="593">
        <f t="shared" si="0"/>
        <v>49974198</v>
      </c>
    </row>
    <row r="22" spans="1:5" s="421" customFormat="1" x14ac:dyDescent="0.2">
      <c r="A22" s="588"/>
      <c r="B22" s="592" t="s">
        <v>465</v>
      </c>
      <c r="C22" s="593">
        <f>SUM(C14+C21)</f>
        <v>790434049</v>
      </c>
      <c r="D22" s="593">
        <f>SUM(D14+D21)</f>
        <v>830654694</v>
      </c>
      <c r="E22" s="593">
        <f t="shared" si="0"/>
        <v>40220645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302900956</v>
      </c>
      <c r="D25" s="589">
        <v>340964989</v>
      </c>
      <c r="E25" s="590">
        <f t="shared" ref="E25:E33" si="1">D25-C25</f>
        <v>38064033</v>
      </c>
    </row>
    <row r="26" spans="1:5" s="421" customFormat="1" x14ac:dyDescent="0.2">
      <c r="A26" s="588">
        <v>2</v>
      </c>
      <c r="B26" s="587" t="s">
        <v>635</v>
      </c>
      <c r="C26" s="589">
        <v>195430453</v>
      </c>
      <c r="D26" s="591">
        <v>233806171</v>
      </c>
      <c r="E26" s="590">
        <f t="shared" si="1"/>
        <v>38375718</v>
      </c>
    </row>
    <row r="27" spans="1:5" s="421" customFormat="1" x14ac:dyDescent="0.2">
      <c r="A27" s="588">
        <v>3</v>
      </c>
      <c r="B27" s="587" t="s">
        <v>777</v>
      </c>
      <c r="C27" s="589">
        <v>222585424</v>
      </c>
      <c r="D27" s="591">
        <v>286369150</v>
      </c>
      <c r="E27" s="590">
        <f t="shared" si="1"/>
        <v>63783726</v>
      </c>
    </row>
    <row r="28" spans="1:5" s="421" customFormat="1" x14ac:dyDescent="0.2">
      <c r="A28" s="588">
        <v>4</v>
      </c>
      <c r="B28" s="587" t="s">
        <v>115</v>
      </c>
      <c r="C28" s="589">
        <v>222585424</v>
      </c>
      <c r="D28" s="591">
        <v>286369150</v>
      </c>
      <c r="E28" s="590">
        <f t="shared" si="1"/>
        <v>63783726</v>
      </c>
    </row>
    <row r="29" spans="1:5" s="421" customFormat="1" x14ac:dyDescent="0.2">
      <c r="A29" s="588">
        <v>5</v>
      </c>
      <c r="B29" s="587" t="s">
        <v>743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1168685</v>
      </c>
      <c r="D30" s="591">
        <v>1284733</v>
      </c>
      <c r="E30" s="590">
        <f t="shared" si="1"/>
        <v>116048</v>
      </c>
    </row>
    <row r="31" spans="1:5" s="421" customFormat="1" x14ac:dyDescent="0.2">
      <c r="A31" s="588">
        <v>7</v>
      </c>
      <c r="B31" s="587" t="s">
        <v>758</v>
      </c>
      <c r="C31" s="590">
        <v>40109711</v>
      </c>
      <c r="D31" s="594">
        <v>37791733</v>
      </c>
      <c r="E31" s="590">
        <f t="shared" si="1"/>
        <v>-2317978</v>
      </c>
    </row>
    <row r="32" spans="1:5" s="421" customFormat="1" x14ac:dyDescent="0.2">
      <c r="A32" s="588"/>
      <c r="B32" s="592" t="s">
        <v>780</v>
      </c>
      <c r="C32" s="593">
        <f>SUM(C26+C27+C30)</f>
        <v>419184562</v>
      </c>
      <c r="D32" s="593">
        <f>SUM(D26+D27+D30)</f>
        <v>521460054</v>
      </c>
      <c r="E32" s="593">
        <f t="shared" si="1"/>
        <v>102275492</v>
      </c>
    </row>
    <row r="33" spans="1:5" s="421" customFormat="1" x14ac:dyDescent="0.2">
      <c r="A33" s="588"/>
      <c r="B33" s="592" t="s">
        <v>467</v>
      </c>
      <c r="C33" s="593">
        <f>SUM(C25+C32)</f>
        <v>722085518</v>
      </c>
      <c r="D33" s="593">
        <f>SUM(D25+D32)</f>
        <v>862425043</v>
      </c>
      <c r="E33" s="593">
        <f t="shared" si="1"/>
        <v>140339525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516542643</v>
      </c>
      <c r="D36" s="590">
        <f t="shared" si="2"/>
        <v>544853123</v>
      </c>
      <c r="E36" s="590">
        <f t="shared" ref="E36:E44" si="3">D36-C36</f>
        <v>28310480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573620453</v>
      </c>
      <c r="D37" s="590">
        <f t="shared" si="2"/>
        <v>629169018</v>
      </c>
      <c r="E37" s="590">
        <f t="shared" si="3"/>
        <v>55548565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420590203</v>
      </c>
      <c r="D38" s="590">
        <f t="shared" si="2"/>
        <v>516578722</v>
      </c>
      <c r="E38" s="590">
        <f t="shared" si="3"/>
        <v>95988519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420590203</v>
      </c>
      <c r="D39" s="590">
        <f t="shared" si="2"/>
        <v>516578722</v>
      </c>
      <c r="E39" s="590">
        <f t="shared" si="3"/>
        <v>95988519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1766268</v>
      </c>
      <c r="D41" s="590">
        <f t="shared" si="2"/>
        <v>2478874</v>
      </c>
      <c r="E41" s="590">
        <f t="shared" si="3"/>
        <v>712606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52204765</v>
      </c>
      <c r="D42" s="590">
        <f t="shared" si="2"/>
        <v>45956006</v>
      </c>
      <c r="E42" s="590">
        <f t="shared" si="3"/>
        <v>-6248759</v>
      </c>
    </row>
    <row r="43" spans="1:5" s="421" customFormat="1" x14ac:dyDescent="0.2">
      <c r="A43" s="588"/>
      <c r="B43" s="592" t="s">
        <v>788</v>
      </c>
      <c r="C43" s="593">
        <f>SUM(C37+C38+C41)</f>
        <v>995976924</v>
      </c>
      <c r="D43" s="593">
        <f>SUM(D37+D38+D41)</f>
        <v>1148226614</v>
      </c>
      <c r="E43" s="593">
        <f t="shared" si="3"/>
        <v>152249690</v>
      </c>
    </row>
    <row r="44" spans="1:5" s="421" customFormat="1" x14ac:dyDescent="0.2">
      <c r="A44" s="588"/>
      <c r="B44" s="592" t="s">
        <v>725</v>
      </c>
      <c r="C44" s="593">
        <f>SUM(C36+C43)</f>
        <v>1512519567</v>
      </c>
      <c r="D44" s="593">
        <f>SUM(D36+D43)</f>
        <v>1693079737</v>
      </c>
      <c r="E44" s="593">
        <f t="shared" si="3"/>
        <v>180560170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93881151</v>
      </c>
      <c r="D47" s="589">
        <v>85266636</v>
      </c>
      <c r="E47" s="590">
        <f t="shared" ref="E47:E55" si="4">D47-C47</f>
        <v>-8614515</v>
      </c>
    </row>
    <row r="48" spans="1:5" s="421" customFormat="1" x14ac:dyDescent="0.2">
      <c r="A48" s="588">
        <v>2</v>
      </c>
      <c r="B48" s="587" t="s">
        <v>635</v>
      </c>
      <c r="C48" s="589">
        <v>125611818</v>
      </c>
      <c r="D48" s="591">
        <v>122306782</v>
      </c>
      <c r="E48" s="590">
        <f t="shared" si="4"/>
        <v>-3305036</v>
      </c>
    </row>
    <row r="49" spans="1:5" s="421" customFormat="1" x14ac:dyDescent="0.2">
      <c r="A49" s="588">
        <v>3</v>
      </c>
      <c r="B49" s="587" t="s">
        <v>777</v>
      </c>
      <c r="C49" s="589">
        <v>44541610</v>
      </c>
      <c r="D49" s="591">
        <v>49876097</v>
      </c>
      <c r="E49" s="590">
        <f t="shared" si="4"/>
        <v>5334487</v>
      </c>
    </row>
    <row r="50" spans="1:5" s="421" customFormat="1" x14ac:dyDescent="0.2">
      <c r="A50" s="588">
        <v>4</v>
      </c>
      <c r="B50" s="587" t="s">
        <v>115</v>
      </c>
      <c r="C50" s="589">
        <v>44541610</v>
      </c>
      <c r="D50" s="591">
        <v>49876097</v>
      </c>
      <c r="E50" s="590">
        <f t="shared" si="4"/>
        <v>5334487</v>
      </c>
    </row>
    <row r="51" spans="1:5" s="421" customFormat="1" x14ac:dyDescent="0.2">
      <c r="A51" s="588">
        <v>5</v>
      </c>
      <c r="B51" s="587" t="s">
        <v>743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81673</v>
      </c>
      <c r="D52" s="591">
        <v>184899</v>
      </c>
      <c r="E52" s="590">
        <f t="shared" si="4"/>
        <v>103226</v>
      </c>
    </row>
    <row r="53" spans="1:5" s="421" customFormat="1" x14ac:dyDescent="0.2">
      <c r="A53" s="588">
        <v>7</v>
      </c>
      <c r="B53" s="587" t="s">
        <v>758</v>
      </c>
      <c r="C53" s="589">
        <v>2401935</v>
      </c>
      <c r="D53" s="591">
        <v>1903873</v>
      </c>
      <c r="E53" s="590">
        <f t="shared" si="4"/>
        <v>-498062</v>
      </c>
    </row>
    <row r="54" spans="1:5" s="421" customFormat="1" x14ac:dyDescent="0.2">
      <c r="A54" s="588"/>
      <c r="B54" s="592" t="s">
        <v>790</v>
      </c>
      <c r="C54" s="593">
        <f>SUM(C48+C49+C52)</f>
        <v>170235101</v>
      </c>
      <c r="D54" s="593">
        <f>SUM(D48+D49+D52)</f>
        <v>172367778</v>
      </c>
      <c r="E54" s="593">
        <f t="shared" si="4"/>
        <v>2132677</v>
      </c>
    </row>
    <row r="55" spans="1:5" s="421" customFormat="1" x14ac:dyDescent="0.2">
      <c r="A55" s="588"/>
      <c r="B55" s="592" t="s">
        <v>466</v>
      </c>
      <c r="C55" s="593">
        <f>SUM(C47+C54)</f>
        <v>264116252</v>
      </c>
      <c r="D55" s="593">
        <f>SUM(D47+D54)</f>
        <v>257634414</v>
      </c>
      <c r="E55" s="593">
        <f t="shared" si="4"/>
        <v>-6481838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97825415</v>
      </c>
      <c r="D58" s="589">
        <v>112735268</v>
      </c>
      <c r="E58" s="590">
        <f t="shared" ref="E58:E66" si="5">D58-C58</f>
        <v>14909853</v>
      </c>
    </row>
    <row r="59" spans="1:5" s="421" customFormat="1" x14ac:dyDescent="0.2">
      <c r="A59" s="588">
        <v>2</v>
      </c>
      <c r="B59" s="587" t="s">
        <v>635</v>
      </c>
      <c r="C59" s="589">
        <v>34467369</v>
      </c>
      <c r="D59" s="591">
        <v>37180232</v>
      </c>
      <c r="E59" s="590">
        <f t="shared" si="5"/>
        <v>2712863</v>
      </c>
    </row>
    <row r="60" spans="1:5" s="421" customFormat="1" x14ac:dyDescent="0.2">
      <c r="A60" s="588">
        <v>3</v>
      </c>
      <c r="B60" s="587" t="s">
        <v>777</v>
      </c>
      <c r="C60" s="589">
        <f>C61+C62</f>
        <v>33268005</v>
      </c>
      <c r="D60" s="591">
        <f>D61+D62</f>
        <v>42640833</v>
      </c>
      <c r="E60" s="590">
        <f t="shared" si="5"/>
        <v>9372828</v>
      </c>
    </row>
    <row r="61" spans="1:5" s="421" customFormat="1" x14ac:dyDescent="0.2">
      <c r="A61" s="588">
        <v>4</v>
      </c>
      <c r="B61" s="587" t="s">
        <v>115</v>
      </c>
      <c r="C61" s="589">
        <v>33268005</v>
      </c>
      <c r="D61" s="591">
        <v>42640833</v>
      </c>
      <c r="E61" s="590">
        <f t="shared" si="5"/>
        <v>9372828</v>
      </c>
    </row>
    <row r="62" spans="1:5" s="421" customFormat="1" x14ac:dyDescent="0.2">
      <c r="A62" s="588">
        <v>5</v>
      </c>
      <c r="B62" s="587" t="s">
        <v>743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235554</v>
      </c>
      <c r="D63" s="591">
        <v>546488</v>
      </c>
      <c r="E63" s="590">
        <f t="shared" si="5"/>
        <v>310934</v>
      </c>
    </row>
    <row r="64" spans="1:5" s="421" customFormat="1" x14ac:dyDescent="0.2">
      <c r="A64" s="588">
        <v>7</v>
      </c>
      <c r="B64" s="587" t="s">
        <v>758</v>
      </c>
      <c r="C64" s="589">
        <v>3308858</v>
      </c>
      <c r="D64" s="591">
        <v>11963371</v>
      </c>
      <c r="E64" s="590">
        <f t="shared" si="5"/>
        <v>8654513</v>
      </c>
    </row>
    <row r="65" spans="1:5" s="421" customFormat="1" x14ac:dyDescent="0.2">
      <c r="A65" s="588"/>
      <c r="B65" s="592" t="s">
        <v>792</v>
      </c>
      <c r="C65" s="593">
        <f>SUM(C59+C60+C63)</f>
        <v>67970928</v>
      </c>
      <c r="D65" s="593">
        <f>SUM(D59+D60+D63)</f>
        <v>80367553</v>
      </c>
      <c r="E65" s="593">
        <f t="shared" si="5"/>
        <v>12396625</v>
      </c>
    </row>
    <row r="66" spans="1:5" s="421" customFormat="1" x14ac:dyDescent="0.2">
      <c r="A66" s="588"/>
      <c r="B66" s="592" t="s">
        <v>468</v>
      </c>
      <c r="C66" s="593">
        <f>SUM(C58+C65)</f>
        <v>165796343</v>
      </c>
      <c r="D66" s="593">
        <f>SUM(D58+D65)</f>
        <v>193102821</v>
      </c>
      <c r="E66" s="593">
        <f t="shared" si="5"/>
        <v>27306478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191706566</v>
      </c>
      <c r="D69" s="590">
        <f t="shared" si="6"/>
        <v>198001904</v>
      </c>
      <c r="E69" s="590">
        <f t="shared" ref="E69:E77" si="7">D69-C69</f>
        <v>6295338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160079187</v>
      </c>
      <c r="D70" s="590">
        <f t="shared" si="6"/>
        <v>159487014</v>
      </c>
      <c r="E70" s="590">
        <f t="shared" si="7"/>
        <v>-592173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77809615</v>
      </c>
      <c r="D71" s="590">
        <f t="shared" si="6"/>
        <v>92516930</v>
      </c>
      <c r="E71" s="590">
        <f t="shared" si="7"/>
        <v>14707315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77809615</v>
      </c>
      <c r="D72" s="590">
        <f t="shared" si="6"/>
        <v>92516930</v>
      </c>
      <c r="E72" s="590">
        <f t="shared" si="7"/>
        <v>14707315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317227</v>
      </c>
      <c r="D74" s="590">
        <f t="shared" si="6"/>
        <v>731387</v>
      </c>
      <c r="E74" s="590">
        <f t="shared" si="7"/>
        <v>414160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5710793</v>
      </c>
      <c r="D75" s="590">
        <f t="shared" si="6"/>
        <v>13867244</v>
      </c>
      <c r="E75" s="590">
        <f t="shared" si="7"/>
        <v>8156451</v>
      </c>
    </row>
    <row r="76" spans="1:5" s="421" customFormat="1" x14ac:dyDescent="0.2">
      <c r="A76" s="588"/>
      <c r="B76" s="592" t="s">
        <v>793</v>
      </c>
      <c r="C76" s="593">
        <f>SUM(C70+C71+C74)</f>
        <v>238206029</v>
      </c>
      <c r="D76" s="593">
        <f>SUM(D70+D71+D74)</f>
        <v>252735331</v>
      </c>
      <c r="E76" s="593">
        <f t="shared" si="7"/>
        <v>14529302</v>
      </c>
    </row>
    <row r="77" spans="1:5" s="421" customFormat="1" x14ac:dyDescent="0.2">
      <c r="A77" s="588"/>
      <c r="B77" s="592" t="s">
        <v>726</v>
      </c>
      <c r="C77" s="593">
        <f>SUM(C69+C76)</f>
        <v>429912595</v>
      </c>
      <c r="D77" s="593">
        <f>SUM(D69+D76)</f>
        <v>450737235</v>
      </c>
      <c r="E77" s="593">
        <f t="shared" si="7"/>
        <v>20824640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0.14124887483191151</v>
      </c>
      <c r="D83" s="599">
        <f t="shared" si="8"/>
        <v>0.12042441330097851</v>
      </c>
      <c r="E83" s="599">
        <f t="shared" ref="E83:E91" si="9">D83-C83</f>
        <v>-2.0824461530932994E-2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0.25003974047761857</v>
      </c>
      <c r="D84" s="599">
        <f t="shared" si="8"/>
        <v>0.23351696813792769</v>
      </c>
      <c r="E84" s="599">
        <f t="shared" si="9"/>
        <v>-1.6522772339690878E-2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0.13091055700702878</v>
      </c>
      <c r="D85" s="599">
        <f t="shared" si="8"/>
        <v>0.13597089786681441</v>
      </c>
      <c r="E85" s="599">
        <f t="shared" si="9"/>
        <v>5.0603408597856281E-3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0.13091055700702878</v>
      </c>
      <c r="D86" s="599">
        <f t="shared" si="8"/>
        <v>0.13597089786681441</v>
      </c>
      <c r="E86" s="599">
        <f t="shared" si="9"/>
        <v>5.0603408597856281E-3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3.9509108710922215E-4</v>
      </c>
      <c r="D88" s="599">
        <f t="shared" si="8"/>
        <v>7.0530700586844241E-4</v>
      </c>
      <c r="E88" s="599">
        <f t="shared" si="9"/>
        <v>3.1021591875922026E-4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7.9966264661222725E-3</v>
      </c>
      <c r="D89" s="599">
        <f t="shared" si="8"/>
        <v>4.8221432349467661E-3</v>
      </c>
      <c r="E89" s="599">
        <f t="shared" si="9"/>
        <v>-3.1744832311755063E-3</v>
      </c>
    </row>
    <row r="90" spans="1:5" s="421" customFormat="1" x14ac:dyDescent="0.2">
      <c r="A90" s="588"/>
      <c r="B90" s="592" t="s">
        <v>796</v>
      </c>
      <c r="C90" s="600">
        <f>SUM(C84+C85+C88)</f>
        <v>0.38134538857175659</v>
      </c>
      <c r="D90" s="600">
        <f>SUM(D84+D85+D88)</f>
        <v>0.37019317301061055</v>
      </c>
      <c r="E90" s="601">
        <f t="shared" si="9"/>
        <v>-1.1152215561146039E-2</v>
      </c>
    </row>
    <row r="91" spans="1:5" s="421" customFormat="1" x14ac:dyDescent="0.2">
      <c r="A91" s="588"/>
      <c r="B91" s="592" t="s">
        <v>797</v>
      </c>
      <c r="C91" s="600">
        <f>SUM(C83+C90)</f>
        <v>0.5225942634036681</v>
      </c>
      <c r="D91" s="600">
        <f>SUM(D83+D90)</f>
        <v>0.49061758631158908</v>
      </c>
      <c r="E91" s="601">
        <f t="shared" si="9"/>
        <v>-3.197667709207902E-2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0.20026250410815347</v>
      </c>
      <c r="D95" s="599">
        <f t="shared" si="10"/>
        <v>0.20138743707615467</v>
      </c>
      <c r="E95" s="599">
        <f t="shared" ref="E95:E103" si="11">D95-C95</f>
        <v>1.1249329680012021E-3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0.12920854530670678</v>
      </c>
      <c r="D96" s="599">
        <f t="shared" si="10"/>
        <v>0.13809519179190319</v>
      </c>
      <c r="E96" s="599">
        <f t="shared" si="11"/>
        <v>8.8866464851964089E-3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0.14716201287992992</v>
      </c>
      <c r="D97" s="599">
        <f t="shared" si="10"/>
        <v>0.1691409705885577</v>
      </c>
      <c r="E97" s="599">
        <f t="shared" si="11"/>
        <v>2.1978957708627789E-2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0.14716201287992992</v>
      </c>
      <c r="D98" s="599">
        <f t="shared" si="10"/>
        <v>0.1691409705885577</v>
      </c>
      <c r="E98" s="599">
        <f t="shared" si="11"/>
        <v>2.1978957708627789E-2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7.7267430154177961E-4</v>
      </c>
      <c r="D100" s="599">
        <f t="shared" si="10"/>
        <v>7.5881423179539236E-4</v>
      </c>
      <c r="E100" s="599">
        <f t="shared" si="11"/>
        <v>-1.3860069746387247E-5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2.6518474124308633E-2</v>
      </c>
      <c r="D101" s="599">
        <f t="shared" si="10"/>
        <v>2.2321295432289494E-2</v>
      </c>
      <c r="E101" s="599">
        <f t="shared" si="11"/>
        <v>-4.1971786920191392E-3</v>
      </c>
    </row>
    <row r="102" spans="1:5" s="421" customFormat="1" x14ac:dyDescent="0.2">
      <c r="A102" s="588"/>
      <c r="B102" s="592" t="s">
        <v>799</v>
      </c>
      <c r="C102" s="600">
        <f>SUM(C96+C97+C100)</f>
        <v>0.27714323248817846</v>
      </c>
      <c r="D102" s="600">
        <f>SUM(D96+D97+D100)</f>
        <v>0.30799497661225633</v>
      </c>
      <c r="E102" s="601">
        <f t="shared" si="11"/>
        <v>3.0851744124077873E-2</v>
      </c>
    </row>
    <row r="103" spans="1:5" s="421" customFormat="1" x14ac:dyDescent="0.2">
      <c r="A103" s="588"/>
      <c r="B103" s="592" t="s">
        <v>800</v>
      </c>
      <c r="C103" s="600">
        <f>SUM(C95+C102)</f>
        <v>0.4774057365963319</v>
      </c>
      <c r="D103" s="600">
        <f>SUM(D95+D102)</f>
        <v>0.50938241368841097</v>
      </c>
      <c r="E103" s="601">
        <f t="shared" si="11"/>
        <v>3.1976677092079075E-2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0.21837264618869795</v>
      </c>
      <c r="D109" s="599">
        <f t="shared" si="12"/>
        <v>0.18917149367524519</v>
      </c>
      <c r="E109" s="599">
        <f t="shared" ref="E109:E117" si="13">D109-C109</f>
        <v>-2.9201152513452761E-2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0.29217989763709995</v>
      </c>
      <c r="D110" s="599">
        <f t="shared" si="12"/>
        <v>0.27134829897068524</v>
      </c>
      <c r="E110" s="599">
        <f t="shared" si="13"/>
        <v>-2.0831598666414708E-2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0.10360619930197672</v>
      </c>
      <c r="D111" s="599">
        <f t="shared" si="12"/>
        <v>0.11065448586691534</v>
      </c>
      <c r="E111" s="599">
        <f t="shared" si="13"/>
        <v>7.0482865649386245E-3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0.10360619930197672</v>
      </c>
      <c r="D112" s="599">
        <f t="shared" si="12"/>
        <v>0.11065448586691534</v>
      </c>
      <c r="E112" s="599">
        <f t="shared" si="13"/>
        <v>7.0482865649386245E-3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1.8997582520232978E-4</v>
      </c>
      <c r="D114" s="599">
        <f t="shared" si="12"/>
        <v>4.1021461206771612E-4</v>
      </c>
      <c r="E114" s="599">
        <f t="shared" si="13"/>
        <v>2.2023878686538634E-4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5.5870310103382755E-3</v>
      </c>
      <c r="D115" s="599">
        <f t="shared" si="12"/>
        <v>4.2239088590051805E-3</v>
      </c>
      <c r="E115" s="599">
        <f t="shared" si="13"/>
        <v>-1.363122151333095E-3</v>
      </c>
    </row>
    <row r="116" spans="1:5" s="421" customFormat="1" x14ac:dyDescent="0.2">
      <c r="A116" s="588"/>
      <c r="B116" s="592" t="s">
        <v>796</v>
      </c>
      <c r="C116" s="600">
        <f>SUM(C110+C111+C114)</f>
        <v>0.39597607276427899</v>
      </c>
      <c r="D116" s="600">
        <f>SUM(D110+D111+D114)</f>
        <v>0.38241299944966828</v>
      </c>
      <c r="E116" s="601">
        <f t="shared" si="13"/>
        <v>-1.3563073314610707E-2</v>
      </c>
    </row>
    <row r="117" spans="1:5" s="421" customFormat="1" x14ac:dyDescent="0.2">
      <c r="A117" s="588"/>
      <c r="B117" s="592" t="s">
        <v>797</v>
      </c>
      <c r="C117" s="600">
        <f>SUM(C109+C116)</f>
        <v>0.61434871895297694</v>
      </c>
      <c r="D117" s="600">
        <f>SUM(D109+D116)</f>
        <v>0.57158449312491344</v>
      </c>
      <c r="E117" s="601">
        <f t="shared" si="13"/>
        <v>-4.2764225828063496E-2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0.22754721805719602</v>
      </c>
      <c r="D121" s="599">
        <f t="shared" si="14"/>
        <v>0.25011305755558444</v>
      </c>
      <c r="E121" s="599">
        <f t="shared" ref="E121:E129" si="15">D121-C121</f>
        <v>2.2565839498388418E-2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8.0172968647266543E-2</v>
      </c>
      <c r="D122" s="599">
        <f t="shared" si="14"/>
        <v>8.2487598345408489E-2</v>
      </c>
      <c r="E122" s="599">
        <f t="shared" si="15"/>
        <v>2.3146296981419456E-3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7.7383182970017422E-2</v>
      </c>
      <c r="D123" s="599">
        <f t="shared" si="14"/>
        <v>9.4602419522762521E-2</v>
      </c>
      <c r="E123" s="599">
        <f t="shared" si="15"/>
        <v>1.7219236552745099E-2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7.7383182970017422E-2</v>
      </c>
      <c r="D124" s="599">
        <f t="shared" si="14"/>
        <v>9.4602419522762521E-2</v>
      </c>
      <c r="E124" s="599">
        <f t="shared" si="15"/>
        <v>1.7219236552745099E-2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5.4791137254306312E-4</v>
      </c>
      <c r="D126" s="599">
        <f t="shared" si="14"/>
        <v>1.2124314513310621E-3</v>
      </c>
      <c r="E126" s="599">
        <f t="shared" si="15"/>
        <v>6.6452007878799895E-4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7.6965830694027465E-3</v>
      </c>
      <c r="D127" s="599">
        <f t="shared" si="14"/>
        <v>2.6541785481734165E-2</v>
      </c>
      <c r="E127" s="599">
        <f t="shared" si="15"/>
        <v>1.8845202412331417E-2</v>
      </c>
    </row>
    <row r="128" spans="1:5" s="421" customFormat="1" x14ac:dyDescent="0.2">
      <c r="A128" s="588"/>
      <c r="B128" s="592" t="s">
        <v>799</v>
      </c>
      <c r="C128" s="600">
        <f>SUM(C122+C123+C126)</f>
        <v>0.15810406298982704</v>
      </c>
      <c r="D128" s="600">
        <f>SUM(D122+D123+D126)</f>
        <v>0.17830244931950209</v>
      </c>
      <c r="E128" s="601">
        <f t="shared" si="15"/>
        <v>2.019838632967505E-2</v>
      </c>
    </row>
    <row r="129" spans="1:5" s="421" customFormat="1" x14ac:dyDescent="0.2">
      <c r="A129" s="588"/>
      <c r="B129" s="592" t="s">
        <v>800</v>
      </c>
      <c r="C129" s="600">
        <f>SUM(C121+C128)</f>
        <v>0.38565128104702306</v>
      </c>
      <c r="D129" s="600">
        <f>SUM(D121+D128)</f>
        <v>0.42841550687508656</v>
      </c>
      <c r="E129" s="601">
        <f t="shared" si="15"/>
        <v>4.2764225828063496E-2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5525</v>
      </c>
      <c r="D137" s="606">
        <v>5161</v>
      </c>
      <c r="E137" s="607">
        <f t="shared" ref="E137:E145" si="16">D137-C137</f>
        <v>-364</v>
      </c>
    </row>
    <row r="138" spans="1:5" s="421" customFormat="1" x14ac:dyDescent="0.2">
      <c r="A138" s="588">
        <v>2</v>
      </c>
      <c r="B138" s="587" t="s">
        <v>635</v>
      </c>
      <c r="C138" s="606">
        <v>7117</v>
      </c>
      <c r="D138" s="606">
        <v>6958</v>
      </c>
      <c r="E138" s="607">
        <f t="shared" si="16"/>
        <v>-159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5789</v>
      </c>
      <c r="D139" s="606">
        <f>D140+D141</f>
        <v>6057</v>
      </c>
      <c r="E139" s="607">
        <f t="shared" si="16"/>
        <v>268</v>
      </c>
    </row>
    <row r="140" spans="1:5" s="421" customFormat="1" x14ac:dyDescent="0.2">
      <c r="A140" s="588">
        <v>4</v>
      </c>
      <c r="B140" s="587" t="s">
        <v>115</v>
      </c>
      <c r="C140" s="606">
        <v>5789</v>
      </c>
      <c r="D140" s="606">
        <v>6057</v>
      </c>
      <c r="E140" s="607">
        <f t="shared" si="16"/>
        <v>268</v>
      </c>
    </row>
    <row r="141" spans="1:5" s="421" customFormat="1" x14ac:dyDescent="0.2">
      <c r="A141" s="588">
        <v>5</v>
      </c>
      <c r="B141" s="587" t="s">
        <v>743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22</v>
      </c>
      <c r="D142" s="606">
        <v>31</v>
      </c>
      <c r="E142" s="607">
        <f t="shared" si="16"/>
        <v>9</v>
      </c>
    </row>
    <row r="143" spans="1:5" s="421" customFormat="1" x14ac:dyDescent="0.2">
      <c r="A143" s="588">
        <v>7</v>
      </c>
      <c r="B143" s="587" t="s">
        <v>758</v>
      </c>
      <c r="C143" s="606">
        <v>301</v>
      </c>
      <c r="D143" s="606">
        <v>215</v>
      </c>
      <c r="E143" s="607">
        <f t="shared" si="16"/>
        <v>-86</v>
      </c>
    </row>
    <row r="144" spans="1:5" s="421" customFormat="1" x14ac:dyDescent="0.2">
      <c r="A144" s="588"/>
      <c r="B144" s="592" t="s">
        <v>807</v>
      </c>
      <c r="C144" s="608">
        <f>SUM(C138+C139+C142)</f>
        <v>12928</v>
      </c>
      <c r="D144" s="608">
        <f>SUM(D138+D139+D142)</f>
        <v>13046</v>
      </c>
      <c r="E144" s="609">
        <f t="shared" si="16"/>
        <v>118</v>
      </c>
    </row>
    <row r="145" spans="1:5" s="421" customFormat="1" x14ac:dyDescent="0.2">
      <c r="A145" s="588"/>
      <c r="B145" s="592" t="s">
        <v>138</v>
      </c>
      <c r="C145" s="608">
        <f>SUM(C137+C144)</f>
        <v>18453</v>
      </c>
      <c r="D145" s="608">
        <f>SUM(D137+D144)</f>
        <v>18207</v>
      </c>
      <c r="E145" s="609">
        <f t="shared" si="16"/>
        <v>-246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21986</v>
      </c>
      <c r="D149" s="610">
        <v>21689</v>
      </c>
      <c r="E149" s="607">
        <f t="shared" ref="E149:E157" si="17">D149-C149</f>
        <v>-297</v>
      </c>
    </row>
    <row r="150" spans="1:5" s="421" customFormat="1" x14ac:dyDescent="0.2">
      <c r="A150" s="588">
        <v>2</v>
      </c>
      <c r="B150" s="587" t="s">
        <v>635</v>
      </c>
      <c r="C150" s="610">
        <v>49215</v>
      </c>
      <c r="D150" s="610">
        <v>50222</v>
      </c>
      <c r="E150" s="607">
        <f t="shared" si="17"/>
        <v>1007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26165</v>
      </c>
      <c r="D151" s="610">
        <f>D152+D153</f>
        <v>29184</v>
      </c>
      <c r="E151" s="607">
        <f t="shared" si="17"/>
        <v>3019</v>
      </c>
    </row>
    <row r="152" spans="1:5" s="421" customFormat="1" x14ac:dyDescent="0.2">
      <c r="A152" s="588">
        <v>4</v>
      </c>
      <c r="B152" s="587" t="s">
        <v>115</v>
      </c>
      <c r="C152" s="610">
        <v>26165</v>
      </c>
      <c r="D152" s="610">
        <v>29184</v>
      </c>
      <c r="E152" s="607">
        <f t="shared" si="17"/>
        <v>3019</v>
      </c>
    </row>
    <row r="153" spans="1:5" s="421" customFormat="1" x14ac:dyDescent="0.2">
      <c r="A153" s="588">
        <v>5</v>
      </c>
      <c r="B153" s="587" t="s">
        <v>743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74</v>
      </c>
      <c r="D154" s="610">
        <v>140</v>
      </c>
      <c r="E154" s="607">
        <f t="shared" si="17"/>
        <v>66</v>
      </c>
    </row>
    <row r="155" spans="1:5" s="421" customFormat="1" x14ac:dyDescent="0.2">
      <c r="A155" s="588">
        <v>7</v>
      </c>
      <c r="B155" s="587" t="s">
        <v>758</v>
      </c>
      <c r="C155" s="610">
        <v>1191</v>
      </c>
      <c r="D155" s="610">
        <v>881</v>
      </c>
      <c r="E155" s="607">
        <f t="shared" si="17"/>
        <v>-310</v>
      </c>
    </row>
    <row r="156" spans="1:5" s="421" customFormat="1" x14ac:dyDescent="0.2">
      <c r="A156" s="588"/>
      <c r="B156" s="592" t="s">
        <v>808</v>
      </c>
      <c r="C156" s="608">
        <f>SUM(C150+C151+C154)</f>
        <v>75454</v>
      </c>
      <c r="D156" s="608">
        <f>SUM(D150+D151+D154)</f>
        <v>79546</v>
      </c>
      <c r="E156" s="609">
        <f t="shared" si="17"/>
        <v>4092</v>
      </c>
    </row>
    <row r="157" spans="1:5" s="421" customFormat="1" x14ac:dyDescent="0.2">
      <c r="A157" s="588"/>
      <c r="B157" s="592" t="s">
        <v>140</v>
      </c>
      <c r="C157" s="608">
        <f>SUM(C149+C156)</f>
        <v>97440</v>
      </c>
      <c r="D157" s="608">
        <f>SUM(D149+D156)</f>
        <v>101235</v>
      </c>
      <c r="E157" s="609">
        <f t="shared" si="17"/>
        <v>3795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3.9793665158371039</v>
      </c>
      <c r="D161" s="612">
        <f t="shared" si="18"/>
        <v>4.2024801395078475</v>
      </c>
      <c r="E161" s="613">
        <f t="shared" ref="E161:E169" si="19">D161-C161</f>
        <v>0.22311362367074361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6.9151327806660108</v>
      </c>
      <c r="D162" s="612">
        <f t="shared" si="18"/>
        <v>7.217878700776085</v>
      </c>
      <c r="E162" s="613">
        <f t="shared" si="19"/>
        <v>0.30274592011007417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4.5197788910001728</v>
      </c>
      <c r="D163" s="612">
        <f t="shared" si="18"/>
        <v>4.8182268449727585</v>
      </c>
      <c r="E163" s="613">
        <f t="shared" si="19"/>
        <v>0.29844795397258572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4.5197788910001728</v>
      </c>
      <c r="D164" s="612">
        <f t="shared" si="18"/>
        <v>4.8182268449727585</v>
      </c>
      <c r="E164" s="613">
        <f t="shared" si="19"/>
        <v>0.29844795397258572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3.3636363636363638</v>
      </c>
      <c r="D166" s="612">
        <f t="shared" si="18"/>
        <v>4.5161290322580649</v>
      </c>
      <c r="E166" s="613">
        <f t="shared" si="19"/>
        <v>1.1524926686217012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3.9568106312292359</v>
      </c>
      <c r="D167" s="612">
        <f t="shared" si="18"/>
        <v>4.097674418604651</v>
      </c>
      <c r="E167" s="613">
        <f t="shared" si="19"/>
        <v>0.14086378737541505</v>
      </c>
    </row>
    <row r="168" spans="1:5" s="421" customFormat="1" x14ac:dyDescent="0.2">
      <c r="A168" s="588"/>
      <c r="B168" s="592" t="s">
        <v>810</v>
      </c>
      <c r="C168" s="614">
        <f t="shared" si="18"/>
        <v>5.8364789603960396</v>
      </c>
      <c r="D168" s="614">
        <f t="shared" si="18"/>
        <v>6.0973478460830908</v>
      </c>
      <c r="E168" s="615">
        <f t="shared" si="19"/>
        <v>0.26086888568705113</v>
      </c>
    </row>
    <row r="169" spans="1:5" s="421" customFormat="1" x14ac:dyDescent="0.2">
      <c r="A169" s="588"/>
      <c r="B169" s="592" t="s">
        <v>744</v>
      </c>
      <c r="C169" s="614">
        <f t="shared" si="18"/>
        <v>5.2804422045195905</v>
      </c>
      <c r="D169" s="614">
        <f t="shared" si="18"/>
        <v>5.5602240896358541</v>
      </c>
      <c r="E169" s="615">
        <f t="shared" si="19"/>
        <v>0.27978188511626367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1.2422</v>
      </c>
      <c r="D173" s="617">
        <f t="shared" si="20"/>
        <v>1.2794000000000001</v>
      </c>
      <c r="E173" s="618">
        <f t="shared" ref="E173:E181" si="21">D173-C173</f>
        <v>3.7200000000000122E-2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1.5920700000000001</v>
      </c>
      <c r="D174" s="617">
        <f t="shared" si="20"/>
        <v>1.59206</v>
      </c>
      <c r="E174" s="618">
        <f t="shared" si="21"/>
        <v>-1.0000000000065512E-5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1.0349299999999999</v>
      </c>
      <c r="D175" s="617">
        <f t="shared" si="20"/>
        <v>1.0716300000000001</v>
      </c>
      <c r="E175" s="618">
        <f t="shared" si="21"/>
        <v>3.6700000000000177E-2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1.0349299999999999</v>
      </c>
      <c r="D176" s="617">
        <f t="shared" si="20"/>
        <v>1.0716300000000001</v>
      </c>
      <c r="E176" s="618">
        <f t="shared" si="21"/>
        <v>3.6700000000000177E-2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1.2058500000000001</v>
      </c>
      <c r="D178" s="617">
        <f t="shared" si="20"/>
        <v>1.1305099999999999</v>
      </c>
      <c r="E178" s="618">
        <f t="shared" si="21"/>
        <v>-7.5340000000000185E-2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1.1533199999999999</v>
      </c>
      <c r="D179" s="617">
        <f t="shared" si="20"/>
        <v>1.18129</v>
      </c>
      <c r="E179" s="618">
        <f t="shared" si="21"/>
        <v>2.797000000000005E-2</v>
      </c>
    </row>
    <row r="180" spans="1:5" s="421" customFormat="1" x14ac:dyDescent="0.2">
      <c r="A180" s="588"/>
      <c r="B180" s="592" t="s">
        <v>812</v>
      </c>
      <c r="C180" s="619">
        <f t="shared" si="20"/>
        <v>1.3419322911509901</v>
      </c>
      <c r="D180" s="619">
        <f t="shared" si="20"/>
        <v>1.3493378966733101</v>
      </c>
      <c r="E180" s="620">
        <f t="shared" si="21"/>
        <v>7.4056055223199468E-3</v>
      </c>
    </row>
    <row r="181" spans="1:5" s="421" customFormat="1" x14ac:dyDescent="0.2">
      <c r="A181" s="588"/>
      <c r="B181" s="592" t="s">
        <v>723</v>
      </c>
      <c r="C181" s="619">
        <f t="shared" si="20"/>
        <v>1.3120715146588631</v>
      </c>
      <c r="D181" s="619">
        <f t="shared" si="20"/>
        <v>1.3295131323117484</v>
      </c>
      <c r="E181" s="620">
        <f t="shared" si="21"/>
        <v>1.7441617652885322E-2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814</v>
      </c>
      <c r="C185" s="589">
        <v>445668953</v>
      </c>
      <c r="D185" s="589">
        <v>485798950</v>
      </c>
      <c r="E185" s="590">
        <f>D185-C185</f>
        <v>40129997</v>
      </c>
    </row>
    <row r="186" spans="1:5" s="421" customFormat="1" ht="25.5" x14ac:dyDescent="0.2">
      <c r="A186" s="588">
        <v>2</v>
      </c>
      <c r="B186" s="587" t="s">
        <v>815</v>
      </c>
      <c r="C186" s="589">
        <v>174346795</v>
      </c>
      <c r="D186" s="589">
        <v>308406459</v>
      </c>
      <c r="E186" s="590">
        <f>D186-C186</f>
        <v>134059664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271322158</v>
      </c>
      <c r="D188" s="622">
        <f>+D185-D186</f>
        <v>177392491</v>
      </c>
      <c r="E188" s="590">
        <f t="shared" ref="E188:E197" si="22">D188-C188</f>
        <v>-93929667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0.60879753048447149</v>
      </c>
      <c r="D189" s="623">
        <f>IF(D185=0,0,+D188/D185)</f>
        <v>0.36515618446684578</v>
      </c>
      <c r="E189" s="599">
        <f t="shared" si="22"/>
        <v>-0.24364134601762572</v>
      </c>
    </row>
    <row r="190" spans="1:5" s="421" customFormat="1" x14ac:dyDescent="0.2">
      <c r="A190" s="588">
        <v>5</v>
      </c>
      <c r="B190" s="587" t="s">
        <v>762</v>
      </c>
      <c r="C190" s="589">
        <v>2030733</v>
      </c>
      <c r="D190" s="589">
        <v>0</v>
      </c>
      <c r="E190" s="622">
        <f t="shared" si="22"/>
        <v>-2030733</v>
      </c>
    </row>
    <row r="191" spans="1:5" s="421" customFormat="1" x14ac:dyDescent="0.2">
      <c r="A191" s="588">
        <v>6</v>
      </c>
      <c r="B191" s="587" t="s">
        <v>748</v>
      </c>
      <c r="C191" s="589">
        <v>1448291</v>
      </c>
      <c r="D191" s="589">
        <v>0</v>
      </c>
      <c r="E191" s="622">
        <f t="shared" si="22"/>
        <v>-1448291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19484535</v>
      </c>
      <c r="D193" s="589">
        <v>13389500</v>
      </c>
      <c r="E193" s="622">
        <f t="shared" si="22"/>
        <v>-6095035</v>
      </c>
    </row>
    <row r="194" spans="1:5" s="421" customFormat="1" x14ac:dyDescent="0.2">
      <c r="A194" s="588">
        <v>9</v>
      </c>
      <c r="B194" s="587" t="s">
        <v>818</v>
      </c>
      <c r="C194" s="589">
        <v>32666112</v>
      </c>
      <c r="D194" s="589">
        <v>55466000</v>
      </c>
      <c r="E194" s="622">
        <f t="shared" si="22"/>
        <v>22799888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52150647</v>
      </c>
      <c r="D195" s="589">
        <f>+D193+D194</f>
        <v>68855500</v>
      </c>
      <c r="E195" s="625">
        <f t="shared" si="22"/>
        <v>16704853</v>
      </c>
    </row>
    <row r="196" spans="1:5" s="421" customFormat="1" x14ac:dyDescent="0.2">
      <c r="A196" s="588">
        <v>11</v>
      </c>
      <c r="B196" s="587" t="s">
        <v>820</v>
      </c>
      <c r="C196" s="589">
        <v>4728741</v>
      </c>
      <c r="D196" s="589">
        <v>5236454</v>
      </c>
      <c r="E196" s="622">
        <f t="shared" si="22"/>
        <v>507713</v>
      </c>
    </row>
    <row r="197" spans="1:5" s="421" customFormat="1" x14ac:dyDescent="0.2">
      <c r="A197" s="588">
        <v>12</v>
      </c>
      <c r="B197" s="587" t="s">
        <v>710</v>
      </c>
      <c r="C197" s="589">
        <v>409234000</v>
      </c>
      <c r="D197" s="589">
        <v>426496000</v>
      </c>
      <c r="E197" s="622">
        <f t="shared" si="22"/>
        <v>17262000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6863.1549999999997</v>
      </c>
      <c r="D203" s="629">
        <v>6602.9834000000001</v>
      </c>
      <c r="E203" s="630">
        <f t="shared" ref="E203:E211" si="23">D203-C203</f>
        <v>-260.17159999999967</v>
      </c>
    </row>
    <row r="204" spans="1:5" s="421" customFormat="1" x14ac:dyDescent="0.2">
      <c r="A204" s="588">
        <v>2</v>
      </c>
      <c r="B204" s="587" t="s">
        <v>635</v>
      </c>
      <c r="C204" s="629">
        <v>11330.762190000001</v>
      </c>
      <c r="D204" s="629">
        <v>11077.55348</v>
      </c>
      <c r="E204" s="630">
        <f t="shared" si="23"/>
        <v>-253.20871000000079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5991.2097699999995</v>
      </c>
      <c r="D205" s="629">
        <f>D206+D207</f>
        <v>6490.8629100000007</v>
      </c>
      <c r="E205" s="630">
        <f t="shared" si="23"/>
        <v>499.65314000000126</v>
      </c>
    </row>
    <row r="206" spans="1:5" s="421" customFormat="1" x14ac:dyDescent="0.2">
      <c r="A206" s="588">
        <v>4</v>
      </c>
      <c r="B206" s="587" t="s">
        <v>115</v>
      </c>
      <c r="C206" s="629">
        <v>5991.2097699999995</v>
      </c>
      <c r="D206" s="629">
        <v>6490.8629100000007</v>
      </c>
      <c r="E206" s="630">
        <f t="shared" si="23"/>
        <v>499.65314000000126</v>
      </c>
    </row>
    <row r="207" spans="1:5" s="421" customFormat="1" x14ac:dyDescent="0.2">
      <c r="A207" s="588">
        <v>5</v>
      </c>
      <c r="B207" s="587" t="s">
        <v>743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26.528700000000001</v>
      </c>
      <c r="D208" s="629">
        <v>35.045809999999996</v>
      </c>
      <c r="E208" s="630">
        <f t="shared" si="23"/>
        <v>8.5171099999999953</v>
      </c>
    </row>
    <row r="209" spans="1:5" s="421" customFormat="1" x14ac:dyDescent="0.2">
      <c r="A209" s="588">
        <v>7</v>
      </c>
      <c r="B209" s="587" t="s">
        <v>758</v>
      </c>
      <c r="C209" s="629">
        <v>347.14931999999999</v>
      </c>
      <c r="D209" s="629">
        <v>253.97735</v>
      </c>
      <c r="E209" s="630">
        <f t="shared" si="23"/>
        <v>-93.171969999999988</v>
      </c>
    </row>
    <row r="210" spans="1:5" s="421" customFormat="1" x14ac:dyDescent="0.2">
      <c r="A210" s="588"/>
      <c r="B210" s="592" t="s">
        <v>823</v>
      </c>
      <c r="C210" s="631">
        <f>C204+C205+C208</f>
        <v>17348.500660000002</v>
      </c>
      <c r="D210" s="631">
        <f>D204+D205+D208</f>
        <v>17603.462200000002</v>
      </c>
      <c r="E210" s="632">
        <f t="shared" si="23"/>
        <v>254.96154000000024</v>
      </c>
    </row>
    <row r="211" spans="1:5" s="421" customFormat="1" x14ac:dyDescent="0.2">
      <c r="A211" s="588"/>
      <c r="B211" s="592" t="s">
        <v>724</v>
      </c>
      <c r="C211" s="631">
        <f>C210+C203</f>
        <v>24211.65566</v>
      </c>
      <c r="D211" s="631">
        <f>D210+D203</f>
        <v>24206.445600000003</v>
      </c>
      <c r="E211" s="632">
        <f t="shared" si="23"/>
        <v>-5.2100599999976112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7833.3391081114232</v>
      </c>
      <c r="D215" s="633">
        <f>IF(D14*D137=0,0,D25/D14*D137)</f>
        <v>8630.8127584756839</v>
      </c>
      <c r="E215" s="633">
        <f t="shared" ref="E215:E223" si="24">D215-C215</f>
        <v>797.47365036426072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3677.7242497183956</v>
      </c>
      <c r="D216" s="633">
        <f>IF(D15*D138=0,0,D26/D15*D138)</f>
        <v>4114.7602769513651</v>
      </c>
      <c r="E216" s="633">
        <f t="shared" si="24"/>
        <v>437.03602723296945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6507.6561588243276</v>
      </c>
      <c r="D217" s="633">
        <f>D218+D219</f>
        <v>7534.6039110398069</v>
      </c>
      <c r="E217" s="633">
        <f t="shared" si="24"/>
        <v>1026.9477522154793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6507.6561588243276</v>
      </c>
      <c r="D218" s="633">
        <f t="shared" si="25"/>
        <v>7534.6039110398069</v>
      </c>
      <c r="E218" s="633">
        <f t="shared" si="24"/>
        <v>1026.9477522154793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43.025102789068626</v>
      </c>
      <c r="D220" s="633">
        <f t="shared" si="25"/>
        <v>33.351775879062856</v>
      </c>
      <c r="E220" s="633">
        <f t="shared" si="24"/>
        <v>-9.6733269100057697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998.17851255562812</v>
      </c>
      <c r="D221" s="633">
        <f t="shared" si="25"/>
        <v>995.21691582336859</v>
      </c>
      <c r="E221" s="633">
        <f t="shared" si="24"/>
        <v>-2.9615967322595225</v>
      </c>
    </row>
    <row r="222" spans="1:5" s="421" customFormat="1" x14ac:dyDescent="0.2">
      <c r="A222" s="588"/>
      <c r="B222" s="592" t="s">
        <v>825</v>
      </c>
      <c r="C222" s="634">
        <f>C216+C218+C219+C220</f>
        <v>10228.405511331792</v>
      </c>
      <c r="D222" s="634">
        <f>D216+D218+D219+D220</f>
        <v>11682.715963870234</v>
      </c>
      <c r="E222" s="634">
        <f t="shared" si="24"/>
        <v>1454.3104525384424</v>
      </c>
    </row>
    <row r="223" spans="1:5" s="421" customFormat="1" x14ac:dyDescent="0.2">
      <c r="A223" s="588"/>
      <c r="B223" s="592" t="s">
        <v>826</v>
      </c>
      <c r="C223" s="634">
        <f>C215+C222</f>
        <v>18061.744619443216</v>
      </c>
      <c r="D223" s="634">
        <f>D215+D222</f>
        <v>20313.528722345916</v>
      </c>
      <c r="E223" s="634">
        <f t="shared" si="24"/>
        <v>2251.7841029027004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13679.007832403611</v>
      </c>
      <c r="D227" s="636">
        <f t="shared" si="26"/>
        <v>12913.350047192303</v>
      </c>
      <c r="E227" s="636">
        <f t="shared" ref="E227:E235" si="27">D227-C227</f>
        <v>-765.65778521130778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11085.910717538411</v>
      </c>
      <c r="D228" s="636">
        <f t="shared" si="26"/>
        <v>11040.956129963093</v>
      </c>
      <c r="E228" s="636">
        <f t="shared" si="27"/>
        <v>-44.954587575317419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7434.4934846105389</v>
      </c>
      <c r="D229" s="636">
        <f t="shared" si="26"/>
        <v>7684.0472047498524</v>
      </c>
      <c r="E229" s="636">
        <f t="shared" si="27"/>
        <v>249.55372013931355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7434.4934846105389</v>
      </c>
      <c r="D230" s="636">
        <f t="shared" si="26"/>
        <v>7684.0472047498524</v>
      </c>
      <c r="E230" s="636">
        <f t="shared" si="27"/>
        <v>249.55372013931355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3078.6657469080656</v>
      </c>
      <c r="D232" s="636">
        <f t="shared" si="26"/>
        <v>5275.9231417393412</v>
      </c>
      <c r="E232" s="636">
        <f t="shared" si="27"/>
        <v>2197.2573948312756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6919.0255075251198</v>
      </c>
      <c r="D233" s="636">
        <f t="shared" si="26"/>
        <v>7496.231455285284</v>
      </c>
      <c r="E233" s="636">
        <f t="shared" si="27"/>
        <v>577.20594776016424</v>
      </c>
    </row>
    <row r="234" spans="1:5" x14ac:dyDescent="0.2">
      <c r="A234" s="588"/>
      <c r="B234" s="592" t="s">
        <v>828</v>
      </c>
      <c r="C234" s="637">
        <f t="shared" si="26"/>
        <v>9812.6693675901788</v>
      </c>
      <c r="D234" s="637">
        <f t="shared" si="26"/>
        <v>9791.6975673115012</v>
      </c>
      <c r="E234" s="637">
        <f t="shared" si="27"/>
        <v>-20.97180027867762</v>
      </c>
    </row>
    <row r="235" spans="1:5" s="421" customFormat="1" x14ac:dyDescent="0.2">
      <c r="A235" s="588"/>
      <c r="B235" s="592" t="s">
        <v>829</v>
      </c>
      <c r="C235" s="637">
        <f t="shared" si="26"/>
        <v>10908.640685665525</v>
      </c>
      <c r="D235" s="637">
        <f t="shared" si="26"/>
        <v>10643.215375660107</v>
      </c>
      <c r="E235" s="637">
        <f t="shared" si="27"/>
        <v>-265.42531000541749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12488.341644587015</v>
      </c>
      <c r="D239" s="636">
        <f t="shared" si="28"/>
        <v>13061.952698405028</v>
      </c>
      <c r="E239" s="638">
        <f t="shared" ref="E239:E247" si="29">D239-C239</f>
        <v>573.61105381801281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9371.9285785602806</v>
      </c>
      <c r="D240" s="636">
        <f t="shared" si="28"/>
        <v>9035.8197069859234</v>
      </c>
      <c r="E240" s="638">
        <f t="shared" si="29"/>
        <v>-336.10887157435718</v>
      </c>
    </row>
    <row r="241" spans="1:5" x14ac:dyDescent="0.2">
      <c r="A241" s="588">
        <v>3</v>
      </c>
      <c r="B241" s="587" t="s">
        <v>777</v>
      </c>
      <c r="C241" s="636">
        <f t="shared" si="28"/>
        <v>5112.1331840633375</v>
      </c>
      <c r="D241" s="636">
        <f t="shared" si="28"/>
        <v>5659.3330589710304</v>
      </c>
      <c r="E241" s="638">
        <f t="shared" si="29"/>
        <v>547.1998749076929</v>
      </c>
    </row>
    <row r="242" spans="1:5" x14ac:dyDescent="0.2">
      <c r="A242" s="588">
        <v>4</v>
      </c>
      <c r="B242" s="587" t="s">
        <v>115</v>
      </c>
      <c r="C242" s="636">
        <f t="shared" si="28"/>
        <v>5112.1331840633375</v>
      </c>
      <c r="D242" s="636">
        <f t="shared" si="28"/>
        <v>5659.3330589710304</v>
      </c>
      <c r="E242" s="638">
        <f t="shared" si="29"/>
        <v>547.1998749076929</v>
      </c>
    </row>
    <row r="243" spans="1:5" x14ac:dyDescent="0.2">
      <c r="A243" s="588">
        <v>5</v>
      </c>
      <c r="B243" s="587" t="s">
        <v>743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5474.8038872750149</v>
      </c>
      <c r="D244" s="636">
        <f t="shared" si="28"/>
        <v>16385.574248928289</v>
      </c>
      <c r="E244" s="638">
        <f t="shared" si="29"/>
        <v>10910.770361653274</v>
      </c>
    </row>
    <row r="245" spans="1:5" x14ac:dyDescent="0.2">
      <c r="A245" s="588">
        <v>7</v>
      </c>
      <c r="B245" s="587" t="s">
        <v>758</v>
      </c>
      <c r="C245" s="636">
        <f t="shared" si="28"/>
        <v>3314.8960415190249</v>
      </c>
      <c r="D245" s="636">
        <f t="shared" si="28"/>
        <v>12020.867822672</v>
      </c>
      <c r="E245" s="638">
        <f t="shared" si="29"/>
        <v>8705.9717811529754</v>
      </c>
    </row>
    <row r="246" spans="1:5" ht="25.5" x14ac:dyDescent="0.2">
      <c r="A246" s="588"/>
      <c r="B246" s="592" t="s">
        <v>831</v>
      </c>
      <c r="C246" s="637">
        <f t="shared" si="28"/>
        <v>6645.3102514069005</v>
      </c>
      <c r="D246" s="637">
        <f t="shared" si="28"/>
        <v>6879.1840226659033</v>
      </c>
      <c r="E246" s="639">
        <f t="shared" si="29"/>
        <v>233.87377125900275</v>
      </c>
    </row>
    <row r="247" spans="1:5" x14ac:dyDescent="0.2">
      <c r="A247" s="588"/>
      <c r="B247" s="592" t="s">
        <v>832</v>
      </c>
      <c r="C247" s="637">
        <f t="shared" si="28"/>
        <v>9179.4201774684898</v>
      </c>
      <c r="D247" s="637">
        <f t="shared" si="28"/>
        <v>9506.1189830389758</v>
      </c>
      <c r="E247" s="639">
        <f t="shared" si="29"/>
        <v>326.698805570486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27721283.734329537</v>
      </c>
      <c r="D251" s="622">
        <f>((IF((IF(D15=0,0,D26/D15)*D138)=0,0,D59/(IF(D15=0,0,D26/D15)*D138)))-(IF((IF(D17=0,0,D28/D17)*D140)=0,0,D61/(IF(D17=0,0,D28/D17)*D140))))*(IF(D17=0,0,D28/D17)*D140)</f>
        <v>25440489.503706701</v>
      </c>
      <c r="E251" s="622">
        <f>D251-C251</f>
        <v>-2280794.2306228355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7492531.0954990536</v>
      </c>
      <c r="D253" s="622">
        <f>IF(D233=0,0,(D228-D233)*D209+IF(D221=0,0,(D240-D245)*D221))</f>
        <v>-2070490.5999231734</v>
      </c>
      <c r="E253" s="622">
        <f>D253-C253</f>
        <v>-9563021.6954222266</v>
      </c>
    </row>
    <row r="254" spans="1:5" ht="15" customHeight="1" x14ac:dyDescent="0.2">
      <c r="A254" s="588"/>
      <c r="B254" s="592" t="s">
        <v>759</v>
      </c>
      <c r="C254" s="640">
        <f>+C251+C252+C253</f>
        <v>35213814.82982859</v>
      </c>
      <c r="D254" s="640">
        <f>+D251+D252+D253</f>
        <v>23369998.903783526</v>
      </c>
      <c r="E254" s="640">
        <f>D254-C254</f>
        <v>-11843815.926045064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1512519567</v>
      </c>
      <c r="D258" s="625">
        <f>+D44</f>
        <v>1693079737</v>
      </c>
      <c r="E258" s="622">
        <f t="shared" ref="E258:E271" si="30">D258-C258</f>
        <v>180560170</v>
      </c>
    </row>
    <row r="259" spans="1:5" x14ac:dyDescent="0.2">
      <c r="A259" s="588">
        <v>2</v>
      </c>
      <c r="B259" s="587" t="s">
        <v>742</v>
      </c>
      <c r="C259" s="622">
        <f>+(C43-C76)</f>
        <v>757770895</v>
      </c>
      <c r="D259" s="625">
        <f>+(D43-D76)</f>
        <v>895491283</v>
      </c>
      <c r="E259" s="622">
        <f t="shared" si="30"/>
        <v>137720388</v>
      </c>
    </row>
    <row r="260" spans="1:5" x14ac:dyDescent="0.2">
      <c r="A260" s="588">
        <v>3</v>
      </c>
      <c r="B260" s="587" t="s">
        <v>746</v>
      </c>
      <c r="C260" s="622">
        <f>C195</f>
        <v>52150647</v>
      </c>
      <c r="D260" s="622">
        <f>D195</f>
        <v>68855500</v>
      </c>
      <c r="E260" s="622">
        <f t="shared" si="30"/>
        <v>16704853</v>
      </c>
    </row>
    <row r="261" spans="1:5" x14ac:dyDescent="0.2">
      <c r="A261" s="588">
        <v>4</v>
      </c>
      <c r="B261" s="587" t="s">
        <v>747</v>
      </c>
      <c r="C261" s="622">
        <f>C188</f>
        <v>271322158</v>
      </c>
      <c r="D261" s="622">
        <f>D188</f>
        <v>177392491</v>
      </c>
      <c r="E261" s="622">
        <f t="shared" si="30"/>
        <v>-93929667</v>
      </c>
    </row>
    <row r="262" spans="1:5" x14ac:dyDescent="0.2">
      <c r="A262" s="588">
        <v>5</v>
      </c>
      <c r="B262" s="587" t="s">
        <v>748</v>
      </c>
      <c r="C262" s="622">
        <f>C191</f>
        <v>1448291</v>
      </c>
      <c r="D262" s="622">
        <f>D191</f>
        <v>0</v>
      </c>
      <c r="E262" s="622">
        <f t="shared" si="30"/>
        <v>-1448291</v>
      </c>
    </row>
    <row r="263" spans="1:5" x14ac:dyDescent="0.2">
      <c r="A263" s="588">
        <v>6</v>
      </c>
      <c r="B263" s="587" t="s">
        <v>749</v>
      </c>
      <c r="C263" s="622">
        <f>+C259+C260+C261+C262</f>
        <v>1082691991</v>
      </c>
      <c r="D263" s="622">
        <f>+D259+D260+D261+D262</f>
        <v>1141739274</v>
      </c>
      <c r="E263" s="622">
        <f t="shared" si="30"/>
        <v>59047283</v>
      </c>
    </row>
    <row r="264" spans="1:5" x14ac:dyDescent="0.2">
      <c r="A264" s="588">
        <v>7</v>
      </c>
      <c r="B264" s="587" t="s">
        <v>654</v>
      </c>
      <c r="C264" s="622">
        <f>+C258-C263</f>
        <v>429827576</v>
      </c>
      <c r="D264" s="622">
        <f>+D258-D263</f>
        <v>551340463</v>
      </c>
      <c r="E264" s="622">
        <f t="shared" si="30"/>
        <v>121512887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429827576</v>
      </c>
      <c r="D266" s="622">
        <f>+D264+D265</f>
        <v>551340463</v>
      </c>
      <c r="E266" s="641">
        <f t="shared" si="30"/>
        <v>121512887</v>
      </c>
    </row>
    <row r="267" spans="1:5" x14ac:dyDescent="0.2">
      <c r="A267" s="588">
        <v>10</v>
      </c>
      <c r="B267" s="587" t="s">
        <v>837</v>
      </c>
      <c r="C267" s="642">
        <f>IF(C258=0,0,C266/C258)</f>
        <v>0.2841798449275863</v>
      </c>
      <c r="D267" s="642">
        <f>IF(D258=0,0,D266/D258)</f>
        <v>0.32564353051494821</v>
      </c>
      <c r="E267" s="643">
        <f t="shared" si="30"/>
        <v>4.1463685587361909E-2</v>
      </c>
    </row>
    <row r="268" spans="1:5" x14ac:dyDescent="0.2">
      <c r="A268" s="588">
        <v>11</v>
      </c>
      <c r="B268" s="587" t="s">
        <v>716</v>
      </c>
      <c r="C268" s="622">
        <f>+C260*C267</f>
        <v>14820162.777333293</v>
      </c>
      <c r="D268" s="644">
        <f>+D260*D267</f>
        <v>22422348.115372017</v>
      </c>
      <c r="E268" s="622">
        <f t="shared" si="30"/>
        <v>7602185.3380387239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41713643.666602045</v>
      </c>
      <c r="D269" s="644">
        <f>((D17+D18+D28+D29)*D267)-(D50+D51+D61+D62)</f>
        <v>75703588.820979953</v>
      </c>
      <c r="E269" s="622">
        <f t="shared" si="30"/>
        <v>33989945.154377908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840</v>
      </c>
      <c r="C271" s="622">
        <f>+C268+C269+C270</f>
        <v>56533806.443935335</v>
      </c>
      <c r="D271" s="622">
        <f>+D268+D269+D270</f>
        <v>98125936.93635197</v>
      </c>
      <c r="E271" s="625">
        <f t="shared" si="30"/>
        <v>41592130.492416635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0.43943273580310194</v>
      </c>
      <c r="D276" s="623">
        <f t="shared" si="31"/>
        <v>0.4182030328454524</v>
      </c>
      <c r="E276" s="650">
        <f t="shared" ref="E276:E284" si="32">D276-C276</f>
        <v>-2.1229702957649532E-2</v>
      </c>
    </row>
    <row r="277" spans="1:5" x14ac:dyDescent="0.2">
      <c r="A277" s="588">
        <v>2</v>
      </c>
      <c r="B277" s="587" t="s">
        <v>635</v>
      </c>
      <c r="C277" s="623">
        <f t="shared" si="31"/>
        <v>0.33213944842539467</v>
      </c>
      <c r="D277" s="623">
        <f t="shared" si="31"/>
        <v>0.30935325088854393</v>
      </c>
      <c r="E277" s="650">
        <f t="shared" si="32"/>
        <v>-2.2786197536850739E-2</v>
      </c>
    </row>
    <row r="278" spans="1:5" x14ac:dyDescent="0.2">
      <c r="A278" s="588">
        <v>3</v>
      </c>
      <c r="B278" s="587" t="s">
        <v>777</v>
      </c>
      <c r="C278" s="623">
        <f t="shared" si="31"/>
        <v>0.22495219673460506</v>
      </c>
      <c r="D278" s="623">
        <f t="shared" si="31"/>
        <v>0.21665518321714269</v>
      </c>
      <c r="E278" s="650">
        <f t="shared" si="32"/>
        <v>-8.2970135174623705E-3</v>
      </c>
    </row>
    <row r="279" spans="1:5" x14ac:dyDescent="0.2">
      <c r="A279" s="588">
        <v>4</v>
      </c>
      <c r="B279" s="587" t="s">
        <v>115</v>
      </c>
      <c r="C279" s="623">
        <f t="shared" si="31"/>
        <v>0.22495219673460506</v>
      </c>
      <c r="D279" s="623">
        <f t="shared" si="31"/>
        <v>0.21665518321714269</v>
      </c>
      <c r="E279" s="650">
        <f t="shared" si="32"/>
        <v>-8.2970135174623705E-3</v>
      </c>
    </row>
    <row r="280" spans="1:5" x14ac:dyDescent="0.2">
      <c r="A280" s="588">
        <v>5</v>
      </c>
      <c r="B280" s="587" t="s">
        <v>743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0.13667222795829198</v>
      </c>
      <c r="D281" s="623">
        <f t="shared" si="31"/>
        <v>0.15483849897122701</v>
      </c>
      <c r="E281" s="650">
        <f t="shared" si="32"/>
        <v>1.8166271012935026E-2</v>
      </c>
    </row>
    <row r="282" spans="1:5" x14ac:dyDescent="0.2">
      <c r="A282" s="588">
        <v>7</v>
      </c>
      <c r="B282" s="587" t="s">
        <v>758</v>
      </c>
      <c r="C282" s="623">
        <f t="shared" si="31"/>
        <v>0.19858819977157605</v>
      </c>
      <c r="D282" s="623">
        <f t="shared" si="31"/>
        <v>0.23319565624520394</v>
      </c>
      <c r="E282" s="650">
        <f t="shared" si="32"/>
        <v>3.4607456473627896E-2</v>
      </c>
    </row>
    <row r="283" spans="1:5" ht="29.25" customHeight="1" x14ac:dyDescent="0.2">
      <c r="A283" s="588"/>
      <c r="B283" s="592" t="s">
        <v>844</v>
      </c>
      <c r="C283" s="651">
        <f t="shared" si="31"/>
        <v>0.29514104592113166</v>
      </c>
      <c r="D283" s="651">
        <f t="shared" si="31"/>
        <v>0.27501112694972113</v>
      </c>
      <c r="E283" s="652">
        <f t="shared" si="32"/>
        <v>-2.0129918971410532E-2</v>
      </c>
    </row>
    <row r="284" spans="1:5" x14ac:dyDescent="0.2">
      <c r="A284" s="588"/>
      <c r="B284" s="592" t="s">
        <v>845</v>
      </c>
      <c r="C284" s="651">
        <f t="shared" si="31"/>
        <v>0.33414078294595329</v>
      </c>
      <c r="D284" s="651">
        <f t="shared" si="31"/>
        <v>0.31015825933561753</v>
      </c>
      <c r="E284" s="652">
        <f t="shared" si="32"/>
        <v>-2.398252361033576E-2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0.32296172416174218</v>
      </c>
      <c r="D287" s="623">
        <f t="shared" si="33"/>
        <v>0.33063590584662639</v>
      </c>
      <c r="E287" s="650">
        <f t="shared" ref="E287:E295" si="34">D287-C287</f>
        <v>7.674181684884207E-3</v>
      </c>
    </row>
    <row r="288" spans="1:5" x14ac:dyDescent="0.2">
      <c r="A288" s="588">
        <v>2</v>
      </c>
      <c r="B288" s="587" t="s">
        <v>635</v>
      </c>
      <c r="C288" s="623">
        <f t="shared" si="33"/>
        <v>0.17636641818560386</v>
      </c>
      <c r="D288" s="623">
        <f t="shared" si="33"/>
        <v>0.15902160255641842</v>
      </c>
      <c r="E288" s="650">
        <f t="shared" si="34"/>
        <v>-1.7344815629185439E-2</v>
      </c>
    </row>
    <row r="289" spans="1:5" x14ac:dyDescent="0.2">
      <c r="A289" s="588">
        <v>3</v>
      </c>
      <c r="B289" s="587" t="s">
        <v>777</v>
      </c>
      <c r="C289" s="623">
        <f t="shared" si="33"/>
        <v>0.14946174103475887</v>
      </c>
      <c r="D289" s="623">
        <f t="shared" si="33"/>
        <v>0.14890162924323377</v>
      </c>
      <c r="E289" s="650">
        <f t="shared" si="34"/>
        <v>-5.6011179152509749E-4</v>
      </c>
    </row>
    <row r="290" spans="1:5" x14ac:dyDescent="0.2">
      <c r="A290" s="588">
        <v>4</v>
      </c>
      <c r="B290" s="587" t="s">
        <v>115</v>
      </c>
      <c r="C290" s="623">
        <f t="shared" si="33"/>
        <v>0.14946174103475887</v>
      </c>
      <c r="D290" s="623">
        <f t="shared" si="33"/>
        <v>0.14890162924323377</v>
      </c>
      <c r="E290" s="650">
        <f t="shared" si="34"/>
        <v>-5.6011179152509749E-4</v>
      </c>
    </row>
    <row r="291" spans="1:5" x14ac:dyDescent="0.2">
      <c r="A291" s="588">
        <v>5</v>
      </c>
      <c r="B291" s="587" t="s">
        <v>743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0.20155473887317799</v>
      </c>
      <c r="D292" s="623">
        <f t="shared" si="33"/>
        <v>0.42537087472649959</v>
      </c>
      <c r="E292" s="650">
        <f t="shared" si="34"/>
        <v>0.22381613585332161</v>
      </c>
    </row>
    <row r="293" spans="1:5" x14ac:dyDescent="0.2">
      <c r="A293" s="588">
        <v>7</v>
      </c>
      <c r="B293" s="587" t="s">
        <v>758</v>
      </c>
      <c r="C293" s="623">
        <f t="shared" si="33"/>
        <v>8.2495184270961211E-2</v>
      </c>
      <c r="D293" s="623">
        <f t="shared" si="33"/>
        <v>0.31656052925649109</v>
      </c>
      <c r="E293" s="650">
        <f t="shared" si="34"/>
        <v>0.23406534498552989</v>
      </c>
    </row>
    <row r="294" spans="1:5" ht="29.25" customHeight="1" x14ac:dyDescent="0.2">
      <c r="A294" s="588"/>
      <c r="B294" s="592" t="s">
        <v>847</v>
      </c>
      <c r="C294" s="651">
        <f t="shared" si="33"/>
        <v>0.1621503608713529</v>
      </c>
      <c r="D294" s="651">
        <f t="shared" si="33"/>
        <v>0.15412024829806042</v>
      </c>
      <c r="E294" s="652">
        <f t="shared" si="34"/>
        <v>-8.030112573292475E-3</v>
      </c>
    </row>
    <row r="295" spans="1:5" x14ac:dyDescent="0.2">
      <c r="A295" s="588"/>
      <c r="B295" s="592" t="s">
        <v>848</v>
      </c>
      <c r="C295" s="651">
        <f t="shared" si="33"/>
        <v>0.22960762799843329</v>
      </c>
      <c r="D295" s="651">
        <f t="shared" si="33"/>
        <v>0.2239067876882142</v>
      </c>
      <c r="E295" s="652">
        <f t="shared" si="34"/>
        <v>-5.7008403102190852E-3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429912595</v>
      </c>
      <c r="D301" s="590">
        <f>+D48+D47+D50+D51+D52+D59+D58+D61+D62+D63</f>
        <v>450737235</v>
      </c>
      <c r="E301" s="590">
        <f>D301-C301</f>
        <v>20824640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429912595</v>
      </c>
      <c r="D303" s="593">
        <f>+D301+D302</f>
        <v>450737235</v>
      </c>
      <c r="E303" s="593">
        <f>D303-C303</f>
        <v>20824640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-11085595</v>
      </c>
      <c r="D305" s="654">
        <v>-11362275</v>
      </c>
      <c r="E305" s="655">
        <f>D305-C305</f>
        <v>-276680</v>
      </c>
    </row>
    <row r="306" spans="1:5" x14ac:dyDescent="0.2">
      <c r="A306" s="588">
        <v>4</v>
      </c>
      <c r="B306" s="592" t="s">
        <v>855</v>
      </c>
      <c r="C306" s="593">
        <f>+C303+C305+C194+C190-C191</f>
        <v>452075554</v>
      </c>
      <c r="D306" s="593">
        <f>+D303+D305</f>
        <v>439374960</v>
      </c>
      <c r="E306" s="656">
        <f>D306-C306</f>
        <v>-12700594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418827000</v>
      </c>
      <c r="D308" s="589">
        <v>439374962</v>
      </c>
      <c r="E308" s="590">
        <f>D308-C308</f>
        <v>20547962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33248554</v>
      </c>
      <c r="D310" s="658">
        <f>D306-D308</f>
        <v>-2</v>
      </c>
      <c r="E310" s="656">
        <f>D310-C310</f>
        <v>-33248556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1512519567</v>
      </c>
      <c r="D314" s="590">
        <f>+D14+D15+D16+D19+D25+D26+D27+D30</f>
        <v>1693079737</v>
      </c>
      <c r="E314" s="590">
        <f>D314-C314</f>
        <v>180560170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1512519567</v>
      </c>
      <c r="D316" s="657">
        <f>D314+D315</f>
        <v>1693079737</v>
      </c>
      <c r="E316" s="593">
        <f>D316-C316</f>
        <v>180560170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1512519566</v>
      </c>
      <c r="D318" s="589">
        <v>1693079737</v>
      </c>
      <c r="E318" s="590">
        <f>D318-C318</f>
        <v>180560171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1</v>
      </c>
      <c r="D320" s="657">
        <f>D316-D318</f>
        <v>0</v>
      </c>
      <c r="E320" s="593">
        <f>D320-C320</f>
        <v>-1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52150647</v>
      </c>
      <c r="D324" s="589">
        <f>+D193+D194</f>
        <v>68855500</v>
      </c>
      <c r="E324" s="590">
        <f>D324-C324</f>
        <v>16704853</v>
      </c>
    </row>
    <row r="325" spans="1:5" x14ac:dyDescent="0.2">
      <c r="A325" s="588">
        <v>2</v>
      </c>
      <c r="B325" s="587" t="s">
        <v>865</v>
      </c>
      <c r="C325" s="589">
        <v>0</v>
      </c>
      <c r="D325" s="589">
        <v>687500</v>
      </c>
      <c r="E325" s="590">
        <f>D325-C325</f>
        <v>687500</v>
      </c>
    </row>
    <row r="326" spans="1:5" x14ac:dyDescent="0.2">
      <c r="A326" s="588"/>
      <c r="B326" s="592" t="s">
        <v>866</v>
      </c>
      <c r="C326" s="657">
        <f>C324+C325</f>
        <v>52150647</v>
      </c>
      <c r="D326" s="657">
        <f>D324+D325</f>
        <v>69543000</v>
      </c>
      <c r="E326" s="593">
        <f>D326-C326</f>
        <v>17392353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52150647</v>
      </c>
      <c r="D328" s="589">
        <v>69543000</v>
      </c>
      <c r="E328" s="590">
        <f>D328-C328</f>
        <v>17392353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FILING&amp;RBRIDGEPORT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203888134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395362847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230209572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230209572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1194141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8164273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626766560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830654694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340964989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233806171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286369150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286369150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1284733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37791733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521460054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862425043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544853123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1148226614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1693079737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85266636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122306782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49876097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49876097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184899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1903873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172367778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257634414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112735268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37180232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42640833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42640833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546488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11963371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80367553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193102821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198001904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252735331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450737235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5161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6958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6057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6057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31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215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13046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18207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1.2794000000000001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1.59206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1.0716300000000001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1.0716300000000001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1.1305099999999999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1.18129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1.3493378966733101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1.3295131323117482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485798950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308406459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177392491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0.36515618446684578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13389500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55466000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68855500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5236454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426496000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450737235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450737235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-11362275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439374960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439374962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-2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1693079737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1693079737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1693079737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68855500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687500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69543000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69543000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FILING&amp;RBRIDGEPORT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882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3167</v>
      </c>
      <c r="D12" s="185">
        <v>1972</v>
      </c>
      <c r="E12" s="185">
        <f>+D12-C12</f>
        <v>-1195</v>
      </c>
      <c r="F12" s="77">
        <f>IF(C12=0,0,+E12/C12)</f>
        <v>-0.37732870224186926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2237</v>
      </c>
      <c r="D13" s="185">
        <v>1763</v>
      </c>
      <c r="E13" s="185">
        <f>+D13-C13</f>
        <v>-474</v>
      </c>
      <c r="F13" s="77">
        <f>IF(C13=0,0,+E13/C13)</f>
        <v>-0.21189092534644613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19484535</v>
      </c>
      <c r="D15" s="76">
        <v>13389500</v>
      </c>
      <c r="E15" s="76">
        <f>+D15-C15</f>
        <v>-6095035</v>
      </c>
      <c r="F15" s="77">
        <f>IF(C15=0,0,+E15/C15)</f>
        <v>-0.31281398298702023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8710.1184622261953</v>
      </c>
      <c r="D16" s="79">
        <f>IF(D13=0,0,+D15/+D13)</f>
        <v>7594.7249007373794</v>
      </c>
      <c r="E16" s="79">
        <f>+D16-C16</f>
        <v>-1115.393561488816</v>
      </c>
      <c r="F16" s="80">
        <f>IF(C16=0,0,+E16/C16)</f>
        <v>-0.12805722061370628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0.28969600000000001</v>
      </c>
      <c r="D18" s="704">
        <v>0.26972099999999999</v>
      </c>
      <c r="E18" s="704">
        <f>+D18-C18</f>
        <v>-1.9975000000000021E-2</v>
      </c>
      <c r="F18" s="77">
        <f>IF(C18=0,0,+E18/C18)</f>
        <v>-6.895159063293943E-2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5644591.8513599997</v>
      </c>
      <c r="D19" s="79">
        <f>+D15*D18</f>
        <v>3611429.3295</v>
      </c>
      <c r="E19" s="79">
        <f>+D19-C19</f>
        <v>-2033162.5218599997</v>
      </c>
      <c r="F19" s="80">
        <f>IF(C19=0,0,+E19/C19)</f>
        <v>-0.36019655192077926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2523.2864780330797</v>
      </c>
      <c r="D20" s="79">
        <f>IF(D13=0,0,+D19/D13)</f>
        <v>2048.4567949517868</v>
      </c>
      <c r="E20" s="79">
        <f>+D20-C20</f>
        <v>-474.82968308129284</v>
      </c>
      <c r="F20" s="80">
        <f>IF(C20=0,0,+E20/C20)</f>
        <v>-0.18817906219329725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10575273</v>
      </c>
      <c r="D22" s="76">
        <v>2743485</v>
      </c>
      <c r="E22" s="76">
        <f>+D22-C22</f>
        <v>-7831788</v>
      </c>
      <c r="F22" s="77">
        <f>IF(C22=0,0,+E22/C22)</f>
        <v>-0.74057549152631807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5790544</v>
      </c>
      <c r="D23" s="185">
        <v>4256896</v>
      </c>
      <c r="E23" s="185">
        <f>+D23-C23</f>
        <v>-1533648</v>
      </c>
      <c r="F23" s="77">
        <f>IF(C23=0,0,+E23/C23)</f>
        <v>-0.26485387210597139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3118718</v>
      </c>
      <c r="D24" s="185">
        <v>6389119</v>
      </c>
      <c r="E24" s="185">
        <f>+D24-C24</f>
        <v>3270401</v>
      </c>
      <c r="F24" s="77">
        <f>IF(C24=0,0,+E24/C24)</f>
        <v>1.0486363306974211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19484535</v>
      </c>
      <c r="D25" s="79">
        <f>+D22+D23+D24</f>
        <v>13389500</v>
      </c>
      <c r="E25" s="79">
        <f>+E22+E23+E24</f>
        <v>-6095035</v>
      </c>
      <c r="F25" s="80">
        <f>IF(C25=0,0,+E25/C25)</f>
        <v>-0.31281398298702023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2664</v>
      </c>
      <c r="D27" s="185">
        <v>3334</v>
      </c>
      <c r="E27" s="185">
        <f>+D27-C27</f>
        <v>670</v>
      </c>
      <c r="F27" s="77">
        <f>IF(C27=0,0,+E27/C27)</f>
        <v>0.25150150150150152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437</v>
      </c>
      <c r="D28" s="185">
        <v>511</v>
      </c>
      <c r="E28" s="185">
        <f>+D28-C28</f>
        <v>74</v>
      </c>
      <c r="F28" s="77">
        <f>IF(C28=0,0,+E28/C28)</f>
        <v>0.16933638443935928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1620</v>
      </c>
      <c r="D29" s="185">
        <v>3044</v>
      </c>
      <c r="E29" s="185">
        <f>+D29-C29</f>
        <v>1424</v>
      </c>
      <c r="F29" s="77">
        <f>IF(C29=0,0,+E29/C29)</f>
        <v>0.87901234567901232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5327</v>
      </c>
      <c r="D30" s="185">
        <v>5222</v>
      </c>
      <c r="E30" s="185">
        <f>+D30-C30</f>
        <v>-105</v>
      </c>
      <c r="F30" s="77">
        <f>IF(C30=0,0,+E30/C30)</f>
        <v>-1.9710906701708279E-2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17729603</v>
      </c>
      <c r="D33" s="76">
        <v>30104291</v>
      </c>
      <c r="E33" s="76">
        <f>+D33-C33</f>
        <v>12374688</v>
      </c>
      <c r="F33" s="77">
        <f>IF(C33=0,0,+E33/C33)</f>
        <v>0.69796757434444523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9707933</v>
      </c>
      <c r="D34" s="185">
        <v>16483756</v>
      </c>
      <c r="E34" s="185">
        <f>+D34-C34</f>
        <v>6775823</v>
      </c>
      <c r="F34" s="77">
        <f>IF(C34=0,0,+E34/C34)</f>
        <v>0.69796763121459537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5228576</v>
      </c>
      <c r="D35" s="185">
        <v>8877953</v>
      </c>
      <c r="E35" s="185">
        <f>+D35-C35</f>
        <v>3649377</v>
      </c>
      <c r="F35" s="77">
        <f>IF(C35=0,0,+E35/C35)</f>
        <v>0.69796766844356861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32666112</v>
      </c>
      <c r="D36" s="79">
        <f>+D33+D34+D35</f>
        <v>55466000</v>
      </c>
      <c r="E36" s="79">
        <f>+E33+E34+E35</f>
        <v>22799888</v>
      </c>
      <c r="F36" s="80">
        <f>IF(C36=0,0,+E36/C36)</f>
        <v>0.69796760630711119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19484535</v>
      </c>
      <c r="D39" s="76">
        <f>+D25</f>
        <v>13389500</v>
      </c>
      <c r="E39" s="76">
        <f>+D39-C39</f>
        <v>-6095035</v>
      </c>
      <c r="F39" s="77">
        <f>IF(C39=0,0,+E39/C39)</f>
        <v>-0.31281398298702023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32666112</v>
      </c>
      <c r="D40" s="185">
        <f>+D36</f>
        <v>55466000</v>
      </c>
      <c r="E40" s="185">
        <f>+D40-C40</f>
        <v>22799888</v>
      </c>
      <c r="F40" s="77">
        <f>IF(C40=0,0,+E40/C40)</f>
        <v>0.69796760630711119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52150647</v>
      </c>
      <c r="D41" s="79">
        <f>+D39+D40</f>
        <v>68855500</v>
      </c>
      <c r="E41" s="79">
        <f>+E39+E40</f>
        <v>16704853</v>
      </c>
      <c r="F41" s="80">
        <f>IF(C41=0,0,+E41/C41)</f>
        <v>0.32031918990381847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28304876</v>
      </c>
      <c r="D43" s="76">
        <f t="shared" si="0"/>
        <v>32847776</v>
      </c>
      <c r="E43" s="76">
        <f>+D43-C43</f>
        <v>4542900</v>
      </c>
      <c r="F43" s="77">
        <f>IF(C43=0,0,+E43/C43)</f>
        <v>0.16049884832563832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15498477</v>
      </c>
      <c r="D44" s="185">
        <f t="shared" si="0"/>
        <v>20740652</v>
      </c>
      <c r="E44" s="185">
        <f>+D44-C44</f>
        <v>5242175</v>
      </c>
      <c r="F44" s="77">
        <f>IF(C44=0,0,+E44/C44)</f>
        <v>0.33823807332810829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8347294</v>
      </c>
      <c r="D45" s="185">
        <f t="shared" si="0"/>
        <v>15267072</v>
      </c>
      <c r="E45" s="185">
        <f>+D45-C45</f>
        <v>6919778</v>
      </c>
      <c r="F45" s="77">
        <f>IF(C45=0,0,+E45/C45)</f>
        <v>0.82898457871497033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52150647</v>
      </c>
      <c r="D46" s="79">
        <f>+D43+D44+D45</f>
        <v>68855500</v>
      </c>
      <c r="E46" s="79">
        <f>+E43+E44+E45</f>
        <v>16704853</v>
      </c>
      <c r="F46" s="80">
        <f>IF(C46=0,0,+E46/C46)</f>
        <v>0.32031918990381847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911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FILING&amp;RBRIDGEPORT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629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912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913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445668953</v>
      </c>
      <c r="D15" s="76">
        <v>485798950</v>
      </c>
      <c r="E15" s="76">
        <f>+D15-C15</f>
        <v>40129997</v>
      </c>
      <c r="F15" s="77">
        <f>IF(C15=0,0,E15/C15)</f>
        <v>9.0044407917282049E-2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271322158</v>
      </c>
      <c r="D17" s="76">
        <v>177392491</v>
      </c>
      <c r="E17" s="76">
        <f>+D17-C17</f>
        <v>-93929667</v>
      </c>
      <c r="F17" s="77">
        <f>IF(C17=0,0,E17/C17)</f>
        <v>-0.3461923924399864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174346795</v>
      </c>
      <c r="D19" s="79">
        <f>+D15-D17</f>
        <v>308406459</v>
      </c>
      <c r="E19" s="79">
        <f>+D19-C19</f>
        <v>134059664</v>
      </c>
      <c r="F19" s="80">
        <f>IF(C19=0,0,E19/C19)</f>
        <v>0.76892531348224669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0.60879753048447149</v>
      </c>
      <c r="D21" s="720">
        <f>IF(D15=0,0,D17/D15)</f>
        <v>0.36515618446684578</v>
      </c>
      <c r="E21" s="720">
        <f>+D21-C21</f>
        <v>-0.24364134601762572</v>
      </c>
      <c r="F21" s="80">
        <f>IF(C21=0,0,E21/C21)</f>
        <v>-0.4002009433641095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FILING&amp;R&amp;12BRIDGEPORT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766945754</v>
      </c>
      <c r="D10" s="744">
        <v>790434049</v>
      </c>
      <c r="E10" s="744">
        <v>830654694</v>
      </c>
    </row>
    <row r="11" spans="1:6" ht="26.1" customHeight="1" x14ac:dyDescent="0.25">
      <c r="A11" s="742">
        <v>2</v>
      </c>
      <c r="B11" s="743" t="s">
        <v>932</v>
      </c>
      <c r="C11" s="744">
        <v>623852109</v>
      </c>
      <c r="D11" s="744">
        <v>722085518</v>
      </c>
      <c r="E11" s="744">
        <v>862425043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1390797863</v>
      </c>
      <c r="D12" s="744">
        <f>+D11+D10</f>
        <v>1512519567</v>
      </c>
      <c r="E12" s="744">
        <f>+E11+E10</f>
        <v>1693079737</v>
      </c>
    </row>
    <row r="13" spans="1:6" ht="26.1" customHeight="1" x14ac:dyDescent="0.25">
      <c r="A13" s="742">
        <v>4</v>
      </c>
      <c r="B13" s="743" t="s">
        <v>507</v>
      </c>
      <c r="C13" s="744">
        <v>420616000</v>
      </c>
      <c r="D13" s="744">
        <v>418827000</v>
      </c>
      <c r="E13" s="744">
        <v>439375000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403987000</v>
      </c>
      <c r="D16" s="744">
        <v>409234000</v>
      </c>
      <c r="E16" s="744">
        <v>426496000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100830</v>
      </c>
      <c r="D19" s="747">
        <v>97440</v>
      </c>
      <c r="E19" s="747">
        <v>101235</v>
      </c>
    </row>
    <row r="20" spans="1:5" ht="26.1" customHeight="1" x14ac:dyDescent="0.25">
      <c r="A20" s="742">
        <v>2</v>
      </c>
      <c r="B20" s="743" t="s">
        <v>381</v>
      </c>
      <c r="C20" s="748">
        <v>18936</v>
      </c>
      <c r="D20" s="748">
        <v>18453</v>
      </c>
      <c r="E20" s="748">
        <v>18207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5.3247782002534851</v>
      </c>
      <c r="D21" s="749">
        <f>IF(D20=0,0,+D19/D20)</f>
        <v>5.2804422045195905</v>
      </c>
      <c r="E21" s="749">
        <f>IF(E20=0,0,+E19/E20)</f>
        <v>5.5602240896358541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182847.54533798486</v>
      </c>
      <c r="D22" s="748">
        <f>IF(D10=0,0,D19*(D12/D10))</f>
        <v>186454.40033224077</v>
      </c>
      <c r="E22" s="748">
        <f>IF(E10=0,0,E19*(E12/E10))</f>
        <v>206341.97147532762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34338.997505901832</v>
      </c>
      <c r="D23" s="748">
        <f>IF(D10=0,0,D20*(D12/D10))</f>
        <v>35310.376122032416</v>
      </c>
      <c r="E23" s="748">
        <f>IF(E10=0,0,E20*(E12/E10))</f>
        <v>37110.369680953132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1.2798160308407267</v>
      </c>
      <c r="D26" s="750">
        <v>1.3120715146588631</v>
      </c>
      <c r="E26" s="750">
        <v>1.3295131323117482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129043.85038967048</v>
      </c>
      <c r="D27" s="748">
        <f>D19*D26</f>
        <v>127848.24838835961</v>
      </c>
      <c r="E27" s="748">
        <f>E19*E26</f>
        <v>134593.26194957981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24234.59636</v>
      </c>
      <c r="D28" s="748">
        <f>D20*D26</f>
        <v>24211.65566</v>
      </c>
      <c r="E28" s="748">
        <f>E20*E26</f>
        <v>24206.445599999999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234011.21972342962</v>
      </c>
      <c r="D29" s="748">
        <f>D22*D26</f>
        <v>244641.50745873316</v>
      </c>
      <c r="E29" s="748">
        <f>E22*E26</f>
        <v>274334.36082354421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43947.599491052897</v>
      </c>
      <c r="D30" s="748">
        <f>D23*D26</f>
        <v>46329.738681609226</v>
      </c>
      <c r="E30" s="748">
        <f>E23*E26</f>
        <v>49338.723835770928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13793.492641079043</v>
      </c>
      <c r="D33" s="744">
        <f>IF(D19=0,0,D12/D19)</f>
        <v>15522.573552955664</v>
      </c>
      <c r="E33" s="744">
        <f>IF(E19=0,0,E12/E19)</f>
        <v>16724.252847335407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73447.288920574574</v>
      </c>
      <c r="D34" s="744">
        <f>IF(D20=0,0,D12/D20)</f>
        <v>81966.052511786707</v>
      </c>
      <c r="E34" s="744">
        <f>IF(E20=0,0,E12/E20)</f>
        <v>92990.593562915368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7606.3250421501543</v>
      </c>
      <c r="D35" s="744">
        <f>IF(D22=0,0,D12/D22)</f>
        <v>8112.0078920361238</v>
      </c>
      <c r="E35" s="744">
        <f>IF(E22=0,0,E12/E22)</f>
        <v>8205.2125648244182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40501.993768483313</v>
      </c>
      <c r="D36" s="744">
        <f>IF(D23=0,0,D12/D23)</f>
        <v>42834.988836503551</v>
      </c>
      <c r="E36" s="744">
        <f>IF(E23=0,0,E12/E23)</f>
        <v>45622.820563519526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5943.2956447290844</v>
      </c>
      <c r="D37" s="744">
        <f>IF(D29=0,0,D12/D29)</f>
        <v>6182.59584283806</v>
      </c>
      <c r="E37" s="744">
        <f>IF(E29=0,0,E12/E29)</f>
        <v>6171.5919650656269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31646.73108671491</v>
      </c>
      <c r="D38" s="744">
        <f>IF(D30=0,0,D12/D30)</f>
        <v>32646.840022009463</v>
      </c>
      <c r="E38" s="744">
        <f>IF(E30=0,0,E12/E30)</f>
        <v>34315.434315560975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4194.4547441549612</v>
      </c>
      <c r="D39" s="744">
        <f>IF(D22=0,0,D10/D22)</f>
        <v>4239.2887890633601</v>
      </c>
      <c r="E39" s="744">
        <f>IF(E22=0,0,E10/E22)</f>
        <v>4025.6215837276791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22334.541183626145</v>
      </c>
      <c r="D40" s="744">
        <f>IF(D23=0,0,D10/D23)</f>
        <v>22385.319438916918</v>
      </c>
      <c r="E40" s="744">
        <f>IF(E23=0,0,E10/E23)</f>
        <v>22383.358105600681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4171.536249132203</v>
      </c>
      <c r="D43" s="744">
        <f>IF(D19=0,0,D13/D19)</f>
        <v>4298.3066502463053</v>
      </c>
      <c r="E43" s="744">
        <f>IF(E19=0,0,E13/E19)</f>
        <v>4340.1491578999357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22212.505280946345</v>
      </c>
      <c r="D44" s="744">
        <f>IF(D20=0,0,D13/D20)</f>
        <v>22696.959843927816</v>
      </c>
      <c r="E44" s="744">
        <f>IF(E20=0,0,E13/E20)</f>
        <v>24132.201900367989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2300.3644879263302</v>
      </c>
      <c r="D45" s="744">
        <f>IF(D22=0,0,D13/D22)</f>
        <v>2246.2703977685555</v>
      </c>
      <c r="E45" s="744">
        <f>IF(E22=0,0,E13/E22)</f>
        <v>2129.3535040811425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12248.930677947394</v>
      </c>
      <c r="D46" s="744">
        <f>IF(D23=0,0,D13/D23)</f>
        <v>11861.301011140091</v>
      </c>
      <c r="E46" s="744">
        <f>IF(E23=0,0,E13/E23)</f>
        <v>11839.682648742486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1797.4180917355698</v>
      </c>
      <c r="D47" s="744">
        <f>IF(D29=0,0,D13/D29)</f>
        <v>1712.0030216893956</v>
      </c>
      <c r="E47" s="744">
        <f>IF(E29=0,0,E13/E29)</f>
        <v>1601.6039648879869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9570.8526716147808</v>
      </c>
      <c r="D48" s="744">
        <f>IF(D30=0,0,D13/D30)</f>
        <v>9040.1330099937531</v>
      </c>
      <c r="E48" s="744">
        <f>IF(E30=0,0,E13/E30)</f>
        <v>8905.2769476264803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4006.6150947138749</v>
      </c>
      <c r="D51" s="744">
        <f>IF(D19=0,0,D16/D19)</f>
        <v>4199.85632183908</v>
      </c>
      <c r="E51" s="744">
        <f>IF(E19=0,0,E16/E19)</f>
        <v>4212.9303106633079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21334.336713138993</v>
      </c>
      <c r="D52" s="744">
        <f>IF(D20=0,0,D16/D20)</f>
        <v>22177.098574757492</v>
      </c>
      <c r="E52" s="744">
        <f>IF(E20=0,0,E16/E20)</f>
        <v>23424.83660130719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2209.4198708177873</v>
      </c>
      <c r="D53" s="744">
        <f>IF(D22=0,0,D16/D22)</f>
        <v>2194.8208209127329</v>
      </c>
      <c r="E53" s="744">
        <f>IF(E22=0,0,E16/E22)</f>
        <v>2066.9377003165655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11764.670763337424</v>
      </c>
      <c r="D54" s="744">
        <f>IF(D23=0,0,D16/D23)</f>
        <v>11589.624494105929</v>
      </c>
      <c r="E54" s="744">
        <f>IF(E23=0,0,E16/E23)</f>
        <v>11492.636793076699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1726.3573963567187</v>
      </c>
      <c r="D55" s="744">
        <f>IF(D29=0,0,D16/D29)</f>
        <v>1672.7905425821118</v>
      </c>
      <c r="E55" s="744">
        <f>IF(E29=0,0,E16/E29)</f>
        <v>1554.6576036617168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9192.4702299666205</v>
      </c>
      <c r="D56" s="744">
        <f>IF(D30=0,0,D16/D30)</f>
        <v>8833.0737803718075</v>
      </c>
      <c r="E56" s="744">
        <f>IF(E30=0,0,E16/E30)</f>
        <v>8644.2446590154268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51727848</v>
      </c>
      <c r="D59" s="752">
        <v>53194778</v>
      </c>
      <c r="E59" s="752">
        <v>53745825</v>
      </c>
    </row>
    <row r="60" spans="1:6" ht="26.1" customHeight="1" x14ac:dyDescent="0.25">
      <c r="A60" s="742">
        <v>2</v>
      </c>
      <c r="B60" s="743" t="s">
        <v>968</v>
      </c>
      <c r="C60" s="752">
        <v>13134644</v>
      </c>
      <c r="D60" s="752">
        <v>13655559</v>
      </c>
      <c r="E60" s="752">
        <v>13784956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64862492</v>
      </c>
      <c r="D61" s="755">
        <f>D59+D60</f>
        <v>66850337</v>
      </c>
      <c r="E61" s="755">
        <f>E59+E60</f>
        <v>67530781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10838798</v>
      </c>
      <c r="D64" s="744">
        <v>11387101</v>
      </c>
      <c r="E64" s="752">
        <v>13355748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2452958</v>
      </c>
      <c r="D65" s="752">
        <v>2563288</v>
      </c>
      <c r="E65" s="752">
        <v>2616814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13291756</v>
      </c>
      <c r="D66" s="757">
        <f>D64+D65</f>
        <v>13950389</v>
      </c>
      <c r="E66" s="757">
        <f>E64+E65</f>
        <v>15972562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81647354</v>
      </c>
      <c r="D69" s="752">
        <v>83395121</v>
      </c>
      <c r="E69" s="752">
        <v>86349427</v>
      </c>
    </row>
    <row r="70" spans="1:6" ht="26.1" customHeight="1" x14ac:dyDescent="0.25">
      <c r="A70" s="742">
        <v>2</v>
      </c>
      <c r="B70" s="743" t="s">
        <v>976</v>
      </c>
      <c r="C70" s="752">
        <v>31766398</v>
      </c>
      <c r="D70" s="752">
        <v>31797153</v>
      </c>
      <c r="E70" s="752">
        <v>31703230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113413752</v>
      </c>
      <c r="D71" s="755">
        <f>D69+D70</f>
        <v>115192274</v>
      </c>
      <c r="E71" s="755">
        <f>E69+E70</f>
        <v>118052657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144214000</v>
      </c>
      <c r="D75" s="744">
        <f t="shared" si="0"/>
        <v>147977000</v>
      </c>
      <c r="E75" s="744">
        <f t="shared" si="0"/>
        <v>153451000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47354000</v>
      </c>
      <c r="D76" s="744">
        <f t="shared" si="0"/>
        <v>48016000</v>
      </c>
      <c r="E76" s="744">
        <f t="shared" si="0"/>
        <v>48105000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191568000</v>
      </c>
      <c r="D77" s="757">
        <f>D75+D76</f>
        <v>195993000</v>
      </c>
      <c r="E77" s="757">
        <f>E75+E76</f>
        <v>201556000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585.4</v>
      </c>
      <c r="D80" s="749">
        <v>606.5</v>
      </c>
      <c r="E80" s="749">
        <v>616.4</v>
      </c>
    </row>
    <row r="81" spans="1:5" ht="26.1" customHeight="1" x14ac:dyDescent="0.25">
      <c r="A81" s="742">
        <v>2</v>
      </c>
      <c r="B81" s="743" t="s">
        <v>617</v>
      </c>
      <c r="C81" s="749">
        <v>109.3</v>
      </c>
      <c r="D81" s="749">
        <v>107.2</v>
      </c>
      <c r="E81" s="749">
        <v>117</v>
      </c>
    </row>
    <row r="82" spans="1:5" ht="26.1" customHeight="1" x14ac:dyDescent="0.25">
      <c r="A82" s="742">
        <v>3</v>
      </c>
      <c r="B82" s="743" t="s">
        <v>982</v>
      </c>
      <c r="C82" s="749">
        <v>1415.9</v>
      </c>
      <c r="D82" s="749">
        <v>1412.3</v>
      </c>
      <c r="E82" s="749">
        <v>1417.6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2110.6</v>
      </c>
      <c r="D83" s="759">
        <f>D80+D81+D82</f>
        <v>2126</v>
      </c>
      <c r="E83" s="759">
        <f>E80+E81+E82</f>
        <v>2151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88363.252476938855</v>
      </c>
      <c r="D86" s="752">
        <f>IF(D80=0,0,D59/D80)</f>
        <v>87707.795548227528</v>
      </c>
      <c r="E86" s="752">
        <f>IF(E80=0,0,E59/E80)</f>
        <v>87193.09701492537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22437.041339255211</v>
      </c>
      <c r="D87" s="752">
        <f>IF(D80=0,0,D60/D80)</f>
        <v>22515.348722176423</v>
      </c>
      <c r="E87" s="752">
        <f>IF(E80=0,0,E60/E80)</f>
        <v>22363.653471771577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110800.29381619407</v>
      </c>
      <c r="D88" s="755">
        <f>+D86+D87</f>
        <v>110223.14427040395</v>
      </c>
      <c r="E88" s="755">
        <f>+E86+E87</f>
        <v>109556.75048669695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99165.580969807866</v>
      </c>
      <c r="D91" s="744">
        <f>IF(D81=0,0,D64/D81)</f>
        <v>106222.95708955223</v>
      </c>
      <c r="E91" s="744">
        <f>IF(E81=0,0,E64/E81)</f>
        <v>114151.69230769231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22442.433668801463</v>
      </c>
      <c r="D92" s="744">
        <f>IF(D81=0,0,D65/D81)</f>
        <v>23911.268656716416</v>
      </c>
      <c r="E92" s="744">
        <f>IF(E81=0,0,E65/E81)</f>
        <v>22365.931623931625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121608.01463860933</v>
      </c>
      <c r="D93" s="757">
        <f>+D91+D92</f>
        <v>130134.22574626865</v>
      </c>
      <c r="E93" s="757">
        <f>+E91+E92</f>
        <v>136517.62393162394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57664.63309555759</v>
      </c>
      <c r="D96" s="752">
        <f>IF(D82=0,0,D69/D82)</f>
        <v>59049.154570558669</v>
      </c>
      <c r="E96" s="752">
        <f>IF(E82=0,0,E69/E82)</f>
        <v>60912.406179458245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22435.481319302209</v>
      </c>
      <c r="D97" s="752">
        <f>IF(D82=0,0,D70/D82)</f>
        <v>22514.446647312896</v>
      </c>
      <c r="E97" s="752">
        <f>IF(E82=0,0,E70/E82)</f>
        <v>22364.016647855533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80100.114414859796</v>
      </c>
      <c r="D98" s="757">
        <f>+D96+D97</f>
        <v>81563.601217871561</v>
      </c>
      <c r="E98" s="757">
        <f>+E96+E97</f>
        <v>83276.422827313771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68328.437411162711</v>
      </c>
      <c r="D101" s="744">
        <f>IF(D83=0,0,D75/D83)</f>
        <v>69603.480714957666</v>
      </c>
      <c r="E101" s="744">
        <f>IF(E83=0,0,E75/E83)</f>
        <v>71339.377033937708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22436.274045295177</v>
      </c>
      <c r="D102" s="761">
        <f>IF(D83=0,0,D76/D83)</f>
        <v>22585.136406396989</v>
      </c>
      <c r="E102" s="761">
        <f>IF(E83=0,0,E76/E83)</f>
        <v>22364.016736401674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90764.711456457881</v>
      </c>
      <c r="D103" s="757">
        <f>+D101+D102</f>
        <v>92188.617121354648</v>
      </c>
      <c r="E103" s="757">
        <f>+E101+E102</f>
        <v>93703.393770339375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1899.9107408509371</v>
      </c>
      <c r="D108" s="744">
        <f>IF(D19=0,0,D77/D19)</f>
        <v>2011.4224137931035</v>
      </c>
      <c r="E108" s="744">
        <f>IF(E19=0,0,E77/E19)</f>
        <v>1990.9715019509063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10116.60329531052</v>
      </c>
      <c r="D109" s="744">
        <f>IF(D20=0,0,D77/D20)</f>
        <v>10621.199804909771</v>
      </c>
      <c r="E109" s="744">
        <f>IF(E20=0,0,E77/E20)</f>
        <v>11070.247706925908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1047.6924896415524</v>
      </c>
      <c r="D110" s="744">
        <f>IF(D22=0,0,D77/D22)</f>
        <v>1051.1578147298349</v>
      </c>
      <c r="E110" s="744">
        <f>IF(E22=0,0,E77/E22)</f>
        <v>976.80563270231289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5578.7301294126382</v>
      </c>
      <c r="D111" s="744">
        <f>IF(D23=0,0,D77/D23)</f>
        <v>5550.5780885100048</v>
      </c>
      <c r="E111" s="744">
        <f>IF(E23=0,0,E77/E23)</f>
        <v>5431.2582098433923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818.62741549917178</v>
      </c>
      <c r="D112" s="744">
        <f>IF(D29=0,0,D77/D29)</f>
        <v>801.14368994828351</v>
      </c>
      <c r="E112" s="744">
        <f>IF(E29=0,0,E77/E29)</f>
        <v>734.7092773757339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4359.0094161798415</v>
      </c>
      <c r="D113" s="744">
        <f>IF(D30=0,0,D77/D30)</f>
        <v>4230.3929522874732</v>
      </c>
      <c r="E113" s="744">
        <f>IF(E30=0,0,E77/E30)</f>
        <v>4085.148222943506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FILING&amp;R&amp;"Arial,Bold"&amp;12BRIDGEPORT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1512520000</v>
      </c>
      <c r="D12" s="76">
        <v>1693080000</v>
      </c>
      <c r="E12" s="76">
        <f t="shared" ref="E12:E21" si="0">D12-C12</f>
        <v>180560000</v>
      </c>
      <c r="F12" s="77">
        <f t="shared" ref="F12:F21" si="1">IF(C12=0,0,E12/C12)</f>
        <v>0.11937693385872583</v>
      </c>
    </row>
    <row r="13" spans="1:8" ht="23.1" customHeight="1" x14ac:dyDescent="0.2">
      <c r="A13" s="74">
        <v>2</v>
      </c>
      <c r="B13" s="75" t="s">
        <v>72</v>
      </c>
      <c r="C13" s="76">
        <v>1032289000</v>
      </c>
      <c r="D13" s="76">
        <v>1163019000</v>
      </c>
      <c r="E13" s="76">
        <f t="shared" si="0"/>
        <v>130730000</v>
      </c>
      <c r="F13" s="77">
        <f t="shared" si="1"/>
        <v>0.12664089223076097</v>
      </c>
    </row>
    <row r="14" spans="1:8" ht="23.1" customHeight="1" x14ac:dyDescent="0.2">
      <c r="A14" s="74">
        <v>3</v>
      </c>
      <c r="B14" s="75" t="s">
        <v>73</v>
      </c>
      <c r="C14" s="76">
        <v>37167000</v>
      </c>
      <c r="D14" s="76">
        <v>49238000</v>
      </c>
      <c r="E14" s="76">
        <f t="shared" si="0"/>
        <v>12071000</v>
      </c>
      <c r="F14" s="77">
        <f t="shared" si="1"/>
        <v>0.32477735625689458</v>
      </c>
    </row>
    <row r="15" spans="1:8" ht="23.1" customHeight="1" x14ac:dyDescent="0.2">
      <c r="A15" s="74">
        <v>4</v>
      </c>
      <c r="B15" s="75" t="s">
        <v>74</v>
      </c>
      <c r="C15" s="76">
        <v>9253000</v>
      </c>
      <c r="D15" s="76">
        <v>21143000</v>
      </c>
      <c r="E15" s="76">
        <f t="shared" si="0"/>
        <v>11890000</v>
      </c>
      <c r="F15" s="77">
        <f t="shared" si="1"/>
        <v>1.2849886523289744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433811000</v>
      </c>
      <c r="D16" s="79">
        <f>D12-D13-D14-D15</f>
        <v>459680000</v>
      </c>
      <c r="E16" s="79">
        <f t="shared" si="0"/>
        <v>25869000</v>
      </c>
      <c r="F16" s="80">
        <f t="shared" si="1"/>
        <v>5.9631959539984E-2</v>
      </c>
    </row>
    <row r="17" spans="1:7" ht="23.1" customHeight="1" x14ac:dyDescent="0.2">
      <c r="A17" s="74">
        <v>5</v>
      </c>
      <c r="B17" s="75" t="s">
        <v>76</v>
      </c>
      <c r="C17" s="76">
        <v>14984000</v>
      </c>
      <c r="D17" s="76">
        <v>20305000</v>
      </c>
      <c r="E17" s="76">
        <f t="shared" si="0"/>
        <v>5321000</v>
      </c>
      <c r="F17" s="77">
        <f t="shared" si="1"/>
        <v>0.35511211959423383</v>
      </c>
      <c r="G17" s="65"/>
    </row>
    <row r="18" spans="1:7" ht="31.5" customHeight="1" x14ac:dyDescent="0.25">
      <c r="A18" s="71"/>
      <c r="B18" s="81" t="s">
        <v>77</v>
      </c>
      <c r="C18" s="79">
        <f>C16-C17</f>
        <v>418827000</v>
      </c>
      <c r="D18" s="79">
        <f>D16-D17</f>
        <v>439375000</v>
      </c>
      <c r="E18" s="79">
        <f t="shared" si="0"/>
        <v>20548000</v>
      </c>
      <c r="F18" s="80">
        <f t="shared" si="1"/>
        <v>4.9060829411666389E-2</v>
      </c>
    </row>
    <row r="19" spans="1:7" ht="23.1" customHeight="1" x14ac:dyDescent="0.2">
      <c r="A19" s="74">
        <v>6</v>
      </c>
      <c r="B19" s="75" t="s">
        <v>78</v>
      </c>
      <c r="C19" s="76">
        <v>19603000</v>
      </c>
      <c r="D19" s="76">
        <v>20346000</v>
      </c>
      <c r="E19" s="76">
        <f t="shared" si="0"/>
        <v>743000</v>
      </c>
      <c r="F19" s="77">
        <f t="shared" si="1"/>
        <v>3.7902361883385194E-2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3282000</v>
      </c>
      <c r="D20" s="76">
        <v>3819000</v>
      </c>
      <c r="E20" s="76">
        <f t="shared" si="0"/>
        <v>537000</v>
      </c>
      <c r="F20" s="77">
        <f t="shared" si="1"/>
        <v>0.16361974405850091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441712000</v>
      </c>
      <c r="D21" s="79">
        <f>SUM(D18:D20)</f>
        <v>463540000</v>
      </c>
      <c r="E21" s="79">
        <f t="shared" si="0"/>
        <v>21828000</v>
      </c>
      <c r="F21" s="80">
        <f t="shared" si="1"/>
        <v>4.9416814576013331E-2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147977000</v>
      </c>
      <c r="D24" s="76">
        <v>153451000</v>
      </c>
      <c r="E24" s="76">
        <f t="shared" ref="E24:E33" si="2">D24-C24</f>
        <v>5474000</v>
      </c>
      <c r="F24" s="77">
        <f t="shared" ref="F24:F33" si="3">IF(C24=0,0,E24/C24)</f>
        <v>3.6992235279806995E-2</v>
      </c>
    </row>
    <row r="25" spans="1:7" ht="23.1" customHeight="1" x14ac:dyDescent="0.2">
      <c r="A25" s="74">
        <v>2</v>
      </c>
      <c r="B25" s="75" t="s">
        <v>83</v>
      </c>
      <c r="C25" s="76">
        <v>48016000</v>
      </c>
      <c r="D25" s="76">
        <v>48105000</v>
      </c>
      <c r="E25" s="76">
        <f t="shared" si="2"/>
        <v>89000</v>
      </c>
      <c r="F25" s="77">
        <f t="shared" si="3"/>
        <v>1.8535488170609796E-3</v>
      </c>
    </row>
    <row r="26" spans="1:7" ht="23.1" customHeight="1" x14ac:dyDescent="0.2">
      <c r="A26" s="74">
        <v>3</v>
      </c>
      <c r="B26" s="75" t="s">
        <v>84</v>
      </c>
      <c r="C26" s="76">
        <v>22467000</v>
      </c>
      <c r="D26" s="76">
        <v>25569000</v>
      </c>
      <c r="E26" s="76">
        <f t="shared" si="2"/>
        <v>3102000</v>
      </c>
      <c r="F26" s="77">
        <f t="shared" si="3"/>
        <v>0.13806916811323275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47722000</v>
      </c>
      <c r="D27" s="76">
        <v>50108000</v>
      </c>
      <c r="E27" s="76">
        <f t="shared" si="2"/>
        <v>2386000</v>
      </c>
      <c r="F27" s="77">
        <f t="shared" si="3"/>
        <v>4.9997904530405264E-2</v>
      </c>
    </row>
    <row r="28" spans="1:7" ht="23.1" customHeight="1" x14ac:dyDescent="0.2">
      <c r="A28" s="74">
        <v>5</v>
      </c>
      <c r="B28" s="75" t="s">
        <v>86</v>
      </c>
      <c r="C28" s="76">
        <v>22794000</v>
      </c>
      <c r="D28" s="76">
        <v>30957000</v>
      </c>
      <c r="E28" s="76">
        <f t="shared" si="2"/>
        <v>8163000</v>
      </c>
      <c r="F28" s="77">
        <f t="shared" si="3"/>
        <v>0.35812055804158988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1665000</v>
      </c>
      <c r="D30" s="76">
        <v>2566000</v>
      </c>
      <c r="E30" s="76">
        <f t="shared" si="2"/>
        <v>901000</v>
      </c>
      <c r="F30" s="77">
        <f t="shared" si="3"/>
        <v>0.54114114114114109</v>
      </c>
    </row>
    <row r="31" spans="1:7" ht="23.1" customHeight="1" x14ac:dyDescent="0.2">
      <c r="A31" s="74">
        <v>8</v>
      </c>
      <c r="B31" s="75" t="s">
        <v>89</v>
      </c>
      <c r="C31" s="76">
        <v>292000</v>
      </c>
      <c r="D31" s="76">
        <v>-285000</v>
      </c>
      <c r="E31" s="76">
        <f t="shared" si="2"/>
        <v>-577000</v>
      </c>
      <c r="F31" s="77">
        <f t="shared" si="3"/>
        <v>-1.976027397260274</v>
      </c>
    </row>
    <row r="32" spans="1:7" ht="23.1" customHeight="1" x14ac:dyDescent="0.2">
      <c r="A32" s="74">
        <v>9</v>
      </c>
      <c r="B32" s="75" t="s">
        <v>90</v>
      </c>
      <c r="C32" s="76">
        <v>118301000</v>
      </c>
      <c r="D32" s="76">
        <v>116025000</v>
      </c>
      <c r="E32" s="76">
        <f t="shared" si="2"/>
        <v>-2276000</v>
      </c>
      <c r="F32" s="77">
        <f t="shared" si="3"/>
        <v>-1.9239059686731303E-2</v>
      </c>
    </row>
    <row r="33" spans="1:6" ht="23.1" customHeight="1" x14ac:dyDescent="0.25">
      <c r="A33" s="71"/>
      <c r="B33" s="78" t="s">
        <v>91</v>
      </c>
      <c r="C33" s="79">
        <f>SUM(C24:C32)</f>
        <v>409234000</v>
      </c>
      <c r="D33" s="79">
        <f>SUM(D24:D32)</f>
        <v>426496000</v>
      </c>
      <c r="E33" s="79">
        <f t="shared" si="2"/>
        <v>17262000</v>
      </c>
      <c r="F33" s="80">
        <f t="shared" si="3"/>
        <v>4.2181245937532072E-2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32478000</v>
      </c>
      <c r="D35" s="79">
        <f>+D21-D33</f>
        <v>37044000</v>
      </c>
      <c r="E35" s="79">
        <f>D35-C35</f>
        <v>4566000</v>
      </c>
      <c r="F35" s="80">
        <f>IF(C35=0,0,E35/C35)</f>
        <v>0.14058747459818954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2934000</v>
      </c>
      <c r="D40" s="76">
        <v>1418000</v>
      </c>
      <c r="E40" s="76">
        <f>D40-C40</f>
        <v>-1516000</v>
      </c>
      <c r="F40" s="77">
        <f>IF(C40=0,0,E40/C40)</f>
        <v>-0.51670074982958414</v>
      </c>
    </row>
    <row r="41" spans="1:6" ht="23.1" customHeight="1" x14ac:dyDescent="0.25">
      <c r="A41" s="83"/>
      <c r="B41" s="78" t="s">
        <v>97</v>
      </c>
      <c r="C41" s="79">
        <f>SUM(C38:C40)</f>
        <v>2934000</v>
      </c>
      <c r="D41" s="79">
        <f>SUM(D38:D40)</f>
        <v>1418000</v>
      </c>
      <c r="E41" s="79">
        <f>D41-C41</f>
        <v>-1516000</v>
      </c>
      <c r="F41" s="80">
        <f>IF(C41=0,0,E41/C41)</f>
        <v>-0.51670074982958414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35412000</v>
      </c>
      <c r="D43" s="79">
        <f>D35+D41</f>
        <v>38462000</v>
      </c>
      <c r="E43" s="79">
        <f>D43-C43</f>
        <v>3050000</v>
      </c>
      <c r="F43" s="80">
        <f>IF(C43=0,0,E43/C43)</f>
        <v>8.6128995820625776E-2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1035000</v>
      </c>
      <c r="D46" s="76">
        <v>4434000</v>
      </c>
      <c r="E46" s="76">
        <f>D46-C46</f>
        <v>3399000</v>
      </c>
      <c r="F46" s="77">
        <f>IF(C46=0,0,E46/C46)</f>
        <v>3.2840579710144926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1035000</v>
      </c>
      <c r="D48" s="79">
        <f>SUM(D46:D47)</f>
        <v>4434000</v>
      </c>
      <c r="E48" s="79">
        <f>D48-C48</f>
        <v>3399000</v>
      </c>
      <c r="F48" s="80">
        <f>IF(C48=0,0,E48/C48)</f>
        <v>3.2840579710144926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36447000</v>
      </c>
      <c r="D50" s="79">
        <f>D43+D48</f>
        <v>42896000</v>
      </c>
      <c r="E50" s="79">
        <f>D50-C50</f>
        <v>6449000</v>
      </c>
      <c r="F50" s="80">
        <f>IF(C50=0,0,E50/C50)</f>
        <v>0.17694186078415233</v>
      </c>
    </row>
    <row r="51" spans="1:6" ht="23.1" customHeight="1" x14ac:dyDescent="0.2">
      <c r="A51" s="85"/>
      <c r="B51" s="75" t="s">
        <v>104</v>
      </c>
      <c r="C51" s="76">
        <v>3747000</v>
      </c>
      <c r="D51" s="76">
        <v>3948000</v>
      </c>
      <c r="E51" s="76">
        <f>D51-C51</f>
        <v>201000</v>
      </c>
      <c r="F51" s="77">
        <f>IF(C51=0,0,E51/C51)</f>
        <v>5.3642914331465175E-2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FILING&amp;RBRIDGEPORT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251223047</v>
      </c>
      <c r="D14" s="113">
        <v>270341260</v>
      </c>
      <c r="E14" s="113">
        <f t="shared" ref="E14:E25" si="0">D14-C14</f>
        <v>19118213</v>
      </c>
      <c r="F14" s="114">
        <f t="shared" ref="F14:F25" si="1">IF(C14=0,0,E14/C14)</f>
        <v>7.6100553783984642E-2</v>
      </c>
    </row>
    <row r="15" spans="1:6" x14ac:dyDescent="0.2">
      <c r="A15" s="115">
        <v>2</v>
      </c>
      <c r="B15" s="116" t="s">
        <v>114</v>
      </c>
      <c r="C15" s="113">
        <v>126966953</v>
      </c>
      <c r="D15" s="113">
        <v>125021587</v>
      </c>
      <c r="E15" s="113">
        <f t="shared" si="0"/>
        <v>-1945366</v>
      </c>
      <c r="F15" s="114">
        <f t="shared" si="1"/>
        <v>-1.5321829452739565E-2</v>
      </c>
    </row>
    <row r="16" spans="1:6" x14ac:dyDescent="0.2">
      <c r="A16" s="115">
        <v>3</v>
      </c>
      <c r="B16" s="116" t="s">
        <v>115</v>
      </c>
      <c r="C16" s="113">
        <v>198004779</v>
      </c>
      <c r="D16" s="113">
        <v>230209572</v>
      </c>
      <c r="E16" s="113">
        <f t="shared" si="0"/>
        <v>32204793</v>
      </c>
      <c r="F16" s="114">
        <f t="shared" si="1"/>
        <v>0.1626465440008395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597583</v>
      </c>
      <c r="D18" s="113">
        <v>1194141</v>
      </c>
      <c r="E18" s="113">
        <f t="shared" si="0"/>
        <v>596558</v>
      </c>
      <c r="F18" s="114">
        <f t="shared" si="1"/>
        <v>0.99828475709650377</v>
      </c>
    </row>
    <row r="19" spans="1:6" x14ac:dyDescent="0.2">
      <c r="A19" s="115">
        <v>6</v>
      </c>
      <c r="B19" s="116" t="s">
        <v>118</v>
      </c>
      <c r="C19" s="113">
        <v>86465399</v>
      </c>
      <c r="D19" s="113">
        <v>82600888</v>
      </c>
      <c r="E19" s="113">
        <f t="shared" si="0"/>
        <v>-3864511</v>
      </c>
      <c r="F19" s="114">
        <f t="shared" si="1"/>
        <v>-4.4694305984755822E-2</v>
      </c>
    </row>
    <row r="20" spans="1:6" x14ac:dyDescent="0.2">
      <c r="A20" s="115">
        <v>7</v>
      </c>
      <c r="B20" s="116" t="s">
        <v>119</v>
      </c>
      <c r="C20" s="113">
        <v>104202777</v>
      </c>
      <c r="D20" s="113">
        <v>105635883</v>
      </c>
      <c r="E20" s="113">
        <f t="shared" si="0"/>
        <v>1433106</v>
      </c>
      <c r="F20" s="114">
        <f t="shared" si="1"/>
        <v>1.3753049978696825E-2</v>
      </c>
    </row>
    <row r="21" spans="1:6" x14ac:dyDescent="0.2">
      <c r="A21" s="115">
        <v>8</v>
      </c>
      <c r="B21" s="116" t="s">
        <v>120</v>
      </c>
      <c r="C21" s="113">
        <v>10878457</v>
      </c>
      <c r="D21" s="113">
        <v>7487090</v>
      </c>
      <c r="E21" s="113">
        <f t="shared" si="0"/>
        <v>-3391367</v>
      </c>
      <c r="F21" s="114">
        <f t="shared" si="1"/>
        <v>-0.31175073817913701</v>
      </c>
    </row>
    <row r="22" spans="1:6" x14ac:dyDescent="0.2">
      <c r="A22" s="115">
        <v>9</v>
      </c>
      <c r="B22" s="116" t="s">
        <v>121</v>
      </c>
      <c r="C22" s="113">
        <v>12095054</v>
      </c>
      <c r="D22" s="113">
        <v>8164273</v>
      </c>
      <c r="E22" s="113">
        <f t="shared" si="0"/>
        <v>-3930781</v>
      </c>
      <c r="F22" s="114">
        <f t="shared" si="1"/>
        <v>-0.32499077722182967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790434049</v>
      </c>
      <c r="D25" s="119">
        <f>SUM(D14:D24)</f>
        <v>830654694</v>
      </c>
      <c r="E25" s="119">
        <f t="shared" si="0"/>
        <v>40220645</v>
      </c>
      <c r="F25" s="120">
        <f t="shared" si="1"/>
        <v>5.0884251571505876E-2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126941448</v>
      </c>
      <c r="D27" s="113">
        <v>151711022</v>
      </c>
      <c r="E27" s="113">
        <f t="shared" ref="E27:E38" si="2">D27-C27</f>
        <v>24769574</v>
      </c>
      <c r="F27" s="114">
        <f t="shared" ref="F27:F38" si="3">IF(C27=0,0,E27/C27)</f>
        <v>0.19512597650532551</v>
      </c>
    </row>
    <row r="28" spans="1:6" x14ac:dyDescent="0.2">
      <c r="A28" s="115">
        <v>2</v>
      </c>
      <c r="B28" s="116" t="s">
        <v>114</v>
      </c>
      <c r="C28" s="113">
        <v>68489005</v>
      </c>
      <c r="D28" s="113">
        <v>82095149</v>
      </c>
      <c r="E28" s="113">
        <f t="shared" si="2"/>
        <v>13606144</v>
      </c>
      <c r="F28" s="114">
        <f t="shared" si="3"/>
        <v>0.19866172679833793</v>
      </c>
    </row>
    <row r="29" spans="1:6" x14ac:dyDescent="0.2">
      <c r="A29" s="115">
        <v>3</v>
      </c>
      <c r="B29" s="116" t="s">
        <v>115</v>
      </c>
      <c r="C29" s="113">
        <v>222585424</v>
      </c>
      <c r="D29" s="113">
        <v>286369150</v>
      </c>
      <c r="E29" s="113">
        <f t="shared" si="2"/>
        <v>63783726</v>
      </c>
      <c r="F29" s="114">
        <f t="shared" si="3"/>
        <v>0.28655841363628554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1168685</v>
      </c>
      <c r="D31" s="113">
        <v>1284733</v>
      </c>
      <c r="E31" s="113">
        <f t="shared" si="2"/>
        <v>116048</v>
      </c>
      <c r="F31" s="114">
        <f t="shared" si="3"/>
        <v>9.9297928868771312E-2</v>
      </c>
    </row>
    <row r="32" spans="1:6" x14ac:dyDescent="0.2">
      <c r="A32" s="115">
        <v>6</v>
      </c>
      <c r="B32" s="116" t="s">
        <v>118</v>
      </c>
      <c r="C32" s="113">
        <v>120442758</v>
      </c>
      <c r="D32" s="113">
        <v>129472200</v>
      </c>
      <c r="E32" s="113">
        <f t="shared" si="2"/>
        <v>9029442</v>
      </c>
      <c r="F32" s="114">
        <f t="shared" si="3"/>
        <v>7.4968741582619694E-2</v>
      </c>
    </row>
    <row r="33" spans="1:6" x14ac:dyDescent="0.2">
      <c r="A33" s="115">
        <v>7</v>
      </c>
      <c r="B33" s="116" t="s">
        <v>119</v>
      </c>
      <c r="C33" s="113">
        <v>136588752</v>
      </c>
      <c r="D33" s="113">
        <v>168089979</v>
      </c>
      <c r="E33" s="113">
        <f t="shared" si="2"/>
        <v>31501227</v>
      </c>
      <c r="F33" s="114">
        <f t="shared" si="3"/>
        <v>0.23062826578867929</v>
      </c>
    </row>
    <row r="34" spans="1:6" x14ac:dyDescent="0.2">
      <c r="A34" s="115">
        <v>8</v>
      </c>
      <c r="B34" s="116" t="s">
        <v>120</v>
      </c>
      <c r="C34" s="113">
        <v>5759735</v>
      </c>
      <c r="D34" s="113">
        <v>5611077</v>
      </c>
      <c r="E34" s="113">
        <f t="shared" si="2"/>
        <v>-148658</v>
      </c>
      <c r="F34" s="114">
        <f t="shared" si="3"/>
        <v>-2.5809867988718233E-2</v>
      </c>
    </row>
    <row r="35" spans="1:6" x14ac:dyDescent="0.2">
      <c r="A35" s="115">
        <v>9</v>
      </c>
      <c r="B35" s="116" t="s">
        <v>121</v>
      </c>
      <c r="C35" s="113">
        <v>40109711</v>
      </c>
      <c r="D35" s="113">
        <v>37791733</v>
      </c>
      <c r="E35" s="113">
        <f t="shared" si="2"/>
        <v>-2317978</v>
      </c>
      <c r="F35" s="114">
        <f t="shared" si="3"/>
        <v>-5.7790942447827662E-2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722085518</v>
      </c>
      <c r="D38" s="119">
        <f>SUM(D27:D37)</f>
        <v>862425043</v>
      </c>
      <c r="E38" s="119">
        <f t="shared" si="2"/>
        <v>140339525</v>
      </c>
      <c r="F38" s="120">
        <f t="shared" si="3"/>
        <v>0.19435305306870868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378164495</v>
      </c>
      <c r="D41" s="119">
        <f t="shared" si="4"/>
        <v>422052282</v>
      </c>
      <c r="E41" s="123">
        <f t="shared" ref="E41:E52" si="5">D41-C41</f>
        <v>43887787</v>
      </c>
      <c r="F41" s="124">
        <f t="shared" ref="F41:F52" si="6">IF(C41=0,0,E41/C41)</f>
        <v>0.1160547528397662</v>
      </c>
    </row>
    <row r="42" spans="1:6" ht="15.75" x14ac:dyDescent="0.25">
      <c r="A42" s="121">
        <v>2</v>
      </c>
      <c r="B42" s="122" t="s">
        <v>114</v>
      </c>
      <c r="C42" s="119">
        <f t="shared" si="4"/>
        <v>195455958</v>
      </c>
      <c r="D42" s="119">
        <f t="shared" si="4"/>
        <v>207116736</v>
      </c>
      <c r="E42" s="123">
        <f t="shared" si="5"/>
        <v>11660778</v>
      </c>
      <c r="F42" s="124">
        <f t="shared" si="6"/>
        <v>5.9659363261773783E-2</v>
      </c>
    </row>
    <row r="43" spans="1:6" ht="15.75" x14ac:dyDescent="0.25">
      <c r="A43" s="121">
        <v>3</v>
      </c>
      <c r="B43" s="122" t="s">
        <v>115</v>
      </c>
      <c r="C43" s="119">
        <f t="shared" si="4"/>
        <v>420590203</v>
      </c>
      <c r="D43" s="119">
        <f t="shared" si="4"/>
        <v>516578722</v>
      </c>
      <c r="E43" s="123">
        <f t="shared" si="5"/>
        <v>95988519</v>
      </c>
      <c r="F43" s="124">
        <f t="shared" si="6"/>
        <v>0.22822338303491108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1766268</v>
      </c>
      <c r="D45" s="119">
        <f t="shared" si="4"/>
        <v>2478874</v>
      </c>
      <c r="E45" s="123">
        <f t="shared" si="5"/>
        <v>712606</v>
      </c>
      <c r="F45" s="124">
        <f t="shared" si="6"/>
        <v>0.403452930132913</v>
      </c>
    </row>
    <row r="46" spans="1:6" ht="15.75" x14ac:dyDescent="0.25">
      <c r="A46" s="121">
        <v>6</v>
      </c>
      <c r="B46" s="122" t="s">
        <v>118</v>
      </c>
      <c r="C46" s="119">
        <f t="shared" si="4"/>
        <v>206908157</v>
      </c>
      <c r="D46" s="119">
        <f t="shared" si="4"/>
        <v>212073088</v>
      </c>
      <c r="E46" s="123">
        <f t="shared" si="5"/>
        <v>5164931</v>
      </c>
      <c r="F46" s="124">
        <f t="shared" si="6"/>
        <v>2.4962432969716123E-2</v>
      </c>
    </row>
    <row r="47" spans="1:6" ht="15.75" x14ac:dyDescent="0.25">
      <c r="A47" s="121">
        <v>7</v>
      </c>
      <c r="B47" s="122" t="s">
        <v>119</v>
      </c>
      <c r="C47" s="119">
        <f t="shared" si="4"/>
        <v>240791529</v>
      </c>
      <c r="D47" s="119">
        <f t="shared" si="4"/>
        <v>273725862</v>
      </c>
      <c r="E47" s="123">
        <f t="shared" si="5"/>
        <v>32934333</v>
      </c>
      <c r="F47" s="124">
        <f t="shared" si="6"/>
        <v>0.13677529743996933</v>
      </c>
    </row>
    <row r="48" spans="1:6" ht="15.75" x14ac:dyDescent="0.25">
      <c r="A48" s="121">
        <v>8</v>
      </c>
      <c r="B48" s="122" t="s">
        <v>120</v>
      </c>
      <c r="C48" s="119">
        <f t="shared" si="4"/>
        <v>16638192</v>
      </c>
      <c r="D48" s="119">
        <f t="shared" si="4"/>
        <v>13098167</v>
      </c>
      <c r="E48" s="123">
        <f t="shared" si="5"/>
        <v>-3540025</v>
      </c>
      <c r="F48" s="124">
        <f t="shared" si="6"/>
        <v>-0.21276500475532437</v>
      </c>
    </row>
    <row r="49" spans="1:6" ht="15.75" x14ac:dyDescent="0.25">
      <c r="A49" s="121">
        <v>9</v>
      </c>
      <c r="B49" s="122" t="s">
        <v>121</v>
      </c>
      <c r="C49" s="119">
        <f t="shared" si="4"/>
        <v>52204765</v>
      </c>
      <c r="D49" s="119">
        <f t="shared" si="4"/>
        <v>45956006</v>
      </c>
      <c r="E49" s="123">
        <f t="shared" si="5"/>
        <v>-6248759</v>
      </c>
      <c r="F49" s="124">
        <f t="shared" si="6"/>
        <v>-0.11969710044667378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1512519567</v>
      </c>
      <c r="D52" s="128">
        <f>SUM(D41:D51)</f>
        <v>1693079737</v>
      </c>
      <c r="E52" s="127">
        <f t="shared" si="5"/>
        <v>180560170</v>
      </c>
      <c r="F52" s="129">
        <f t="shared" si="6"/>
        <v>0.11937708042887091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89352752</v>
      </c>
      <c r="D57" s="113">
        <v>87286898</v>
      </c>
      <c r="E57" s="113">
        <f t="shared" ref="E57:E68" si="7">D57-C57</f>
        <v>-2065854</v>
      </c>
      <c r="F57" s="114">
        <f t="shared" ref="F57:F68" si="8">IF(C57=0,0,E57/C57)</f>
        <v>-2.3120205631719098E-2</v>
      </c>
    </row>
    <row r="58" spans="1:6" x14ac:dyDescent="0.2">
      <c r="A58" s="115">
        <v>2</v>
      </c>
      <c r="B58" s="116" t="s">
        <v>114</v>
      </c>
      <c r="C58" s="113">
        <v>36259066</v>
      </c>
      <c r="D58" s="113">
        <v>35019884</v>
      </c>
      <c r="E58" s="113">
        <f t="shared" si="7"/>
        <v>-1239182</v>
      </c>
      <c r="F58" s="114">
        <f t="shared" si="8"/>
        <v>-3.417578378880471E-2</v>
      </c>
    </row>
    <row r="59" spans="1:6" x14ac:dyDescent="0.2">
      <c r="A59" s="115">
        <v>3</v>
      </c>
      <c r="B59" s="116" t="s">
        <v>115</v>
      </c>
      <c r="C59" s="113">
        <v>44541610</v>
      </c>
      <c r="D59" s="113">
        <v>49876097</v>
      </c>
      <c r="E59" s="113">
        <f t="shared" si="7"/>
        <v>5334487</v>
      </c>
      <c r="F59" s="114">
        <f t="shared" si="8"/>
        <v>0.11976412617325687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81673</v>
      </c>
      <c r="D61" s="113">
        <v>184899</v>
      </c>
      <c r="E61" s="113">
        <f t="shared" si="7"/>
        <v>103226</v>
      </c>
      <c r="F61" s="114">
        <f t="shared" si="8"/>
        <v>1.263893820479228</v>
      </c>
    </row>
    <row r="62" spans="1:6" x14ac:dyDescent="0.2">
      <c r="A62" s="115">
        <v>6</v>
      </c>
      <c r="B62" s="116" t="s">
        <v>118</v>
      </c>
      <c r="C62" s="113">
        <v>37456162</v>
      </c>
      <c r="D62" s="113">
        <v>36792289</v>
      </c>
      <c r="E62" s="113">
        <f t="shared" si="7"/>
        <v>-663873</v>
      </c>
      <c r="F62" s="114">
        <f t="shared" si="8"/>
        <v>-1.772399959184286E-2</v>
      </c>
    </row>
    <row r="63" spans="1:6" x14ac:dyDescent="0.2">
      <c r="A63" s="115">
        <v>7</v>
      </c>
      <c r="B63" s="116" t="s">
        <v>119</v>
      </c>
      <c r="C63" s="113">
        <v>43244678</v>
      </c>
      <c r="D63" s="113">
        <v>42246104</v>
      </c>
      <c r="E63" s="113">
        <f t="shared" si="7"/>
        <v>-998574</v>
      </c>
      <c r="F63" s="114">
        <f t="shared" si="8"/>
        <v>-2.3091257610936541E-2</v>
      </c>
    </row>
    <row r="64" spans="1:6" x14ac:dyDescent="0.2">
      <c r="A64" s="115">
        <v>8</v>
      </c>
      <c r="B64" s="116" t="s">
        <v>120</v>
      </c>
      <c r="C64" s="113">
        <v>10778376</v>
      </c>
      <c r="D64" s="113">
        <v>4324370</v>
      </c>
      <c r="E64" s="113">
        <f t="shared" si="7"/>
        <v>-6454006</v>
      </c>
      <c r="F64" s="114">
        <f t="shared" si="8"/>
        <v>-0.59879206292302289</v>
      </c>
    </row>
    <row r="65" spans="1:6" x14ac:dyDescent="0.2">
      <c r="A65" s="115">
        <v>9</v>
      </c>
      <c r="B65" s="116" t="s">
        <v>121</v>
      </c>
      <c r="C65" s="113">
        <v>2401935</v>
      </c>
      <c r="D65" s="113">
        <v>1903873</v>
      </c>
      <c r="E65" s="113">
        <f t="shared" si="7"/>
        <v>-498062</v>
      </c>
      <c r="F65" s="114">
        <f t="shared" si="8"/>
        <v>-0.20735865042143106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264116252</v>
      </c>
      <c r="D68" s="119">
        <f>SUM(D57:D67)</f>
        <v>257634414</v>
      </c>
      <c r="E68" s="119">
        <f t="shared" si="7"/>
        <v>-6481838</v>
      </c>
      <c r="F68" s="120">
        <f t="shared" si="8"/>
        <v>-2.4541609805972864E-2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21005674</v>
      </c>
      <c r="D70" s="113">
        <v>24332945</v>
      </c>
      <c r="E70" s="113">
        <f t="shared" ref="E70:E81" si="9">D70-C70</f>
        <v>3327271</v>
      </c>
      <c r="F70" s="114">
        <f t="shared" ref="F70:F81" si="10">IF(C70=0,0,E70/C70)</f>
        <v>0.1583986783761378</v>
      </c>
    </row>
    <row r="71" spans="1:6" x14ac:dyDescent="0.2">
      <c r="A71" s="115">
        <v>2</v>
      </c>
      <c r="B71" s="116" t="s">
        <v>114</v>
      </c>
      <c r="C71" s="113">
        <v>13461695</v>
      </c>
      <c r="D71" s="113">
        <v>12847287</v>
      </c>
      <c r="E71" s="113">
        <f t="shared" si="9"/>
        <v>-614408</v>
      </c>
      <c r="F71" s="114">
        <f t="shared" si="10"/>
        <v>-4.5641206400828423E-2</v>
      </c>
    </row>
    <row r="72" spans="1:6" x14ac:dyDescent="0.2">
      <c r="A72" s="115">
        <v>3</v>
      </c>
      <c r="B72" s="116" t="s">
        <v>115</v>
      </c>
      <c r="C72" s="113">
        <v>33268005</v>
      </c>
      <c r="D72" s="113">
        <v>42640833</v>
      </c>
      <c r="E72" s="113">
        <f t="shared" si="9"/>
        <v>9372828</v>
      </c>
      <c r="F72" s="114">
        <f t="shared" si="10"/>
        <v>0.28173700226388687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235554</v>
      </c>
      <c r="D74" s="113">
        <v>546488</v>
      </c>
      <c r="E74" s="113">
        <f t="shared" si="9"/>
        <v>310934</v>
      </c>
      <c r="F74" s="114">
        <f t="shared" si="10"/>
        <v>1.3200115472460667</v>
      </c>
    </row>
    <row r="75" spans="1:6" x14ac:dyDescent="0.2">
      <c r="A75" s="115">
        <v>6</v>
      </c>
      <c r="B75" s="116" t="s">
        <v>118</v>
      </c>
      <c r="C75" s="113">
        <v>43485074</v>
      </c>
      <c r="D75" s="113">
        <v>43843665</v>
      </c>
      <c r="E75" s="113">
        <f t="shared" si="9"/>
        <v>358591</v>
      </c>
      <c r="F75" s="114">
        <f t="shared" si="10"/>
        <v>8.2463007881738923E-3</v>
      </c>
    </row>
    <row r="76" spans="1:6" x14ac:dyDescent="0.2">
      <c r="A76" s="115">
        <v>7</v>
      </c>
      <c r="B76" s="116" t="s">
        <v>119</v>
      </c>
      <c r="C76" s="113">
        <v>45319181</v>
      </c>
      <c r="D76" s="113">
        <v>54428158</v>
      </c>
      <c r="E76" s="113">
        <f t="shared" si="9"/>
        <v>9108977</v>
      </c>
      <c r="F76" s="114">
        <f t="shared" si="10"/>
        <v>0.20099606389621208</v>
      </c>
    </row>
    <row r="77" spans="1:6" x14ac:dyDescent="0.2">
      <c r="A77" s="115">
        <v>8</v>
      </c>
      <c r="B77" s="116" t="s">
        <v>120</v>
      </c>
      <c r="C77" s="113">
        <v>5712302</v>
      </c>
      <c r="D77" s="113">
        <v>2500074</v>
      </c>
      <c r="E77" s="113">
        <f t="shared" si="9"/>
        <v>-3212228</v>
      </c>
      <c r="F77" s="114">
        <f t="shared" si="10"/>
        <v>-0.5623351146350456</v>
      </c>
    </row>
    <row r="78" spans="1:6" x14ac:dyDescent="0.2">
      <c r="A78" s="115">
        <v>9</v>
      </c>
      <c r="B78" s="116" t="s">
        <v>121</v>
      </c>
      <c r="C78" s="113">
        <v>3308858</v>
      </c>
      <c r="D78" s="113">
        <v>11963371</v>
      </c>
      <c r="E78" s="113">
        <f t="shared" si="9"/>
        <v>8654513</v>
      </c>
      <c r="F78" s="114">
        <f t="shared" si="10"/>
        <v>2.6155589027996973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165796343</v>
      </c>
      <c r="D81" s="119">
        <f>SUM(D70:D80)</f>
        <v>193102821</v>
      </c>
      <c r="E81" s="119">
        <f t="shared" si="9"/>
        <v>27306478</v>
      </c>
      <c r="F81" s="120">
        <f t="shared" si="10"/>
        <v>0.16469891618779553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110358426</v>
      </c>
      <c r="D84" s="119">
        <f t="shared" si="11"/>
        <v>111619843</v>
      </c>
      <c r="E84" s="119">
        <f t="shared" ref="E84:E95" si="12">D84-C84</f>
        <v>1261417</v>
      </c>
      <c r="F84" s="120">
        <f t="shared" ref="F84:F95" si="13">IF(C84=0,0,E84/C84)</f>
        <v>1.1430182956759459E-2</v>
      </c>
    </row>
    <row r="85" spans="1:6" ht="15.75" x14ac:dyDescent="0.25">
      <c r="A85" s="130">
        <v>2</v>
      </c>
      <c r="B85" s="122" t="s">
        <v>114</v>
      </c>
      <c r="C85" s="119">
        <f t="shared" si="11"/>
        <v>49720761</v>
      </c>
      <c r="D85" s="119">
        <f t="shared" si="11"/>
        <v>47867171</v>
      </c>
      <c r="E85" s="119">
        <f t="shared" si="12"/>
        <v>-1853590</v>
      </c>
      <c r="F85" s="120">
        <f t="shared" si="13"/>
        <v>-3.7280000601760704E-2</v>
      </c>
    </row>
    <row r="86" spans="1:6" ht="15.75" x14ac:dyDescent="0.25">
      <c r="A86" s="130">
        <v>3</v>
      </c>
      <c r="B86" s="122" t="s">
        <v>115</v>
      </c>
      <c r="C86" s="119">
        <f t="shared" si="11"/>
        <v>77809615</v>
      </c>
      <c r="D86" s="119">
        <f t="shared" si="11"/>
        <v>92516930</v>
      </c>
      <c r="E86" s="119">
        <f t="shared" si="12"/>
        <v>14707315</v>
      </c>
      <c r="F86" s="120">
        <f t="shared" si="13"/>
        <v>0.18901667872280309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317227</v>
      </c>
      <c r="D88" s="119">
        <f t="shared" si="11"/>
        <v>731387</v>
      </c>
      <c r="E88" s="119">
        <f t="shared" si="12"/>
        <v>414160</v>
      </c>
      <c r="F88" s="120">
        <f t="shared" si="13"/>
        <v>1.305563523911899</v>
      </c>
    </row>
    <row r="89" spans="1:6" ht="15.75" x14ac:dyDescent="0.25">
      <c r="A89" s="130">
        <v>6</v>
      </c>
      <c r="B89" s="122" t="s">
        <v>118</v>
      </c>
      <c r="C89" s="119">
        <f t="shared" si="11"/>
        <v>80941236</v>
      </c>
      <c r="D89" s="119">
        <f t="shared" si="11"/>
        <v>80635954</v>
      </c>
      <c r="E89" s="119">
        <f t="shared" si="12"/>
        <v>-305282</v>
      </c>
      <c r="F89" s="120">
        <f t="shared" si="13"/>
        <v>-3.7716498423621798E-3</v>
      </c>
    </row>
    <row r="90" spans="1:6" ht="15.75" x14ac:dyDescent="0.25">
      <c r="A90" s="130">
        <v>7</v>
      </c>
      <c r="B90" s="122" t="s">
        <v>119</v>
      </c>
      <c r="C90" s="119">
        <f t="shared" si="11"/>
        <v>88563859</v>
      </c>
      <c r="D90" s="119">
        <f t="shared" si="11"/>
        <v>96674262</v>
      </c>
      <c r="E90" s="119">
        <f t="shared" si="12"/>
        <v>8110403</v>
      </c>
      <c r="F90" s="120">
        <f t="shared" si="13"/>
        <v>9.1576892556138503E-2</v>
      </c>
    </row>
    <row r="91" spans="1:6" ht="15.75" x14ac:dyDescent="0.25">
      <c r="A91" s="130">
        <v>8</v>
      </c>
      <c r="B91" s="122" t="s">
        <v>120</v>
      </c>
      <c r="C91" s="119">
        <f t="shared" si="11"/>
        <v>16490678</v>
      </c>
      <c r="D91" s="119">
        <f t="shared" si="11"/>
        <v>6824444</v>
      </c>
      <c r="E91" s="119">
        <f t="shared" si="12"/>
        <v>-9666234</v>
      </c>
      <c r="F91" s="120">
        <f t="shared" si="13"/>
        <v>-0.58616352826730356</v>
      </c>
    </row>
    <row r="92" spans="1:6" ht="15.75" x14ac:dyDescent="0.25">
      <c r="A92" s="130">
        <v>9</v>
      </c>
      <c r="B92" s="122" t="s">
        <v>121</v>
      </c>
      <c r="C92" s="119">
        <f t="shared" si="11"/>
        <v>5710793</v>
      </c>
      <c r="D92" s="119">
        <f t="shared" si="11"/>
        <v>13867244</v>
      </c>
      <c r="E92" s="119">
        <f t="shared" si="12"/>
        <v>8156451</v>
      </c>
      <c r="F92" s="120">
        <f t="shared" si="13"/>
        <v>1.4282519082726339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429912595</v>
      </c>
      <c r="D95" s="128">
        <f>SUM(D84:D94)</f>
        <v>450737235</v>
      </c>
      <c r="E95" s="128">
        <f t="shared" si="12"/>
        <v>20824640</v>
      </c>
      <c r="F95" s="129">
        <f t="shared" si="13"/>
        <v>4.8439241469536383E-2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4867</v>
      </c>
      <c r="D100" s="133">
        <v>4893</v>
      </c>
      <c r="E100" s="133">
        <f t="shared" ref="E100:E111" si="14">D100-C100</f>
        <v>26</v>
      </c>
      <c r="F100" s="114">
        <f t="shared" ref="F100:F111" si="15">IF(C100=0,0,E100/C100)</f>
        <v>5.3420998561742343E-3</v>
      </c>
    </row>
    <row r="101" spans="1:6" x14ac:dyDescent="0.2">
      <c r="A101" s="115">
        <v>2</v>
      </c>
      <c r="B101" s="116" t="s">
        <v>114</v>
      </c>
      <c r="C101" s="133">
        <v>2250</v>
      </c>
      <c r="D101" s="133">
        <v>2065</v>
      </c>
      <c r="E101" s="133">
        <f t="shared" si="14"/>
        <v>-185</v>
      </c>
      <c r="F101" s="114">
        <f t="shared" si="15"/>
        <v>-8.2222222222222224E-2</v>
      </c>
    </row>
    <row r="102" spans="1:6" x14ac:dyDescent="0.2">
      <c r="A102" s="115">
        <v>3</v>
      </c>
      <c r="B102" s="116" t="s">
        <v>115</v>
      </c>
      <c r="C102" s="133">
        <v>5789</v>
      </c>
      <c r="D102" s="133">
        <v>6057</v>
      </c>
      <c r="E102" s="133">
        <f t="shared" si="14"/>
        <v>268</v>
      </c>
      <c r="F102" s="114">
        <f t="shared" si="15"/>
        <v>4.6294696838832271E-2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22</v>
      </c>
      <c r="D104" s="133">
        <v>31</v>
      </c>
      <c r="E104" s="133">
        <f t="shared" si="14"/>
        <v>9</v>
      </c>
      <c r="F104" s="114">
        <f t="shared" si="15"/>
        <v>0.40909090909090912</v>
      </c>
    </row>
    <row r="105" spans="1:6" x14ac:dyDescent="0.2">
      <c r="A105" s="115">
        <v>6</v>
      </c>
      <c r="B105" s="116" t="s">
        <v>118</v>
      </c>
      <c r="C105" s="133">
        <v>2431</v>
      </c>
      <c r="D105" s="133">
        <v>2076</v>
      </c>
      <c r="E105" s="133">
        <f t="shared" si="14"/>
        <v>-355</v>
      </c>
      <c r="F105" s="114">
        <f t="shared" si="15"/>
        <v>-0.14603044014808722</v>
      </c>
    </row>
    <row r="106" spans="1:6" x14ac:dyDescent="0.2">
      <c r="A106" s="115">
        <v>7</v>
      </c>
      <c r="B106" s="116" t="s">
        <v>119</v>
      </c>
      <c r="C106" s="133">
        <v>2671</v>
      </c>
      <c r="D106" s="133">
        <v>2771</v>
      </c>
      <c r="E106" s="133">
        <f t="shared" si="14"/>
        <v>100</v>
      </c>
      <c r="F106" s="114">
        <f t="shared" si="15"/>
        <v>3.7439161362785474E-2</v>
      </c>
    </row>
    <row r="107" spans="1:6" x14ac:dyDescent="0.2">
      <c r="A107" s="115">
        <v>8</v>
      </c>
      <c r="B107" s="116" t="s">
        <v>120</v>
      </c>
      <c r="C107" s="133">
        <v>122</v>
      </c>
      <c r="D107" s="133">
        <v>99</v>
      </c>
      <c r="E107" s="133">
        <f t="shared" si="14"/>
        <v>-23</v>
      </c>
      <c r="F107" s="114">
        <f t="shared" si="15"/>
        <v>-0.18852459016393441</v>
      </c>
    </row>
    <row r="108" spans="1:6" x14ac:dyDescent="0.2">
      <c r="A108" s="115">
        <v>9</v>
      </c>
      <c r="B108" s="116" t="s">
        <v>121</v>
      </c>
      <c r="C108" s="133">
        <v>301</v>
      </c>
      <c r="D108" s="133">
        <v>215</v>
      </c>
      <c r="E108" s="133">
        <f t="shared" si="14"/>
        <v>-86</v>
      </c>
      <c r="F108" s="114">
        <f t="shared" si="15"/>
        <v>-0.2857142857142857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18453</v>
      </c>
      <c r="D111" s="134">
        <f>SUM(D100:D110)</f>
        <v>18207</v>
      </c>
      <c r="E111" s="134">
        <f t="shared" si="14"/>
        <v>-246</v>
      </c>
      <c r="F111" s="120">
        <f t="shared" si="15"/>
        <v>-1.3331165664119656E-2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33740</v>
      </c>
      <c r="D113" s="133">
        <v>35973</v>
      </c>
      <c r="E113" s="133">
        <f t="shared" ref="E113:E124" si="16">D113-C113</f>
        <v>2233</v>
      </c>
      <c r="F113" s="114">
        <f t="shared" ref="F113:F124" si="17">IF(C113=0,0,E113/C113)</f>
        <v>6.6182572614107885E-2</v>
      </c>
    </row>
    <row r="114" spans="1:6" x14ac:dyDescent="0.2">
      <c r="A114" s="115">
        <v>2</v>
      </c>
      <c r="B114" s="116" t="s">
        <v>114</v>
      </c>
      <c r="C114" s="133">
        <v>15475</v>
      </c>
      <c r="D114" s="133">
        <v>14249</v>
      </c>
      <c r="E114" s="133">
        <f t="shared" si="16"/>
        <v>-1226</v>
      </c>
      <c r="F114" s="114">
        <f t="shared" si="17"/>
        <v>-7.9224555735056545E-2</v>
      </c>
    </row>
    <row r="115" spans="1:6" x14ac:dyDescent="0.2">
      <c r="A115" s="115">
        <v>3</v>
      </c>
      <c r="B115" s="116" t="s">
        <v>115</v>
      </c>
      <c r="C115" s="133">
        <v>26165</v>
      </c>
      <c r="D115" s="133">
        <v>29184</v>
      </c>
      <c r="E115" s="133">
        <f t="shared" si="16"/>
        <v>3019</v>
      </c>
      <c r="F115" s="114">
        <f t="shared" si="17"/>
        <v>0.11538314542327537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74</v>
      </c>
      <c r="D117" s="133">
        <v>140</v>
      </c>
      <c r="E117" s="133">
        <f t="shared" si="16"/>
        <v>66</v>
      </c>
      <c r="F117" s="114">
        <f t="shared" si="17"/>
        <v>0.89189189189189189</v>
      </c>
    </row>
    <row r="118" spans="1:6" x14ac:dyDescent="0.2">
      <c r="A118" s="115">
        <v>6</v>
      </c>
      <c r="B118" s="116" t="s">
        <v>118</v>
      </c>
      <c r="C118" s="133">
        <v>9569</v>
      </c>
      <c r="D118" s="133">
        <v>8662</v>
      </c>
      <c r="E118" s="133">
        <f t="shared" si="16"/>
        <v>-907</v>
      </c>
      <c r="F118" s="114">
        <f t="shared" si="17"/>
        <v>-9.478524401713867E-2</v>
      </c>
    </row>
    <row r="119" spans="1:6" x14ac:dyDescent="0.2">
      <c r="A119" s="115">
        <v>7</v>
      </c>
      <c r="B119" s="116" t="s">
        <v>119</v>
      </c>
      <c r="C119" s="133">
        <v>10584</v>
      </c>
      <c r="D119" s="133">
        <v>11689</v>
      </c>
      <c r="E119" s="133">
        <f t="shared" si="16"/>
        <v>1105</v>
      </c>
      <c r="F119" s="114">
        <f t="shared" si="17"/>
        <v>0.10440287226001511</v>
      </c>
    </row>
    <row r="120" spans="1:6" x14ac:dyDescent="0.2">
      <c r="A120" s="115">
        <v>8</v>
      </c>
      <c r="B120" s="116" t="s">
        <v>120</v>
      </c>
      <c r="C120" s="133">
        <v>642</v>
      </c>
      <c r="D120" s="133">
        <v>457</v>
      </c>
      <c r="E120" s="133">
        <f t="shared" si="16"/>
        <v>-185</v>
      </c>
      <c r="F120" s="114">
        <f t="shared" si="17"/>
        <v>-0.28816199376947038</v>
      </c>
    </row>
    <row r="121" spans="1:6" x14ac:dyDescent="0.2">
      <c r="A121" s="115">
        <v>9</v>
      </c>
      <c r="B121" s="116" t="s">
        <v>121</v>
      </c>
      <c r="C121" s="133">
        <v>1191</v>
      </c>
      <c r="D121" s="133">
        <v>881</v>
      </c>
      <c r="E121" s="133">
        <f t="shared" si="16"/>
        <v>-310</v>
      </c>
      <c r="F121" s="114">
        <f t="shared" si="17"/>
        <v>-0.26028547439126787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97440</v>
      </c>
      <c r="D124" s="134">
        <f>SUM(D113:D123)</f>
        <v>101235</v>
      </c>
      <c r="E124" s="134">
        <f t="shared" si="16"/>
        <v>3795</v>
      </c>
      <c r="F124" s="120">
        <f t="shared" si="17"/>
        <v>3.8947044334975367E-2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34024</v>
      </c>
      <c r="D126" s="133">
        <v>42244</v>
      </c>
      <c r="E126" s="133">
        <f t="shared" ref="E126:E137" si="18">D126-C126</f>
        <v>8220</v>
      </c>
      <c r="F126" s="114">
        <f t="shared" ref="F126:F137" si="19">IF(C126=0,0,E126/C126)</f>
        <v>0.24159416882200799</v>
      </c>
    </row>
    <row r="127" spans="1:6" x14ac:dyDescent="0.2">
      <c r="A127" s="115">
        <v>2</v>
      </c>
      <c r="B127" s="116" t="s">
        <v>114</v>
      </c>
      <c r="C127" s="133">
        <v>16037</v>
      </c>
      <c r="D127" s="133">
        <v>20607</v>
      </c>
      <c r="E127" s="133">
        <f t="shared" si="18"/>
        <v>4570</v>
      </c>
      <c r="F127" s="114">
        <f t="shared" si="19"/>
        <v>0.28496601608779698</v>
      </c>
    </row>
    <row r="128" spans="1:6" x14ac:dyDescent="0.2">
      <c r="A128" s="115">
        <v>3</v>
      </c>
      <c r="B128" s="116" t="s">
        <v>115</v>
      </c>
      <c r="C128" s="133">
        <v>87798</v>
      </c>
      <c r="D128" s="133">
        <v>104092</v>
      </c>
      <c r="E128" s="133">
        <f t="shared" si="18"/>
        <v>16294</v>
      </c>
      <c r="F128" s="114">
        <f t="shared" si="19"/>
        <v>0.18558509305451149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418</v>
      </c>
      <c r="D130" s="133">
        <v>399</v>
      </c>
      <c r="E130" s="133">
        <f t="shared" si="18"/>
        <v>-19</v>
      </c>
      <c r="F130" s="114">
        <f t="shared" si="19"/>
        <v>-4.5454545454545456E-2</v>
      </c>
    </row>
    <row r="131" spans="1:6" x14ac:dyDescent="0.2">
      <c r="A131" s="115">
        <v>6</v>
      </c>
      <c r="B131" s="116" t="s">
        <v>118</v>
      </c>
      <c r="C131" s="133">
        <v>38779</v>
      </c>
      <c r="D131" s="133">
        <v>38781</v>
      </c>
      <c r="E131" s="133">
        <f t="shared" si="18"/>
        <v>2</v>
      </c>
      <c r="F131" s="114">
        <f t="shared" si="19"/>
        <v>5.1574305680909768E-5</v>
      </c>
    </row>
    <row r="132" spans="1:6" x14ac:dyDescent="0.2">
      <c r="A132" s="115">
        <v>7</v>
      </c>
      <c r="B132" s="116" t="s">
        <v>119</v>
      </c>
      <c r="C132" s="133">
        <v>42909</v>
      </c>
      <c r="D132" s="133">
        <v>54533</v>
      </c>
      <c r="E132" s="133">
        <f t="shared" si="18"/>
        <v>11624</v>
      </c>
      <c r="F132" s="114">
        <f t="shared" si="19"/>
        <v>0.27089887902304877</v>
      </c>
    </row>
    <row r="133" spans="1:6" x14ac:dyDescent="0.2">
      <c r="A133" s="115">
        <v>8</v>
      </c>
      <c r="B133" s="116" t="s">
        <v>120</v>
      </c>
      <c r="C133" s="133">
        <v>1420</v>
      </c>
      <c r="D133" s="133">
        <v>1878</v>
      </c>
      <c r="E133" s="133">
        <f t="shared" si="18"/>
        <v>458</v>
      </c>
      <c r="F133" s="114">
        <f t="shared" si="19"/>
        <v>0.32253521126760565</v>
      </c>
    </row>
    <row r="134" spans="1:6" x14ac:dyDescent="0.2">
      <c r="A134" s="115">
        <v>9</v>
      </c>
      <c r="B134" s="116" t="s">
        <v>121</v>
      </c>
      <c r="C134" s="133">
        <v>15230</v>
      </c>
      <c r="D134" s="133">
        <v>14508</v>
      </c>
      <c r="E134" s="133">
        <f t="shared" si="18"/>
        <v>-722</v>
      </c>
      <c r="F134" s="114">
        <f t="shared" si="19"/>
        <v>-4.7406434668417596E-2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236615</v>
      </c>
      <c r="D137" s="134">
        <f>SUM(D126:D136)</f>
        <v>277042</v>
      </c>
      <c r="E137" s="134">
        <f t="shared" si="18"/>
        <v>40427</v>
      </c>
      <c r="F137" s="120">
        <f t="shared" si="19"/>
        <v>0.1708556093231621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22656573</v>
      </c>
      <c r="D142" s="113">
        <v>23471567</v>
      </c>
      <c r="E142" s="113">
        <f t="shared" ref="E142:E153" si="20">D142-C142</f>
        <v>814994</v>
      </c>
      <c r="F142" s="114">
        <f t="shared" ref="F142:F153" si="21">IF(C142=0,0,E142/C142)</f>
        <v>3.5971636134026097E-2</v>
      </c>
    </row>
    <row r="143" spans="1:6" x14ac:dyDescent="0.2">
      <c r="A143" s="115">
        <v>2</v>
      </c>
      <c r="B143" s="116" t="s">
        <v>114</v>
      </c>
      <c r="C143" s="113">
        <v>9974412</v>
      </c>
      <c r="D143" s="113">
        <v>11333395</v>
      </c>
      <c r="E143" s="113">
        <f t="shared" si="20"/>
        <v>1358983</v>
      </c>
      <c r="F143" s="114">
        <f t="shared" si="21"/>
        <v>0.1362469286410066</v>
      </c>
    </row>
    <row r="144" spans="1:6" x14ac:dyDescent="0.2">
      <c r="A144" s="115">
        <v>3</v>
      </c>
      <c r="B144" s="116" t="s">
        <v>115</v>
      </c>
      <c r="C144" s="113">
        <v>86816563</v>
      </c>
      <c r="D144" s="113">
        <v>108272737</v>
      </c>
      <c r="E144" s="113">
        <f t="shared" si="20"/>
        <v>21456174</v>
      </c>
      <c r="F144" s="114">
        <f t="shared" si="21"/>
        <v>0.24714378522448532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372320</v>
      </c>
      <c r="D146" s="113">
        <v>302488</v>
      </c>
      <c r="E146" s="113">
        <f t="shared" si="20"/>
        <v>-69832</v>
      </c>
      <c r="F146" s="114">
        <f t="shared" si="21"/>
        <v>-0.187559088955737</v>
      </c>
    </row>
    <row r="147" spans="1:6" x14ac:dyDescent="0.2">
      <c r="A147" s="115">
        <v>6</v>
      </c>
      <c r="B147" s="116" t="s">
        <v>118</v>
      </c>
      <c r="C147" s="113">
        <v>21944846</v>
      </c>
      <c r="D147" s="113">
        <v>24834176</v>
      </c>
      <c r="E147" s="113">
        <f t="shared" si="20"/>
        <v>2889330</v>
      </c>
      <c r="F147" s="114">
        <f t="shared" si="21"/>
        <v>0.13166326161505076</v>
      </c>
    </row>
    <row r="148" spans="1:6" x14ac:dyDescent="0.2">
      <c r="A148" s="115">
        <v>7</v>
      </c>
      <c r="B148" s="116" t="s">
        <v>119</v>
      </c>
      <c r="C148" s="113">
        <v>23401243</v>
      </c>
      <c r="D148" s="113">
        <v>31058209</v>
      </c>
      <c r="E148" s="113">
        <f t="shared" si="20"/>
        <v>7656966</v>
      </c>
      <c r="F148" s="114">
        <f t="shared" si="21"/>
        <v>0.3272033882986472</v>
      </c>
    </row>
    <row r="149" spans="1:6" x14ac:dyDescent="0.2">
      <c r="A149" s="115">
        <v>8</v>
      </c>
      <c r="B149" s="116" t="s">
        <v>120</v>
      </c>
      <c r="C149" s="113">
        <v>1283901</v>
      </c>
      <c r="D149" s="113">
        <v>1513901</v>
      </c>
      <c r="E149" s="113">
        <f t="shared" si="20"/>
        <v>230000</v>
      </c>
      <c r="F149" s="114">
        <f t="shared" si="21"/>
        <v>0.17914153817155684</v>
      </c>
    </row>
    <row r="150" spans="1:6" x14ac:dyDescent="0.2">
      <c r="A150" s="115">
        <v>9</v>
      </c>
      <c r="B150" s="116" t="s">
        <v>121</v>
      </c>
      <c r="C150" s="113">
        <v>24187923</v>
      </c>
      <c r="D150" s="113">
        <v>21348487</v>
      </c>
      <c r="E150" s="113">
        <f t="shared" si="20"/>
        <v>-2839436</v>
      </c>
      <c r="F150" s="114">
        <f t="shared" si="21"/>
        <v>-0.11739064987101208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190637781</v>
      </c>
      <c r="D153" s="119">
        <f>SUM(D142:D152)</f>
        <v>222134960</v>
      </c>
      <c r="E153" s="119">
        <f t="shared" si="20"/>
        <v>31497179</v>
      </c>
      <c r="F153" s="120">
        <f t="shared" si="21"/>
        <v>0.16522002530023155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3330011</v>
      </c>
      <c r="D155" s="113">
        <v>4694313</v>
      </c>
      <c r="E155" s="113">
        <f t="shared" ref="E155:E166" si="22">D155-C155</f>
        <v>1364302</v>
      </c>
      <c r="F155" s="114">
        <f t="shared" ref="F155:F166" si="23">IF(C155=0,0,E155/C155)</f>
        <v>0.40969894694041553</v>
      </c>
    </row>
    <row r="156" spans="1:6" x14ac:dyDescent="0.2">
      <c r="A156" s="115">
        <v>2</v>
      </c>
      <c r="B156" s="116" t="s">
        <v>114</v>
      </c>
      <c r="C156" s="113">
        <v>2289180</v>
      </c>
      <c r="D156" s="113">
        <v>3400018</v>
      </c>
      <c r="E156" s="113">
        <f t="shared" si="22"/>
        <v>1110838</v>
      </c>
      <c r="F156" s="114">
        <f t="shared" si="23"/>
        <v>0.48525585580863018</v>
      </c>
    </row>
    <row r="157" spans="1:6" x14ac:dyDescent="0.2">
      <c r="A157" s="115">
        <v>3</v>
      </c>
      <c r="B157" s="116" t="s">
        <v>115</v>
      </c>
      <c r="C157" s="113">
        <v>11288075</v>
      </c>
      <c r="D157" s="113">
        <v>27068184</v>
      </c>
      <c r="E157" s="113">
        <f t="shared" si="22"/>
        <v>15780109</v>
      </c>
      <c r="F157" s="114">
        <f t="shared" si="23"/>
        <v>1.3979450880686033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74277</v>
      </c>
      <c r="D159" s="113">
        <v>241990</v>
      </c>
      <c r="E159" s="113">
        <f t="shared" si="22"/>
        <v>167713</v>
      </c>
      <c r="F159" s="114">
        <f t="shared" si="23"/>
        <v>2.2579398737159551</v>
      </c>
    </row>
    <row r="160" spans="1:6" x14ac:dyDescent="0.2">
      <c r="A160" s="115">
        <v>6</v>
      </c>
      <c r="B160" s="116" t="s">
        <v>118</v>
      </c>
      <c r="C160" s="113">
        <v>7992691</v>
      </c>
      <c r="D160" s="113">
        <v>12290863</v>
      </c>
      <c r="E160" s="113">
        <f t="shared" si="22"/>
        <v>4298172</v>
      </c>
      <c r="F160" s="114">
        <f t="shared" si="23"/>
        <v>0.53776281355053013</v>
      </c>
    </row>
    <row r="161" spans="1:6" x14ac:dyDescent="0.2">
      <c r="A161" s="115">
        <v>7</v>
      </c>
      <c r="B161" s="116" t="s">
        <v>119</v>
      </c>
      <c r="C161" s="113">
        <v>7931566</v>
      </c>
      <c r="D161" s="113">
        <v>18802820</v>
      </c>
      <c r="E161" s="113">
        <f t="shared" si="22"/>
        <v>10871254</v>
      </c>
      <c r="F161" s="114">
        <f t="shared" si="23"/>
        <v>1.3706314742889361</v>
      </c>
    </row>
    <row r="162" spans="1:6" x14ac:dyDescent="0.2">
      <c r="A162" s="115">
        <v>8</v>
      </c>
      <c r="B162" s="116" t="s">
        <v>120</v>
      </c>
      <c r="C162" s="113">
        <v>807429</v>
      </c>
      <c r="D162" s="113">
        <v>1211121</v>
      </c>
      <c r="E162" s="113">
        <f t="shared" si="22"/>
        <v>403692</v>
      </c>
      <c r="F162" s="114">
        <f t="shared" si="23"/>
        <v>0.49997213377275279</v>
      </c>
    </row>
    <row r="163" spans="1:6" x14ac:dyDescent="0.2">
      <c r="A163" s="115">
        <v>9</v>
      </c>
      <c r="B163" s="116" t="s">
        <v>121</v>
      </c>
      <c r="C163" s="113">
        <v>23979458</v>
      </c>
      <c r="D163" s="113">
        <v>17078789</v>
      </c>
      <c r="E163" s="113">
        <f t="shared" si="22"/>
        <v>-6900669</v>
      </c>
      <c r="F163" s="114">
        <f t="shared" si="23"/>
        <v>-0.28777418572179569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57692687</v>
      </c>
      <c r="D166" s="119">
        <f>SUM(D155:D165)</f>
        <v>84788098</v>
      </c>
      <c r="E166" s="119">
        <f t="shared" si="22"/>
        <v>27095411</v>
      </c>
      <c r="F166" s="120">
        <f t="shared" si="23"/>
        <v>0.4696507028698455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6201</v>
      </c>
      <c r="D168" s="133">
        <v>6149</v>
      </c>
      <c r="E168" s="133">
        <f t="shared" ref="E168:E179" si="24">D168-C168</f>
        <v>-52</v>
      </c>
      <c r="F168" s="114">
        <f t="shared" ref="F168:F179" si="25">IF(C168=0,0,E168/C168)</f>
        <v>-8.385744234800839E-3</v>
      </c>
    </row>
    <row r="169" spans="1:6" x14ac:dyDescent="0.2">
      <c r="A169" s="115">
        <v>2</v>
      </c>
      <c r="B169" s="116" t="s">
        <v>114</v>
      </c>
      <c r="C169" s="133">
        <v>2610</v>
      </c>
      <c r="D169" s="133">
        <v>2715</v>
      </c>
      <c r="E169" s="133">
        <f t="shared" si="24"/>
        <v>105</v>
      </c>
      <c r="F169" s="114">
        <f t="shared" si="25"/>
        <v>4.0229885057471264E-2</v>
      </c>
    </row>
    <row r="170" spans="1:6" x14ac:dyDescent="0.2">
      <c r="A170" s="115">
        <v>3</v>
      </c>
      <c r="B170" s="116" t="s">
        <v>115</v>
      </c>
      <c r="C170" s="133">
        <v>33893</v>
      </c>
      <c r="D170" s="133">
        <v>39450</v>
      </c>
      <c r="E170" s="133">
        <f t="shared" si="24"/>
        <v>5557</v>
      </c>
      <c r="F170" s="114">
        <f t="shared" si="25"/>
        <v>0.16395715929542973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143</v>
      </c>
      <c r="D172" s="133">
        <v>123</v>
      </c>
      <c r="E172" s="133">
        <f t="shared" si="24"/>
        <v>-20</v>
      </c>
      <c r="F172" s="114">
        <f t="shared" si="25"/>
        <v>-0.13986013986013987</v>
      </c>
    </row>
    <row r="173" spans="1:6" x14ac:dyDescent="0.2">
      <c r="A173" s="115">
        <v>6</v>
      </c>
      <c r="B173" s="116" t="s">
        <v>118</v>
      </c>
      <c r="C173" s="133">
        <v>6839</v>
      </c>
      <c r="D173" s="133">
        <v>7992</v>
      </c>
      <c r="E173" s="133">
        <f t="shared" si="24"/>
        <v>1153</v>
      </c>
      <c r="F173" s="114">
        <f t="shared" si="25"/>
        <v>0.16859189940049715</v>
      </c>
    </row>
    <row r="174" spans="1:6" x14ac:dyDescent="0.2">
      <c r="A174" s="115">
        <v>7</v>
      </c>
      <c r="B174" s="116" t="s">
        <v>119</v>
      </c>
      <c r="C174" s="133">
        <v>7255</v>
      </c>
      <c r="D174" s="133">
        <v>10161</v>
      </c>
      <c r="E174" s="133">
        <f t="shared" si="24"/>
        <v>2906</v>
      </c>
      <c r="F174" s="114">
        <f t="shared" si="25"/>
        <v>0.40055134390075808</v>
      </c>
    </row>
    <row r="175" spans="1:6" x14ac:dyDescent="0.2">
      <c r="A175" s="115">
        <v>8</v>
      </c>
      <c r="B175" s="116" t="s">
        <v>120</v>
      </c>
      <c r="C175" s="133">
        <v>472</v>
      </c>
      <c r="D175" s="133">
        <v>527</v>
      </c>
      <c r="E175" s="133">
        <f t="shared" si="24"/>
        <v>55</v>
      </c>
      <c r="F175" s="114">
        <f t="shared" si="25"/>
        <v>0.11652542372881355</v>
      </c>
    </row>
    <row r="176" spans="1:6" x14ac:dyDescent="0.2">
      <c r="A176" s="115">
        <v>9</v>
      </c>
      <c r="B176" s="116" t="s">
        <v>121</v>
      </c>
      <c r="C176" s="133">
        <v>8647</v>
      </c>
      <c r="D176" s="133">
        <v>6789</v>
      </c>
      <c r="E176" s="133">
        <f t="shared" si="24"/>
        <v>-1858</v>
      </c>
      <c r="F176" s="114">
        <f t="shared" si="25"/>
        <v>-0.21487221001503412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66060</v>
      </c>
      <c r="D179" s="134">
        <f>SUM(D168:D178)</f>
        <v>73906</v>
      </c>
      <c r="E179" s="134">
        <f t="shared" si="24"/>
        <v>7846</v>
      </c>
      <c r="F179" s="120">
        <f t="shared" si="25"/>
        <v>0.11877081441114139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FILING&amp;RBRIDGEPORT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53194778</v>
      </c>
      <c r="D15" s="157">
        <v>53745825</v>
      </c>
      <c r="E15" s="157">
        <f>+D15-C15</f>
        <v>551047</v>
      </c>
      <c r="F15" s="161">
        <f>IF(C15=0,0,E15/C15)</f>
        <v>1.0359043137655354E-2</v>
      </c>
    </row>
    <row r="16" spans="1:6" ht="15" customHeight="1" x14ac:dyDescent="0.2">
      <c r="A16" s="147">
        <v>2</v>
      </c>
      <c r="B16" s="160" t="s">
        <v>157</v>
      </c>
      <c r="C16" s="157">
        <v>11387101</v>
      </c>
      <c r="D16" s="157">
        <v>13355748</v>
      </c>
      <c r="E16" s="157">
        <f>+D16-C16</f>
        <v>1968647</v>
      </c>
      <c r="F16" s="161">
        <f>IF(C16=0,0,E16/C16)</f>
        <v>0.17288395000623952</v>
      </c>
    </row>
    <row r="17" spans="1:6" ht="15" customHeight="1" x14ac:dyDescent="0.2">
      <c r="A17" s="147">
        <v>3</v>
      </c>
      <c r="B17" s="160" t="s">
        <v>158</v>
      </c>
      <c r="C17" s="157">
        <v>83395121</v>
      </c>
      <c r="D17" s="157">
        <v>86349427</v>
      </c>
      <c r="E17" s="157">
        <f>+D17-C17</f>
        <v>2954306</v>
      </c>
      <c r="F17" s="161">
        <f>IF(C17=0,0,E17/C17)</f>
        <v>3.5425405762046919E-2</v>
      </c>
    </row>
    <row r="18" spans="1:6" ht="15.75" customHeight="1" x14ac:dyDescent="0.25">
      <c r="A18" s="147"/>
      <c r="B18" s="162" t="s">
        <v>159</v>
      </c>
      <c r="C18" s="158">
        <f>SUM(C15:C17)</f>
        <v>147977000</v>
      </c>
      <c r="D18" s="158">
        <f>SUM(D15:D17)</f>
        <v>153451000</v>
      </c>
      <c r="E18" s="158">
        <f>+D18-C18</f>
        <v>5474000</v>
      </c>
      <c r="F18" s="159">
        <f>IF(C18=0,0,E18/C18)</f>
        <v>3.6992235279806995E-2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13655559</v>
      </c>
      <c r="D21" s="157">
        <v>13784956</v>
      </c>
      <c r="E21" s="157">
        <f>+D21-C21</f>
        <v>129397</v>
      </c>
      <c r="F21" s="161">
        <f>IF(C21=0,0,E21/C21)</f>
        <v>9.4757746643692881E-3</v>
      </c>
    </row>
    <row r="22" spans="1:6" ht="15" customHeight="1" x14ac:dyDescent="0.2">
      <c r="A22" s="147">
        <v>2</v>
      </c>
      <c r="B22" s="160" t="s">
        <v>162</v>
      </c>
      <c r="C22" s="157">
        <v>2563288</v>
      </c>
      <c r="D22" s="157">
        <v>2616814</v>
      </c>
      <c r="E22" s="157">
        <f>+D22-C22</f>
        <v>53526</v>
      </c>
      <c r="F22" s="161">
        <f>IF(C22=0,0,E22/C22)</f>
        <v>2.0881773721875965E-2</v>
      </c>
    </row>
    <row r="23" spans="1:6" ht="15" customHeight="1" x14ac:dyDescent="0.2">
      <c r="A23" s="147">
        <v>3</v>
      </c>
      <c r="B23" s="160" t="s">
        <v>163</v>
      </c>
      <c r="C23" s="157">
        <v>31797153</v>
      </c>
      <c r="D23" s="157">
        <v>31703230</v>
      </c>
      <c r="E23" s="157">
        <f>+D23-C23</f>
        <v>-93923</v>
      </c>
      <c r="F23" s="161">
        <f>IF(C23=0,0,E23/C23)</f>
        <v>-2.9538179094210099E-3</v>
      </c>
    </row>
    <row r="24" spans="1:6" ht="15.75" customHeight="1" x14ac:dyDescent="0.25">
      <c r="A24" s="147"/>
      <c r="B24" s="162" t="s">
        <v>164</v>
      </c>
      <c r="C24" s="158">
        <f>SUM(C21:C23)</f>
        <v>48016000</v>
      </c>
      <c r="D24" s="158">
        <f>SUM(D21:D23)</f>
        <v>48105000</v>
      </c>
      <c r="E24" s="158">
        <f>+D24-C24</f>
        <v>89000</v>
      </c>
      <c r="F24" s="159">
        <f>IF(C24=0,0,E24/C24)</f>
        <v>1.8535488170609796E-3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1957957</v>
      </c>
      <c r="D27" s="157">
        <v>1877442</v>
      </c>
      <c r="E27" s="157">
        <f>+D27-C27</f>
        <v>-80515</v>
      </c>
      <c r="F27" s="161">
        <f>IF(C27=0,0,E27/C27)</f>
        <v>-4.1121944966104974E-2</v>
      </c>
    </row>
    <row r="28" spans="1:6" ht="15" customHeight="1" x14ac:dyDescent="0.2">
      <c r="A28" s="147">
        <v>2</v>
      </c>
      <c r="B28" s="160" t="s">
        <v>167</v>
      </c>
      <c r="C28" s="157">
        <v>22467000</v>
      </c>
      <c r="D28" s="157">
        <v>25569000</v>
      </c>
      <c r="E28" s="157">
        <f>+D28-C28</f>
        <v>3102000</v>
      </c>
      <c r="F28" s="161">
        <f>IF(C28=0,0,E28/C28)</f>
        <v>0.13806916811323275</v>
      </c>
    </row>
    <row r="29" spans="1:6" ht="15" customHeight="1" x14ac:dyDescent="0.2">
      <c r="A29" s="147">
        <v>3</v>
      </c>
      <c r="B29" s="160" t="s">
        <v>168</v>
      </c>
      <c r="C29" s="157">
        <v>41095717</v>
      </c>
      <c r="D29" s="157">
        <v>44874388</v>
      </c>
      <c r="E29" s="157">
        <f>+D29-C29</f>
        <v>3778671</v>
      </c>
      <c r="F29" s="161">
        <f>IF(C29=0,0,E29/C29)</f>
        <v>9.1948048990117395E-2</v>
      </c>
    </row>
    <row r="30" spans="1:6" ht="15.75" customHeight="1" x14ac:dyDescent="0.25">
      <c r="A30" s="147"/>
      <c r="B30" s="162" t="s">
        <v>169</v>
      </c>
      <c r="C30" s="158">
        <f>SUM(C27:C29)</f>
        <v>65520674</v>
      </c>
      <c r="D30" s="158">
        <f>SUM(D27:D29)</f>
        <v>72320830</v>
      </c>
      <c r="E30" s="158">
        <f>+D30-C30</f>
        <v>6800156</v>
      </c>
      <c r="F30" s="159">
        <f>IF(C30=0,0,E30/C30)</f>
        <v>0.10378641709332843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37720000</v>
      </c>
      <c r="D33" s="157">
        <v>37229000</v>
      </c>
      <c r="E33" s="157">
        <f>+D33-C33</f>
        <v>-491000</v>
      </c>
      <c r="F33" s="161">
        <f>IF(C33=0,0,E33/C33)</f>
        <v>-1.3016967126193001E-2</v>
      </c>
    </row>
    <row r="34" spans="1:6" ht="15" customHeight="1" x14ac:dyDescent="0.2">
      <c r="A34" s="147">
        <v>2</v>
      </c>
      <c r="B34" s="160" t="s">
        <v>173</v>
      </c>
      <c r="C34" s="157">
        <v>10002000</v>
      </c>
      <c r="D34" s="157">
        <v>12879000</v>
      </c>
      <c r="E34" s="157">
        <f>+D34-C34</f>
        <v>2877000</v>
      </c>
      <c r="F34" s="161">
        <f>IF(C34=0,0,E34/C34)</f>
        <v>0.28764247150569888</v>
      </c>
    </row>
    <row r="35" spans="1:6" ht="15.75" customHeight="1" x14ac:dyDescent="0.25">
      <c r="A35" s="147"/>
      <c r="B35" s="162" t="s">
        <v>174</v>
      </c>
      <c r="C35" s="158">
        <f>SUM(C33:C34)</f>
        <v>47722000</v>
      </c>
      <c r="D35" s="158">
        <f>SUM(D33:D34)</f>
        <v>50108000</v>
      </c>
      <c r="E35" s="158">
        <f>+D35-C35</f>
        <v>2386000</v>
      </c>
      <c r="F35" s="159">
        <f>IF(C35=0,0,E35/C35)</f>
        <v>4.9997904530405264E-2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11859000</v>
      </c>
      <c r="D38" s="157">
        <v>16106000</v>
      </c>
      <c r="E38" s="157">
        <f>+D38-C38</f>
        <v>4247000</v>
      </c>
      <c r="F38" s="161">
        <f>IF(C38=0,0,E38/C38)</f>
        <v>0.35812463108187875</v>
      </c>
    </row>
    <row r="39" spans="1:6" ht="15" customHeight="1" x14ac:dyDescent="0.2">
      <c r="A39" s="147">
        <v>2</v>
      </c>
      <c r="B39" s="160" t="s">
        <v>178</v>
      </c>
      <c r="C39" s="157">
        <v>10935000</v>
      </c>
      <c r="D39" s="157">
        <v>14851000</v>
      </c>
      <c r="E39" s="157">
        <f>+D39-C39</f>
        <v>3916000</v>
      </c>
      <c r="F39" s="161">
        <f>IF(C39=0,0,E39/C39)</f>
        <v>0.35811614083219023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22794000</v>
      </c>
      <c r="D41" s="158">
        <f>SUM(D38:D40)</f>
        <v>30957000</v>
      </c>
      <c r="E41" s="158">
        <f>+D41-C41</f>
        <v>8163000</v>
      </c>
      <c r="F41" s="159">
        <f>IF(C41=0,0,E41/C41)</f>
        <v>0.35812055804158988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1665000</v>
      </c>
      <c r="D47" s="157">
        <v>2566000</v>
      </c>
      <c r="E47" s="157">
        <f>+D47-C47</f>
        <v>901000</v>
      </c>
      <c r="F47" s="161">
        <f>IF(C47=0,0,E47/C47)</f>
        <v>0.54114114114114109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292000</v>
      </c>
      <c r="D50" s="157">
        <v>-285000</v>
      </c>
      <c r="E50" s="157">
        <f>+D50-C50</f>
        <v>-577000</v>
      </c>
      <c r="F50" s="161">
        <f>IF(C50=0,0,E50/C50)</f>
        <v>-1.976027397260274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264779</v>
      </c>
      <c r="D53" s="157">
        <v>350604</v>
      </c>
      <c r="E53" s="157">
        <f t="shared" ref="E53:E59" si="0">+D53-C53</f>
        <v>85825</v>
      </c>
      <c r="F53" s="161">
        <f t="shared" ref="F53:F59" si="1">IF(C53=0,0,E53/C53)</f>
        <v>0.32413824359182564</v>
      </c>
    </row>
    <row r="54" spans="1:6" ht="15" customHeight="1" x14ac:dyDescent="0.2">
      <c r="A54" s="147">
        <v>2</v>
      </c>
      <c r="B54" s="160" t="s">
        <v>189</v>
      </c>
      <c r="C54" s="157">
        <v>1406730</v>
      </c>
      <c r="D54" s="157">
        <v>1713841</v>
      </c>
      <c r="E54" s="157">
        <f t="shared" si="0"/>
        <v>307111</v>
      </c>
      <c r="F54" s="161">
        <f t="shared" si="1"/>
        <v>0.21831552607820975</v>
      </c>
    </row>
    <row r="55" spans="1:6" ht="15" customHeight="1" x14ac:dyDescent="0.2">
      <c r="A55" s="147">
        <v>3</v>
      </c>
      <c r="B55" s="160" t="s">
        <v>190</v>
      </c>
      <c r="C55" s="157">
        <v>0</v>
      </c>
      <c r="D55" s="157">
        <v>0</v>
      </c>
      <c r="E55" s="157">
        <f t="shared" si="0"/>
        <v>0</v>
      </c>
      <c r="F55" s="161">
        <f t="shared" si="1"/>
        <v>0</v>
      </c>
    </row>
    <row r="56" spans="1:6" ht="15" customHeight="1" x14ac:dyDescent="0.2">
      <c r="A56" s="147">
        <v>4</v>
      </c>
      <c r="B56" s="160" t="s">
        <v>191</v>
      </c>
      <c r="C56" s="157">
        <v>3351892</v>
      </c>
      <c r="D56" s="157">
        <v>3572578</v>
      </c>
      <c r="E56" s="157">
        <f t="shared" si="0"/>
        <v>220686</v>
      </c>
      <c r="F56" s="161">
        <f t="shared" si="1"/>
        <v>6.583923348365639E-2</v>
      </c>
    </row>
    <row r="57" spans="1:6" ht="15" customHeight="1" x14ac:dyDescent="0.2">
      <c r="A57" s="147">
        <v>5</v>
      </c>
      <c r="B57" s="160" t="s">
        <v>192</v>
      </c>
      <c r="C57" s="157">
        <v>92223</v>
      </c>
      <c r="D57" s="157">
        <v>52135</v>
      </c>
      <c r="E57" s="157">
        <f t="shared" si="0"/>
        <v>-40088</v>
      </c>
      <c r="F57" s="161">
        <f t="shared" si="1"/>
        <v>-0.43468549060429612</v>
      </c>
    </row>
    <row r="58" spans="1:6" ht="15" customHeight="1" x14ac:dyDescent="0.2">
      <c r="A58" s="147">
        <v>6</v>
      </c>
      <c r="B58" s="160" t="s">
        <v>193</v>
      </c>
      <c r="C58" s="157">
        <v>15210</v>
      </c>
      <c r="D58" s="157">
        <v>1727</v>
      </c>
      <c r="E58" s="157">
        <f t="shared" si="0"/>
        <v>-13483</v>
      </c>
      <c r="F58" s="161">
        <f t="shared" si="1"/>
        <v>-0.88645627876397104</v>
      </c>
    </row>
    <row r="59" spans="1:6" ht="15.75" customHeight="1" x14ac:dyDescent="0.25">
      <c r="A59" s="147"/>
      <c r="B59" s="162" t="s">
        <v>194</v>
      </c>
      <c r="C59" s="158">
        <f>SUM(C53:C58)</f>
        <v>5130834</v>
      </c>
      <c r="D59" s="158">
        <f>SUM(D53:D58)</f>
        <v>5690885</v>
      </c>
      <c r="E59" s="158">
        <f t="shared" si="0"/>
        <v>560051</v>
      </c>
      <c r="F59" s="159">
        <f t="shared" si="1"/>
        <v>0.10915398939041879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419577</v>
      </c>
      <c r="D62" s="157">
        <v>412432</v>
      </c>
      <c r="E62" s="157">
        <f t="shared" ref="E62:E90" si="2">+D62-C62</f>
        <v>-7145</v>
      </c>
      <c r="F62" s="161">
        <f t="shared" ref="F62:F90" si="3">IF(C62=0,0,E62/C62)</f>
        <v>-1.7029055453468611E-2</v>
      </c>
    </row>
    <row r="63" spans="1:6" ht="15" customHeight="1" x14ac:dyDescent="0.2">
      <c r="A63" s="147">
        <v>2</v>
      </c>
      <c r="B63" s="160" t="s">
        <v>198</v>
      </c>
      <c r="C63" s="157">
        <v>1546536</v>
      </c>
      <c r="D63" s="157">
        <v>948577</v>
      </c>
      <c r="E63" s="157">
        <f t="shared" si="2"/>
        <v>-597959</v>
      </c>
      <c r="F63" s="161">
        <f t="shared" si="3"/>
        <v>-0.38664408717288185</v>
      </c>
    </row>
    <row r="64" spans="1:6" ht="15" customHeight="1" x14ac:dyDescent="0.2">
      <c r="A64" s="147">
        <v>3</v>
      </c>
      <c r="B64" s="160" t="s">
        <v>199</v>
      </c>
      <c r="C64" s="157">
        <v>747223</v>
      </c>
      <c r="D64" s="157">
        <v>628109</v>
      </c>
      <c r="E64" s="157">
        <f t="shared" si="2"/>
        <v>-119114</v>
      </c>
      <c r="F64" s="161">
        <f t="shared" si="3"/>
        <v>-0.15940890470448582</v>
      </c>
    </row>
    <row r="65" spans="1:6" ht="15" customHeight="1" x14ac:dyDescent="0.2">
      <c r="A65" s="147">
        <v>4</v>
      </c>
      <c r="B65" s="160" t="s">
        <v>200</v>
      </c>
      <c r="C65" s="157">
        <v>650013</v>
      </c>
      <c r="D65" s="157">
        <v>635782</v>
      </c>
      <c r="E65" s="157">
        <f t="shared" si="2"/>
        <v>-14231</v>
      </c>
      <c r="F65" s="161">
        <f t="shared" si="3"/>
        <v>-2.1893408285680441E-2</v>
      </c>
    </row>
    <row r="66" spans="1:6" ht="15" customHeight="1" x14ac:dyDescent="0.2">
      <c r="A66" s="147">
        <v>5</v>
      </c>
      <c r="B66" s="160" t="s">
        <v>201</v>
      </c>
      <c r="C66" s="157">
        <v>111821</v>
      </c>
      <c r="D66" s="157">
        <v>70806</v>
      </c>
      <c r="E66" s="157">
        <f t="shared" si="2"/>
        <v>-41015</v>
      </c>
      <c r="F66" s="161">
        <f t="shared" si="3"/>
        <v>-0.36679156866778156</v>
      </c>
    </row>
    <row r="67" spans="1:6" ht="15" customHeight="1" x14ac:dyDescent="0.2">
      <c r="A67" s="147">
        <v>6</v>
      </c>
      <c r="B67" s="160" t="s">
        <v>202</v>
      </c>
      <c r="C67" s="157">
        <v>2464662</v>
      </c>
      <c r="D67" s="157">
        <v>3275359</v>
      </c>
      <c r="E67" s="157">
        <f t="shared" si="2"/>
        <v>810697</v>
      </c>
      <c r="F67" s="161">
        <f t="shared" si="3"/>
        <v>0.32892826683740001</v>
      </c>
    </row>
    <row r="68" spans="1:6" ht="15" customHeight="1" x14ac:dyDescent="0.2">
      <c r="A68" s="147">
        <v>7</v>
      </c>
      <c r="B68" s="160" t="s">
        <v>203</v>
      </c>
      <c r="C68" s="157">
        <v>10320175</v>
      </c>
      <c r="D68" s="157">
        <v>9478420</v>
      </c>
      <c r="E68" s="157">
        <f t="shared" si="2"/>
        <v>-841755</v>
      </c>
      <c r="F68" s="161">
        <f t="shared" si="3"/>
        <v>-8.1564023865874372E-2</v>
      </c>
    </row>
    <row r="69" spans="1:6" ht="15" customHeight="1" x14ac:dyDescent="0.2">
      <c r="A69" s="147">
        <v>8</v>
      </c>
      <c r="B69" s="160" t="s">
        <v>204</v>
      </c>
      <c r="C69" s="157">
        <v>735754</v>
      </c>
      <c r="D69" s="157">
        <v>765438</v>
      </c>
      <c r="E69" s="157">
        <f t="shared" si="2"/>
        <v>29684</v>
      </c>
      <c r="F69" s="161">
        <f t="shared" si="3"/>
        <v>4.0345006619060174E-2</v>
      </c>
    </row>
    <row r="70" spans="1:6" ht="15" customHeight="1" x14ac:dyDescent="0.2">
      <c r="A70" s="147">
        <v>9</v>
      </c>
      <c r="B70" s="160" t="s">
        <v>205</v>
      </c>
      <c r="C70" s="157">
        <v>541616</v>
      </c>
      <c r="D70" s="157">
        <v>606795</v>
      </c>
      <c r="E70" s="157">
        <f t="shared" si="2"/>
        <v>65179</v>
      </c>
      <c r="F70" s="161">
        <f t="shared" si="3"/>
        <v>0.12034171811763315</v>
      </c>
    </row>
    <row r="71" spans="1:6" ht="15" customHeight="1" x14ac:dyDescent="0.2">
      <c r="A71" s="147">
        <v>10</v>
      </c>
      <c r="B71" s="160" t="s">
        <v>206</v>
      </c>
      <c r="C71" s="157">
        <v>4821</v>
      </c>
      <c r="D71" s="157">
        <v>4954</v>
      </c>
      <c r="E71" s="157">
        <f t="shared" si="2"/>
        <v>133</v>
      </c>
      <c r="F71" s="161">
        <f t="shared" si="3"/>
        <v>2.7587637419622484E-2</v>
      </c>
    </row>
    <row r="72" spans="1:6" ht="15" customHeight="1" x14ac:dyDescent="0.2">
      <c r="A72" s="147">
        <v>11</v>
      </c>
      <c r="B72" s="160" t="s">
        <v>207</v>
      </c>
      <c r="C72" s="157">
        <v>157646</v>
      </c>
      <c r="D72" s="157">
        <v>221091</v>
      </c>
      <c r="E72" s="157">
        <f t="shared" si="2"/>
        <v>63445</v>
      </c>
      <c r="F72" s="161">
        <f t="shared" si="3"/>
        <v>0.40245232990370833</v>
      </c>
    </row>
    <row r="73" spans="1:6" ht="15" customHeight="1" x14ac:dyDescent="0.2">
      <c r="A73" s="147">
        <v>12</v>
      </c>
      <c r="B73" s="160" t="s">
        <v>208</v>
      </c>
      <c r="C73" s="157">
        <v>7891254</v>
      </c>
      <c r="D73" s="157">
        <v>5104234</v>
      </c>
      <c r="E73" s="157">
        <f t="shared" si="2"/>
        <v>-2787020</v>
      </c>
      <c r="F73" s="161">
        <f t="shared" si="3"/>
        <v>-0.35317834149046529</v>
      </c>
    </row>
    <row r="74" spans="1:6" ht="15" customHeight="1" x14ac:dyDescent="0.2">
      <c r="A74" s="147">
        <v>13</v>
      </c>
      <c r="B74" s="160" t="s">
        <v>209</v>
      </c>
      <c r="C74" s="157">
        <v>405026</v>
      </c>
      <c r="D74" s="157">
        <v>527232</v>
      </c>
      <c r="E74" s="157">
        <f t="shared" si="2"/>
        <v>122206</v>
      </c>
      <c r="F74" s="161">
        <f t="shared" si="3"/>
        <v>0.30172383995101548</v>
      </c>
    </row>
    <row r="75" spans="1:6" ht="15" customHeight="1" x14ac:dyDescent="0.2">
      <c r="A75" s="147">
        <v>14</v>
      </c>
      <c r="B75" s="160" t="s">
        <v>210</v>
      </c>
      <c r="C75" s="157">
        <v>550862</v>
      </c>
      <c r="D75" s="157">
        <v>465300</v>
      </c>
      <c r="E75" s="157">
        <f t="shared" si="2"/>
        <v>-85562</v>
      </c>
      <c r="F75" s="161">
        <f t="shared" si="3"/>
        <v>-0.15532383791221757</v>
      </c>
    </row>
    <row r="76" spans="1:6" ht="15" customHeight="1" x14ac:dyDescent="0.2">
      <c r="A76" s="147">
        <v>15</v>
      </c>
      <c r="B76" s="160" t="s">
        <v>211</v>
      </c>
      <c r="C76" s="157">
        <v>5180</v>
      </c>
      <c r="D76" s="157">
        <v>0</v>
      </c>
      <c r="E76" s="157">
        <f t="shared" si="2"/>
        <v>-5180</v>
      </c>
      <c r="F76" s="161">
        <f t="shared" si="3"/>
        <v>-1</v>
      </c>
    </row>
    <row r="77" spans="1:6" ht="15" customHeight="1" x14ac:dyDescent="0.2">
      <c r="A77" s="147">
        <v>16</v>
      </c>
      <c r="B77" s="160" t="s">
        <v>212</v>
      </c>
      <c r="C77" s="157">
        <v>5032091</v>
      </c>
      <c r="D77" s="157">
        <v>5161234</v>
      </c>
      <c r="E77" s="157">
        <f t="shared" si="2"/>
        <v>129143</v>
      </c>
      <c r="F77" s="161">
        <f t="shared" si="3"/>
        <v>2.5663884059330407E-2</v>
      </c>
    </row>
    <row r="78" spans="1:6" ht="15" customHeight="1" x14ac:dyDescent="0.2">
      <c r="A78" s="147">
        <v>17</v>
      </c>
      <c r="B78" s="160" t="s">
        <v>213</v>
      </c>
      <c r="C78" s="157">
        <v>208023</v>
      </c>
      <c r="D78" s="157">
        <v>177274</v>
      </c>
      <c r="E78" s="157">
        <f t="shared" si="2"/>
        <v>-30749</v>
      </c>
      <c r="F78" s="161">
        <f t="shared" si="3"/>
        <v>-0.14781538579868572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609125</v>
      </c>
      <c r="D80" s="157">
        <v>601994</v>
      </c>
      <c r="E80" s="157">
        <f t="shared" si="2"/>
        <v>-7131</v>
      </c>
      <c r="F80" s="161">
        <f t="shared" si="3"/>
        <v>-1.1706956700184691E-2</v>
      </c>
    </row>
    <row r="81" spans="1:6" ht="15" customHeight="1" x14ac:dyDescent="0.2">
      <c r="A81" s="147">
        <v>20</v>
      </c>
      <c r="B81" s="160" t="s">
        <v>216</v>
      </c>
      <c r="C81" s="157">
        <v>1267227</v>
      </c>
      <c r="D81" s="157">
        <v>1052918</v>
      </c>
      <c r="E81" s="157">
        <f t="shared" si="2"/>
        <v>-214309</v>
      </c>
      <c r="F81" s="161">
        <f t="shared" si="3"/>
        <v>-0.16911650398863029</v>
      </c>
    </row>
    <row r="82" spans="1:6" ht="15" customHeight="1" x14ac:dyDescent="0.2">
      <c r="A82" s="147">
        <v>21</v>
      </c>
      <c r="B82" s="160" t="s">
        <v>217</v>
      </c>
      <c r="C82" s="157">
        <v>2218955</v>
      </c>
      <c r="D82" s="157">
        <v>3611620</v>
      </c>
      <c r="E82" s="157">
        <f t="shared" si="2"/>
        <v>1392665</v>
      </c>
      <c r="F82" s="161">
        <f t="shared" si="3"/>
        <v>0.62762201126205808</v>
      </c>
    </row>
    <row r="83" spans="1:6" ht="15" customHeight="1" x14ac:dyDescent="0.2">
      <c r="A83" s="147">
        <v>22</v>
      </c>
      <c r="B83" s="160" t="s">
        <v>218</v>
      </c>
      <c r="C83" s="157">
        <v>618780</v>
      </c>
      <c r="D83" s="157">
        <v>283566</v>
      </c>
      <c r="E83" s="157">
        <f t="shared" si="2"/>
        <v>-335214</v>
      </c>
      <c r="F83" s="161">
        <f t="shared" si="3"/>
        <v>-0.541733734121982</v>
      </c>
    </row>
    <row r="84" spans="1:6" ht="15" customHeight="1" x14ac:dyDescent="0.2">
      <c r="A84" s="147">
        <v>23</v>
      </c>
      <c r="B84" s="160" t="s">
        <v>219</v>
      </c>
      <c r="C84" s="157">
        <v>2440490</v>
      </c>
      <c r="D84" s="157">
        <v>2328543</v>
      </c>
      <c r="E84" s="157">
        <f t="shared" si="2"/>
        <v>-111947</v>
      </c>
      <c r="F84" s="161">
        <f t="shared" si="3"/>
        <v>-4.5870706292588784E-2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162679</v>
      </c>
      <c r="D86" s="157">
        <v>162951</v>
      </c>
      <c r="E86" s="157">
        <f t="shared" si="2"/>
        <v>272</v>
      </c>
      <c r="F86" s="161">
        <f t="shared" si="3"/>
        <v>1.6720043767173391E-3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4000610</v>
      </c>
      <c r="D89" s="157">
        <v>4361611</v>
      </c>
      <c r="E89" s="157">
        <f t="shared" si="2"/>
        <v>361001</v>
      </c>
      <c r="F89" s="161">
        <f t="shared" si="3"/>
        <v>9.0236488935437342E-2</v>
      </c>
    </row>
    <row r="90" spans="1:6" ht="15.75" customHeight="1" x14ac:dyDescent="0.25">
      <c r="A90" s="147"/>
      <c r="B90" s="162" t="s">
        <v>225</v>
      </c>
      <c r="C90" s="158">
        <f>SUM(C62:C89)</f>
        <v>43110146</v>
      </c>
      <c r="D90" s="158">
        <f>SUM(D62:D89)</f>
        <v>40886240</v>
      </c>
      <c r="E90" s="158">
        <f t="shared" si="2"/>
        <v>-2223906</v>
      </c>
      <c r="F90" s="159">
        <f t="shared" si="3"/>
        <v>-5.1586603302155365E-2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27006346</v>
      </c>
      <c r="D93" s="157">
        <v>22696045</v>
      </c>
      <c r="E93" s="157">
        <f>+D93-C93</f>
        <v>-4310301</v>
      </c>
      <c r="F93" s="161">
        <f>IF(C93=0,0,E93/C93)</f>
        <v>-0.15960326509924741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409234000</v>
      </c>
      <c r="D95" s="158">
        <f>+D93+D90+D59+D50+D47+D44+D41+D35+D30+D24+D18</f>
        <v>426496000</v>
      </c>
      <c r="E95" s="158">
        <f>+D95-C95</f>
        <v>17262000</v>
      </c>
      <c r="F95" s="159">
        <f>IF(C95=0,0,E95/C95)</f>
        <v>4.2181245937532072E-2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24596809</v>
      </c>
      <c r="D103" s="157">
        <v>27514622</v>
      </c>
      <c r="E103" s="157">
        <f t="shared" ref="E103:E121" si="4">D103-C103</f>
        <v>2917813</v>
      </c>
      <c r="F103" s="161">
        <f t="shared" ref="F103:F121" si="5">IF(C103=0,0,E103/C103)</f>
        <v>0.11862567213495051</v>
      </c>
    </row>
    <row r="104" spans="1:6" ht="15" customHeight="1" x14ac:dyDescent="0.2">
      <c r="A104" s="147">
        <v>2</v>
      </c>
      <c r="B104" s="169" t="s">
        <v>234</v>
      </c>
      <c r="C104" s="157">
        <v>3864300</v>
      </c>
      <c r="D104" s="157">
        <v>3836655</v>
      </c>
      <c r="E104" s="157">
        <f t="shared" si="4"/>
        <v>-27645</v>
      </c>
      <c r="F104" s="161">
        <f t="shared" si="5"/>
        <v>-7.1539476748699636E-3</v>
      </c>
    </row>
    <row r="105" spans="1:6" ht="15" customHeight="1" x14ac:dyDescent="0.2">
      <c r="A105" s="147">
        <v>3</v>
      </c>
      <c r="B105" s="169" t="s">
        <v>235</v>
      </c>
      <c r="C105" s="157">
        <v>11348805</v>
      </c>
      <c r="D105" s="157">
        <v>11486083</v>
      </c>
      <c r="E105" s="157">
        <f t="shared" si="4"/>
        <v>137278</v>
      </c>
      <c r="F105" s="161">
        <f t="shared" si="5"/>
        <v>1.209625154366473E-2</v>
      </c>
    </row>
    <row r="106" spans="1:6" ht="15" customHeight="1" x14ac:dyDescent="0.2">
      <c r="A106" s="147">
        <v>4</v>
      </c>
      <c r="B106" s="169" t="s">
        <v>236</v>
      </c>
      <c r="C106" s="157">
        <v>1180097</v>
      </c>
      <c r="D106" s="157">
        <v>1122400</v>
      </c>
      <c r="E106" s="157">
        <f t="shared" si="4"/>
        <v>-57697</v>
      </c>
      <c r="F106" s="161">
        <f t="shared" si="5"/>
        <v>-4.8891743644802081E-2</v>
      </c>
    </row>
    <row r="107" spans="1:6" ht="15" customHeight="1" x14ac:dyDescent="0.2">
      <c r="A107" s="147">
        <v>5</v>
      </c>
      <c r="B107" s="169" t="s">
        <v>237</v>
      </c>
      <c r="C107" s="157">
        <v>18025773</v>
      </c>
      <c r="D107" s="157">
        <v>21328532</v>
      </c>
      <c r="E107" s="157">
        <f t="shared" si="4"/>
        <v>3302759</v>
      </c>
      <c r="F107" s="161">
        <f t="shared" si="5"/>
        <v>0.18322426450172205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0</v>
      </c>
      <c r="E108" s="157">
        <f t="shared" si="4"/>
        <v>0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50199355</v>
      </c>
      <c r="D109" s="157">
        <v>50555994</v>
      </c>
      <c r="E109" s="157">
        <f t="shared" si="4"/>
        <v>356639</v>
      </c>
      <c r="F109" s="161">
        <f t="shared" si="5"/>
        <v>7.1044538321259308E-3</v>
      </c>
    </row>
    <row r="110" spans="1:6" ht="15" customHeight="1" x14ac:dyDescent="0.2">
      <c r="A110" s="147">
        <v>8</v>
      </c>
      <c r="B110" s="169" t="s">
        <v>240</v>
      </c>
      <c r="C110" s="157">
        <v>0</v>
      </c>
      <c r="D110" s="157">
        <v>0</v>
      </c>
      <c r="E110" s="157">
        <f t="shared" si="4"/>
        <v>0</v>
      </c>
      <c r="F110" s="161">
        <f t="shared" si="5"/>
        <v>0</v>
      </c>
    </row>
    <row r="111" spans="1:6" ht="15" customHeight="1" x14ac:dyDescent="0.2">
      <c r="A111" s="147">
        <v>9</v>
      </c>
      <c r="B111" s="169" t="s">
        <v>241</v>
      </c>
      <c r="C111" s="157">
        <v>886368</v>
      </c>
      <c r="D111" s="157">
        <v>907918</v>
      </c>
      <c r="E111" s="157">
        <f t="shared" si="4"/>
        <v>21550</v>
      </c>
      <c r="F111" s="161">
        <f t="shared" si="5"/>
        <v>2.431270081952417E-2</v>
      </c>
    </row>
    <row r="112" spans="1:6" ht="15" customHeight="1" x14ac:dyDescent="0.2">
      <c r="A112" s="147">
        <v>10</v>
      </c>
      <c r="B112" s="169" t="s">
        <v>242</v>
      </c>
      <c r="C112" s="157">
        <v>4662252</v>
      </c>
      <c r="D112" s="157">
        <v>4627497</v>
      </c>
      <c r="E112" s="157">
        <f t="shared" si="4"/>
        <v>-34755</v>
      </c>
      <c r="F112" s="161">
        <f t="shared" si="5"/>
        <v>-7.4545520061978631E-3</v>
      </c>
    </row>
    <row r="113" spans="1:6" ht="15" customHeight="1" x14ac:dyDescent="0.2">
      <c r="A113" s="147">
        <v>11</v>
      </c>
      <c r="B113" s="169" t="s">
        <v>243</v>
      </c>
      <c r="C113" s="157">
        <v>4039376</v>
      </c>
      <c r="D113" s="157">
        <v>4076217</v>
      </c>
      <c r="E113" s="157">
        <f t="shared" si="4"/>
        <v>36841</v>
      </c>
      <c r="F113" s="161">
        <f t="shared" si="5"/>
        <v>9.1204681119063935E-3</v>
      </c>
    </row>
    <row r="114" spans="1:6" ht="15" customHeight="1" x14ac:dyDescent="0.2">
      <c r="A114" s="147">
        <v>12</v>
      </c>
      <c r="B114" s="169" t="s">
        <v>244</v>
      </c>
      <c r="C114" s="157">
        <v>0</v>
      </c>
      <c r="D114" s="157">
        <v>0</v>
      </c>
      <c r="E114" s="157">
        <f t="shared" si="4"/>
        <v>0</v>
      </c>
      <c r="F114" s="161">
        <f t="shared" si="5"/>
        <v>0</v>
      </c>
    </row>
    <row r="115" spans="1:6" ht="15" customHeight="1" x14ac:dyDescent="0.2">
      <c r="A115" s="147">
        <v>13</v>
      </c>
      <c r="B115" s="169" t="s">
        <v>245</v>
      </c>
      <c r="C115" s="157">
        <v>4933124</v>
      </c>
      <c r="D115" s="157">
        <v>5444812</v>
      </c>
      <c r="E115" s="157">
        <f t="shared" si="4"/>
        <v>511688</v>
      </c>
      <c r="F115" s="161">
        <f t="shared" si="5"/>
        <v>0.10372494184212681</v>
      </c>
    </row>
    <row r="116" spans="1:6" ht="15" customHeight="1" x14ac:dyDescent="0.2">
      <c r="A116" s="147">
        <v>14</v>
      </c>
      <c r="B116" s="169" t="s">
        <v>246</v>
      </c>
      <c r="C116" s="157">
        <v>3198326</v>
      </c>
      <c r="D116" s="157">
        <v>3078103</v>
      </c>
      <c r="E116" s="157">
        <f t="shared" si="4"/>
        <v>-120223</v>
      </c>
      <c r="F116" s="161">
        <f t="shared" si="5"/>
        <v>-3.7589351429466539E-2</v>
      </c>
    </row>
    <row r="117" spans="1:6" ht="15" customHeight="1" x14ac:dyDescent="0.2">
      <c r="A117" s="147">
        <v>15</v>
      </c>
      <c r="B117" s="169" t="s">
        <v>203</v>
      </c>
      <c r="C117" s="157">
        <v>7286187</v>
      </c>
      <c r="D117" s="157">
        <v>6704194</v>
      </c>
      <c r="E117" s="157">
        <f t="shared" si="4"/>
        <v>-581993</v>
      </c>
      <c r="F117" s="161">
        <f t="shared" si="5"/>
        <v>-7.987620960043984E-2</v>
      </c>
    </row>
    <row r="118" spans="1:6" ht="15" customHeight="1" x14ac:dyDescent="0.2">
      <c r="A118" s="147">
        <v>16</v>
      </c>
      <c r="B118" s="169" t="s">
        <v>247</v>
      </c>
      <c r="C118" s="157">
        <v>2377165</v>
      </c>
      <c r="D118" s="157">
        <v>2787140</v>
      </c>
      <c r="E118" s="157">
        <f t="shared" si="4"/>
        <v>409975</v>
      </c>
      <c r="F118" s="161">
        <f t="shared" si="5"/>
        <v>0.17246383822746844</v>
      </c>
    </row>
    <row r="119" spans="1:6" ht="15" customHeight="1" x14ac:dyDescent="0.2">
      <c r="A119" s="147">
        <v>17</v>
      </c>
      <c r="B119" s="169" t="s">
        <v>248</v>
      </c>
      <c r="C119" s="157">
        <v>13398250</v>
      </c>
      <c r="D119" s="157">
        <v>16634188</v>
      </c>
      <c r="E119" s="157">
        <f t="shared" si="4"/>
        <v>3235938</v>
      </c>
      <c r="F119" s="161">
        <f t="shared" si="5"/>
        <v>0.24151945216726065</v>
      </c>
    </row>
    <row r="120" spans="1:6" ht="15" customHeight="1" x14ac:dyDescent="0.2">
      <c r="A120" s="147">
        <v>18</v>
      </c>
      <c r="B120" s="169" t="s">
        <v>249</v>
      </c>
      <c r="C120" s="157">
        <v>46537015</v>
      </c>
      <c r="D120" s="157">
        <v>36308032</v>
      </c>
      <c r="E120" s="157">
        <f t="shared" si="4"/>
        <v>-10228983</v>
      </c>
      <c r="F120" s="161">
        <f t="shared" si="5"/>
        <v>-0.219803160989161</v>
      </c>
    </row>
    <row r="121" spans="1:6" ht="15.75" customHeight="1" x14ac:dyDescent="0.25">
      <c r="A121" s="147"/>
      <c r="B121" s="165" t="s">
        <v>250</v>
      </c>
      <c r="C121" s="158">
        <f>SUM(C103:C120)</f>
        <v>196533202</v>
      </c>
      <c r="D121" s="158">
        <f>SUM(D103:D120)</f>
        <v>196412387</v>
      </c>
      <c r="E121" s="158">
        <f t="shared" si="4"/>
        <v>-120815</v>
      </c>
      <c r="F121" s="159">
        <f t="shared" si="5"/>
        <v>-6.1473073643811087E-4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0</v>
      </c>
      <c r="D124" s="157">
        <v>0</v>
      </c>
      <c r="E124" s="157">
        <f t="shared" ref="E124:E130" si="6">D124-C124</f>
        <v>0</v>
      </c>
      <c r="F124" s="161">
        <f t="shared" ref="F124:F130" si="7">IF(C124=0,0,E124/C124)</f>
        <v>0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4108316</v>
      </c>
      <c r="D126" s="157">
        <v>3457287</v>
      </c>
      <c r="E126" s="157">
        <f t="shared" si="6"/>
        <v>-651029</v>
      </c>
      <c r="F126" s="161">
        <f t="shared" si="7"/>
        <v>-0.15846614525270208</v>
      </c>
    </row>
    <row r="127" spans="1:6" ht="15" customHeight="1" x14ac:dyDescent="0.2">
      <c r="A127" s="147">
        <v>4</v>
      </c>
      <c r="B127" s="169" t="s">
        <v>255</v>
      </c>
      <c r="C127" s="157">
        <v>2588360</v>
      </c>
      <c r="D127" s="157">
        <v>2853284</v>
      </c>
      <c r="E127" s="157">
        <f t="shared" si="6"/>
        <v>264924</v>
      </c>
      <c r="F127" s="161">
        <f t="shared" si="7"/>
        <v>0.10235206849124542</v>
      </c>
    </row>
    <row r="128" spans="1:6" ht="15" customHeight="1" x14ac:dyDescent="0.2">
      <c r="A128" s="147">
        <v>5</v>
      </c>
      <c r="B128" s="169" t="s">
        <v>256</v>
      </c>
      <c r="C128" s="157">
        <v>3280737</v>
      </c>
      <c r="D128" s="157">
        <v>3373658</v>
      </c>
      <c r="E128" s="157">
        <f t="shared" si="6"/>
        <v>92921</v>
      </c>
      <c r="F128" s="161">
        <f t="shared" si="7"/>
        <v>2.832320908381257E-2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9977413</v>
      </c>
      <c r="D130" s="158">
        <f>SUM(D124:D129)</f>
        <v>9684229</v>
      </c>
      <c r="E130" s="158">
        <f t="shared" si="6"/>
        <v>-293184</v>
      </c>
      <c r="F130" s="159">
        <f t="shared" si="7"/>
        <v>-2.9384771383123062E-2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25138907</v>
      </c>
      <c r="D133" s="157">
        <v>24024837</v>
      </c>
      <c r="E133" s="157">
        <f t="shared" ref="E133:E167" si="8">D133-C133</f>
        <v>-1114070</v>
      </c>
      <c r="F133" s="161">
        <f t="shared" ref="F133:F167" si="9">IF(C133=0,0,E133/C133)</f>
        <v>-4.4316564757568816E-2</v>
      </c>
    </row>
    <row r="134" spans="1:6" ht="15" customHeight="1" x14ac:dyDescent="0.2">
      <c r="A134" s="147">
        <v>2</v>
      </c>
      <c r="B134" s="169" t="s">
        <v>261</v>
      </c>
      <c r="C134" s="157">
        <v>1505436</v>
      </c>
      <c r="D134" s="157">
        <v>1409368</v>
      </c>
      <c r="E134" s="157">
        <f t="shared" si="8"/>
        <v>-96068</v>
      </c>
      <c r="F134" s="161">
        <f t="shared" si="9"/>
        <v>-6.3814071139523698E-2</v>
      </c>
    </row>
    <row r="135" spans="1:6" ht="15" customHeight="1" x14ac:dyDescent="0.2">
      <c r="A135" s="147">
        <v>3</v>
      </c>
      <c r="B135" s="169" t="s">
        <v>262</v>
      </c>
      <c r="C135" s="157">
        <v>1553985</v>
      </c>
      <c r="D135" s="157">
        <v>1257162</v>
      </c>
      <c r="E135" s="157">
        <f t="shared" si="8"/>
        <v>-296823</v>
      </c>
      <c r="F135" s="161">
        <f t="shared" si="9"/>
        <v>-0.19100763520883407</v>
      </c>
    </row>
    <row r="136" spans="1:6" ht="15" customHeight="1" x14ac:dyDescent="0.2">
      <c r="A136" s="147">
        <v>4</v>
      </c>
      <c r="B136" s="169" t="s">
        <v>263</v>
      </c>
      <c r="C136" s="157">
        <v>4232156</v>
      </c>
      <c r="D136" s="157">
        <v>4328261</v>
      </c>
      <c r="E136" s="157">
        <f t="shared" si="8"/>
        <v>96105</v>
      </c>
      <c r="F136" s="161">
        <f t="shared" si="9"/>
        <v>2.2708283910139418E-2</v>
      </c>
    </row>
    <row r="137" spans="1:6" ht="15" customHeight="1" x14ac:dyDescent="0.2">
      <c r="A137" s="147">
        <v>5</v>
      </c>
      <c r="B137" s="169" t="s">
        <v>264</v>
      </c>
      <c r="C137" s="157">
        <v>7281098</v>
      </c>
      <c r="D137" s="157">
        <v>11415739</v>
      </c>
      <c r="E137" s="157">
        <f t="shared" si="8"/>
        <v>4134641</v>
      </c>
      <c r="F137" s="161">
        <f t="shared" si="9"/>
        <v>0.56785954535977956</v>
      </c>
    </row>
    <row r="138" spans="1:6" ht="15" customHeight="1" x14ac:dyDescent="0.2">
      <c r="A138" s="147">
        <v>6</v>
      </c>
      <c r="B138" s="169" t="s">
        <v>265</v>
      </c>
      <c r="C138" s="157">
        <v>1901633</v>
      </c>
      <c r="D138" s="157">
        <v>1925293</v>
      </c>
      <c r="E138" s="157">
        <f t="shared" si="8"/>
        <v>23660</v>
      </c>
      <c r="F138" s="161">
        <f t="shared" si="9"/>
        <v>1.2441938060603702E-2</v>
      </c>
    </row>
    <row r="139" spans="1:6" ht="15" customHeight="1" x14ac:dyDescent="0.2">
      <c r="A139" s="147">
        <v>7</v>
      </c>
      <c r="B139" s="169" t="s">
        <v>266</v>
      </c>
      <c r="C139" s="157">
        <v>4113816</v>
      </c>
      <c r="D139" s="157">
        <v>4863403</v>
      </c>
      <c r="E139" s="157">
        <f t="shared" si="8"/>
        <v>749587</v>
      </c>
      <c r="F139" s="161">
        <f t="shared" si="9"/>
        <v>0.18221208726885207</v>
      </c>
    </row>
    <row r="140" spans="1:6" ht="15" customHeight="1" x14ac:dyDescent="0.2">
      <c r="A140" s="147">
        <v>8</v>
      </c>
      <c r="B140" s="169" t="s">
        <v>267</v>
      </c>
      <c r="C140" s="157">
        <v>619759</v>
      </c>
      <c r="D140" s="157">
        <v>729758</v>
      </c>
      <c r="E140" s="157">
        <f t="shared" si="8"/>
        <v>109999</v>
      </c>
      <c r="F140" s="161">
        <f t="shared" si="9"/>
        <v>0.17748673274611582</v>
      </c>
    </row>
    <row r="141" spans="1:6" ht="15" customHeight="1" x14ac:dyDescent="0.2">
      <c r="A141" s="147">
        <v>9</v>
      </c>
      <c r="B141" s="169" t="s">
        <v>268</v>
      </c>
      <c r="C141" s="157">
        <v>1550492</v>
      </c>
      <c r="D141" s="157">
        <v>1564798</v>
      </c>
      <c r="E141" s="157">
        <f t="shared" si="8"/>
        <v>14306</v>
      </c>
      <c r="F141" s="161">
        <f t="shared" si="9"/>
        <v>9.2267486707445119E-3</v>
      </c>
    </row>
    <row r="142" spans="1:6" ht="15" customHeight="1" x14ac:dyDescent="0.2">
      <c r="A142" s="147">
        <v>10</v>
      </c>
      <c r="B142" s="169" t="s">
        <v>269</v>
      </c>
      <c r="C142" s="157">
        <v>13904545</v>
      </c>
      <c r="D142" s="157">
        <v>13457780</v>
      </c>
      <c r="E142" s="157">
        <f t="shared" si="8"/>
        <v>-446765</v>
      </c>
      <c r="F142" s="161">
        <f t="shared" si="9"/>
        <v>-3.2130860808462267E-2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14957154</v>
      </c>
      <c r="D144" s="157">
        <v>14460914</v>
      </c>
      <c r="E144" s="157">
        <f t="shared" si="8"/>
        <v>-496240</v>
      </c>
      <c r="F144" s="161">
        <f t="shared" si="9"/>
        <v>-3.3177434691118377E-2</v>
      </c>
    </row>
    <row r="145" spans="1:6" ht="15" customHeight="1" x14ac:dyDescent="0.2">
      <c r="A145" s="147">
        <v>13</v>
      </c>
      <c r="B145" s="169" t="s">
        <v>272</v>
      </c>
      <c r="C145" s="157">
        <v>951447</v>
      </c>
      <c r="D145" s="157">
        <v>859843</v>
      </c>
      <c r="E145" s="157">
        <f t="shared" si="8"/>
        <v>-91604</v>
      </c>
      <c r="F145" s="161">
        <f t="shared" si="9"/>
        <v>-9.6278615624412076E-2</v>
      </c>
    </row>
    <row r="146" spans="1:6" ht="15" customHeight="1" x14ac:dyDescent="0.2">
      <c r="A146" s="147">
        <v>14</v>
      </c>
      <c r="B146" s="169" t="s">
        <v>273</v>
      </c>
      <c r="C146" s="157">
        <v>187709</v>
      </c>
      <c r="D146" s="157">
        <v>199578</v>
      </c>
      <c r="E146" s="157">
        <f t="shared" si="8"/>
        <v>11869</v>
      </c>
      <c r="F146" s="161">
        <f t="shared" si="9"/>
        <v>6.3230852010292521E-2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2793744</v>
      </c>
      <c r="D150" s="157">
        <v>2842875</v>
      </c>
      <c r="E150" s="157">
        <f t="shared" si="8"/>
        <v>49131</v>
      </c>
      <c r="F150" s="161">
        <f t="shared" si="9"/>
        <v>1.7586078037214577E-2</v>
      </c>
    </row>
    <row r="151" spans="1:6" ht="15" customHeight="1" x14ac:dyDescent="0.2">
      <c r="A151" s="147">
        <v>19</v>
      </c>
      <c r="B151" s="169" t="s">
        <v>278</v>
      </c>
      <c r="C151" s="157">
        <v>397004</v>
      </c>
      <c r="D151" s="157">
        <v>326636</v>
      </c>
      <c r="E151" s="157">
        <f t="shared" si="8"/>
        <v>-70368</v>
      </c>
      <c r="F151" s="161">
        <f t="shared" si="9"/>
        <v>-0.17724758440721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2197019</v>
      </c>
      <c r="D154" s="157">
        <v>1998482</v>
      </c>
      <c r="E154" s="157">
        <f t="shared" si="8"/>
        <v>-198537</v>
      </c>
      <c r="F154" s="161">
        <f t="shared" si="9"/>
        <v>-9.0366537567494867E-2</v>
      </c>
    </row>
    <row r="155" spans="1:6" ht="15" customHeight="1" x14ac:dyDescent="0.2">
      <c r="A155" s="147">
        <v>23</v>
      </c>
      <c r="B155" s="169" t="s">
        <v>282</v>
      </c>
      <c r="C155" s="157">
        <v>583570</v>
      </c>
      <c r="D155" s="157">
        <v>664614</v>
      </c>
      <c r="E155" s="157">
        <f t="shared" si="8"/>
        <v>81044</v>
      </c>
      <c r="F155" s="161">
        <f t="shared" si="9"/>
        <v>0.1388762273591857</v>
      </c>
    </row>
    <row r="156" spans="1:6" ht="15" customHeight="1" x14ac:dyDescent="0.2">
      <c r="A156" s="147">
        <v>24</v>
      </c>
      <c r="B156" s="169" t="s">
        <v>283</v>
      </c>
      <c r="C156" s="157">
        <v>22809560</v>
      </c>
      <c r="D156" s="157">
        <v>23067128</v>
      </c>
      <c r="E156" s="157">
        <f t="shared" si="8"/>
        <v>257568</v>
      </c>
      <c r="F156" s="161">
        <f t="shared" si="9"/>
        <v>1.1292107344464338E-2</v>
      </c>
    </row>
    <row r="157" spans="1:6" ht="15" customHeight="1" x14ac:dyDescent="0.2">
      <c r="A157" s="147">
        <v>25</v>
      </c>
      <c r="B157" s="169" t="s">
        <v>284</v>
      </c>
      <c r="C157" s="157">
        <v>0</v>
      </c>
      <c r="D157" s="157">
        <v>0</v>
      </c>
      <c r="E157" s="157">
        <f t="shared" si="8"/>
        <v>0</v>
      </c>
      <c r="F157" s="161">
        <f t="shared" si="9"/>
        <v>0</v>
      </c>
    </row>
    <row r="158" spans="1:6" ht="15" customHeight="1" x14ac:dyDescent="0.2">
      <c r="A158" s="147">
        <v>26</v>
      </c>
      <c r="B158" s="169" t="s">
        <v>285</v>
      </c>
      <c r="C158" s="157">
        <v>307703</v>
      </c>
      <c r="D158" s="157">
        <v>400846</v>
      </c>
      <c r="E158" s="157">
        <f t="shared" si="8"/>
        <v>93143</v>
      </c>
      <c r="F158" s="161">
        <f t="shared" si="9"/>
        <v>0.30270423102797178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2593777</v>
      </c>
      <c r="D160" s="157">
        <v>2680642</v>
      </c>
      <c r="E160" s="157">
        <f t="shared" si="8"/>
        <v>86865</v>
      </c>
      <c r="F160" s="161">
        <f t="shared" si="9"/>
        <v>3.3489771865507327E-2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5374063</v>
      </c>
      <c r="D164" s="157">
        <v>5483029</v>
      </c>
      <c r="E164" s="157">
        <f t="shared" si="8"/>
        <v>108966</v>
      </c>
      <c r="F164" s="161">
        <f t="shared" si="9"/>
        <v>2.0276278860147341E-2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0</v>
      </c>
      <c r="D166" s="157">
        <v>0</v>
      </c>
      <c r="E166" s="157">
        <f t="shared" si="8"/>
        <v>0</v>
      </c>
      <c r="F166" s="161">
        <f t="shared" si="9"/>
        <v>0</v>
      </c>
    </row>
    <row r="167" spans="1:6" ht="15.75" customHeight="1" x14ac:dyDescent="0.25">
      <c r="A167" s="147"/>
      <c r="B167" s="165" t="s">
        <v>294</v>
      </c>
      <c r="C167" s="158">
        <f>SUM(C133:C166)</f>
        <v>114954577</v>
      </c>
      <c r="D167" s="158">
        <f>SUM(D133:D166)</f>
        <v>117960986</v>
      </c>
      <c r="E167" s="158">
        <f t="shared" si="8"/>
        <v>3006409</v>
      </c>
      <c r="F167" s="159">
        <f t="shared" si="9"/>
        <v>2.6153016943379296E-2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40272362</v>
      </c>
      <c r="D170" s="157">
        <v>43555342</v>
      </c>
      <c r="E170" s="157">
        <f t="shared" ref="E170:E183" si="10">D170-C170</f>
        <v>3282980</v>
      </c>
      <c r="F170" s="161">
        <f t="shared" ref="F170:F183" si="11">IF(C170=0,0,E170/C170)</f>
        <v>8.1519430124312051E-2</v>
      </c>
    </row>
    <row r="171" spans="1:6" ht="15" customHeight="1" x14ac:dyDescent="0.2">
      <c r="A171" s="147">
        <v>2</v>
      </c>
      <c r="B171" s="169" t="s">
        <v>297</v>
      </c>
      <c r="C171" s="157">
        <v>3268563</v>
      </c>
      <c r="D171" s="157">
        <v>3699447</v>
      </c>
      <c r="E171" s="157">
        <f t="shared" si="10"/>
        <v>430884</v>
      </c>
      <c r="F171" s="161">
        <f t="shared" si="11"/>
        <v>0.13182673853922963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2350861</v>
      </c>
      <c r="D173" s="157">
        <v>2537779</v>
      </c>
      <c r="E173" s="157">
        <f t="shared" si="10"/>
        <v>186918</v>
      </c>
      <c r="F173" s="161">
        <f t="shared" si="11"/>
        <v>7.9510443195067684E-2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2107080</v>
      </c>
      <c r="D178" s="157">
        <v>2213725</v>
      </c>
      <c r="E178" s="157">
        <f t="shared" si="10"/>
        <v>106645</v>
      </c>
      <c r="F178" s="161">
        <f t="shared" si="11"/>
        <v>5.0612696243142172E-2</v>
      </c>
    </row>
    <row r="179" spans="1:6" ht="15" customHeight="1" x14ac:dyDescent="0.2">
      <c r="A179" s="147">
        <v>10</v>
      </c>
      <c r="B179" s="169" t="s">
        <v>305</v>
      </c>
      <c r="C179" s="157">
        <v>8960405</v>
      </c>
      <c r="D179" s="157">
        <v>9880813</v>
      </c>
      <c r="E179" s="157">
        <f t="shared" si="10"/>
        <v>920408</v>
      </c>
      <c r="F179" s="161">
        <f t="shared" si="11"/>
        <v>0.1027194641313646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1889468</v>
      </c>
      <c r="D181" s="157">
        <v>1883409</v>
      </c>
      <c r="E181" s="157">
        <f t="shared" si="10"/>
        <v>-6059</v>
      </c>
      <c r="F181" s="161">
        <f t="shared" si="11"/>
        <v>-3.2067227388873484E-3</v>
      </c>
    </row>
    <row r="182" spans="1:6" ht="15" customHeight="1" x14ac:dyDescent="0.2">
      <c r="A182" s="147">
        <v>13</v>
      </c>
      <c r="B182" s="169" t="s">
        <v>308</v>
      </c>
      <c r="C182" s="157">
        <v>2064684</v>
      </c>
      <c r="D182" s="157">
        <v>2009979</v>
      </c>
      <c r="E182" s="157">
        <f t="shared" si="10"/>
        <v>-54705</v>
      </c>
      <c r="F182" s="161">
        <f t="shared" si="11"/>
        <v>-2.649557995315506E-2</v>
      </c>
    </row>
    <row r="183" spans="1:6" ht="15.75" customHeight="1" x14ac:dyDescent="0.25">
      <c r="A183" s="147"/>
      <c r="B183" s="165" t="s">
        <v>309</v>
      </c>
      <c r="C183" s="158">
        <f>SUM(C170:C182)</f>
        <v>60913423</v>
      </c>
      <c r="D183" s="158">
        <f>SUM(D170:D182)</f>
        <v>65780494</v>
      </c>
      <c r="E183" s="158">
        <f t="shared" si="10"/>
        <v>4867071</v>
      </c>
      <c r="F183" s="159">
        <f t="shared" si="11"/>
        <v>7.9901452919498545E-2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26855385</v>
      </c>
      <c r="D186" s="157">
        <v>36657904</v>
      </c>
      <c r="E186" s="157">
        <f>D186-C186</f>
        <v>9802519</v>
      </c>
      <c r="F186" s="161">
        <f>IF(C186=0,0,E186/C186)</f>
        <v>0.36501130034069518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409234000</v>
      </c>
      <c r="D188" s="158">
        <f>+D186+D183+D167+D130+D121</f>
        <v>426496000</v>
      </c>
      <c r="E188" s="158">
        <f>D188-C188</f>
        <v>17262000</v>
      </c>
      <c r="F188" s="159">
        <f>IF(C188=0,0,E188/C188)</f>
        <v>4.2181245937532072E-2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FILING&amp;RBRIDGEPORT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420616000</v>
      </c>
      <c r="D11" s="183">
        <v>418827000</v>
      </c>
      <c r="E11" s="76">
        <v>439375000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16075000</v>
      </c>
      <c r="D12" s="185">
        <v>22885000</v>
      </c>
      <c r="E12" s="185">
        <v>24165000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436691000</v>
      </c>
      <c r="D13" s="76">
        <f>+D11+D12</f>
        <v>441712000</v>
      </c>
      <c r="E13" s="76">
        <f>+E11+E12</f>
        <v>463540000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403987000</v>
      </c>
      <c r="D14" s="185">
        <v>409234000</v>
      </c>
      <c r="E14" s="185">
        <v>426496000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32704000</v>
      </c>
      <c r="D15" s="76">
        <f>+D13-D14</f>
        <v>32478000</v>
      </c>
      <c r="E15" s="76">
        <f>+E13-E14</f>
        <v>37044000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2164000</v>
      </c>
      <c r="D16" s="185">
        <v>3969000</v>
      </c>
      <c r="E16" s="185">
        <v>5852000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34868000</v>
      </c>
      <c r="D17" s="76">
        <f>D15+D16</f>
        <v>36447000</v>
      </c>
      <c r="E17" s="76">
        <f>E15+E16</f>
        <v>42896000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7.4521197206366574E-2</v>
      </c>
      <c r="D20" s="189">
        <f>IF(+D27=0,0,+D24/+D27)</f>
        <v>7.2872749791891511E-2</v>
      </c>
      <c r="E20" s="189">
        <f>IF(+E27=0,0,+E24/+E27)</f>
        <v>7.891911238367931E-2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4.9310136605484724E-3</v>
      </c>
      <c r="D21" s="189">
        <f>IF(D27=0,0,+D26/D27)</f>
        <v>8.9054727484456364E-3</v>
      </c>
      <c r="E21" s="189">
        <f>IF(E27=0,0,+E26/E27)</f>
        <v>1.2467191601049869E-2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7.9452210866915035E-2</v>
      </c>
      <c r="D22" s="189">
        <f>IF(D27=0,0,+D28/D27)</f>
        <v>8.1778222540337148E-2</v>
      </c>
      <c r="E22" s="189">
        <f>IF(E27=0,0,+E28/E27)</f>
        <v>9.1386303984729175E-2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32704000</v>
      </c>
      <c r="D24" s="76">
        <f>+D15</f>
        <v>32478000</v>
      </c>
      <c r="E24" s="76">
        <f>+E15</f>
        <v>37044000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436691000</v>
      </c>
      <c r="D25" s="76">
        <f>+D13</f>
        <v>441712000</v>
      </c>
      <c r="E25" s="76">
        <f>+E13</f>
        <v>463540000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2164000</v>
      </c>
      <c r="D26" s="76">
        <f>+D16</f>
        <v>3969000</v>
      </c>
      <c r="E26" s="76">
        <f>+E16</f>
        <v>5852000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438855000</v>
      </c>
      <c r="D27" s="76">
        <f>+D25+D26</f>
        <v>445681000</v>
      </c>
      <c r="E27" s="76">
        <f>+E25+E26</f>
        <v>469392000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34868000</v>
      </c>
      <c r="D28" s="76">
        <f>+D17</f>
        <v>36447000</v>
      </c>
      <c r="E28" s="76">
        <f>+E17</f>
        <v>42896000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74554000</v>
      </c>
      <c r="D31" s="76">
        <v>123039000</v>
      </c>
      <c r="E31" s="76">
        <v>100811000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123258000</v>
      </c>
      <c r="D32" s="76">
        <v>175860000</v>
      </c>
      <c r="E32" s="76">
        <v>155833000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4444000</v>
      </c>
      <c r="D33" s="76">
        <f>+D32-C32</f>
        <v>52602000</v>
      </c>
      <c r="E33" s="76">
        <f>+E32-D32</f>
        <v>-20027000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1.0374000000000001</v>
      </c>
      <c r="D34" s="193">
        <f>IF(C32=0,0,+D33/C32)</f>
        <v>0.42676337438543543</v>
      </c>
      <c r="E34" s="193">
        <f>IF(D32=0,0,+E33/D32)</f>
        <v>-0.11388035937677699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0.28969556309065853</v>
      </c>
      <c r="D38" s="195">
        <f>IF((D40+D41)=0,0,+D39/(D40+D41))</f>
        <v>0.26972117737237244</v>
      </c>
      <c r="E38" s="195">
        <f>IF((E40+E41)=0,0,+E39/(E40+E41))</f>
        <v>0.25112873695732196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403987000</v>
      </c>
      <c r="D39" s="76">
        <v>409234000</v>
      </c>
      <c r="E39" s="196">
        <v>426496000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1390797863</v>
      </c>
      <c r="D40" s="76">
        <v>1512519567</v>
      </c>
      <c r="E40" s="196">
        <v>1693079737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3724703</v>
      </c>
      <c r="D41" s="76">
        <v>4728741</v>
      </c>
      <c r="E41" s="196">
        <v>5236454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1.4102008543444018</v>
      </c>
      <c r="D43" s="197">
        <f>IF(D38=0,0,IF((D46-D47)=0,0,((+D44-D45)/(D46-D47)/D38)))</f>
        <v>1.4850939036488089</v>
      </c>
      <c r="E43" s="197">
        <f>IF(E38=0,0,IF((E46-E47)=0,0,((+E44-E45)/(E46-E47)/E38)))</f>
        <v>1.4696981164186615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179025786</v>
      </c>
      <c r="D44" s="76">
        <v>191706566</v>
      </c>
      <c r="E44" s="196">
        <v>198001904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4362981</v>
      </c>
      <c r="D45" s="76">
        <v>5710793</v>
      </c>
      <c r="E45" s="196">
        <v>13867244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475057071</v>
      </c>
      <c r="D46" s="76">
        <v>516542643</v>
      </c>
      <c r="E46" s="196">
        <v>544853123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47516224</v>
      </c>
      <c r="D47" s="76">
        <v>52204765</v>
      </c>
      <c r="E47" s="76">
        <v>45956006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0.97630090898843636</v>
      </c>
      <c r="D49" s="198">
        <f>IF(D38=0,0,IF(D51=0,0,(D50/D51)/D38))</f>
        <v>1.0346541286074324</v>
      </c>
      <c r="E49" s="198">
        <f>IF(E38=0,0,IF(E51=0,0,(E50/E51)/E38))</f>
        <v>1.0093960153853869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152153815</v>
      </c>
      <c r="D50" s="199">
        <v>160079187</v>
      </c>
      <c r="E50" s="199">
        <v>159487014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537969072</v>
      </c>
      <c r="D51" s="199">
        <v>573620453</v>
      </c>
      <c r="E51" s="199">
        <v>629169018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0.73901988337043767</v>
      </c>
      <c r="D53" s="198">
        <f>IF(D38=0,0,IF(D55=0,0,(D54/D55)/D38))</f>
        <v>0.68589725916342581</v>
      </c>
      <c r="E53" s="198">
        <f>IF(E38=0,0,IF(E55=0,0,(E54/E55)/E38))</f>
        <v>0.71316215262887217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80545712</v>
      </c>
      <c r="D54" s="199">
        <v>77809615</v>
      </c>
      <c r="E54" s="199">
        <v>92516930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376222234</v>
      </c>
      <c r="D55" s="199">
        <v>420590203</v>
      </c>
      <c r="E55" s="199">
        <v>516578722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12979555.641268125</v>
      </c>
      <c r="D57" s="88">
        <f>+D60*D38</f>
        <v>14066133.909570983</v>
      </c>
      <c r="E57" s="88">
        <f>+E60*E38</f>
        <v>17291594.747564882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14777279</v>
      </c>
      <c r="D58" s="199">
        <v>19484535</v>
      </c>
      <c r="E58" s="199">
        <v>13389500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30026844</v>
      </c>
      <c r="D59" s="199">
        <v>32666112</v>
      </c>
      <c r="E59" s="199">
        <v>55466000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44804123</v>
      </c>
      <c r="D60" s="76">
        <v>52150647</v>
      </c>
      <c r="E60" s="201">
        <v>68855500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3.2128646816031517E-2</v>
      </c>
      <c r="D62" s="202">
        <f>IF(D63=0,0,+D57/D63)</f>
        <v>3.4371860377121602E-2</v>
      </c>
      <c r="E62" s="202">
        <f>IF(E63=0,0,+E57/E63)</f>
        <v>4.0543392546623841E-2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403987000</v>
      </c>
      <c r="D63" s="199">
        <v>409234000</v>
      </c>
      <c r="E63" s="199">
        <v>426496000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1.5974495480995419</v>
      </c>
      <c r="D67" s="203">
        <f>IF(D69=0,0,D68/D69)</f>
        <v>1.2627562471943738</v>
      </c>
      <c r="E67" s="203">
        <f>IF(E69=0,0,E68/E69)</f>
        <v>1.6132509862962516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129026000</v>
      </c>
      <c r="D68" s="204">
        <v>143463000</v>
      </c>
      <c r="E68" s="204">
        <v>146801000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80770000</v>
      </c>
      <c r="D69" s="204">
        <v>113611000</v>
      </c>
      <c r="E69" s="204">
        <v>90997000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54.171039467239169</v>
      </c>
      <c r="D71" s="203">
        <f>IF((D77/365)=0,0,+D74/(D77/365))</f>
        <v>60.231044922885836</v>
      </c>
      <c r="E71" s="203">
        <f>IF((E77/365)=0,0,+E74/(E77/365))</f>
        <v>61.261354758949174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15511000</v>
      </c>
      <c r="D72" s="183">
        <v>30127000</v>
      </c>
      <c r="E72" s="183">
        <v>28527000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41452000</v>
      </c>
      <c r="D73" s="206">
        <v>33642000</v>
      </c>
      <c r="E73" s="206">
        <v>37860000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56963000</v>
      </c>
      <c r="D74" s="204">
        <f>+D72+D73</f>
        <v>63769000</v>
      </c>
      <c r="E74" s="204">
        <f>+E72+E73</f>
        <v>66387000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403987000</v>
      </c>
      <c r="D75" s="204">
        <f>+D14</f>
        <v>409234000</v>
      </c>
      <c r="E75" s="204">
        <f>+E14</f>
        <v>426496000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20175000</v>
      </c>
      <c r="D76" s="204">
        <v>22794000</v>
      </c>
      <c r="E76" s="204">
        <v>30957000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383812000</v>
      </c>
      <c r="D77" s="204">
        <f>+D75-D76</f>
        <v>386440000</v>
      </c>
      <c r="E77" s="204">
        <f>+E75-E76</f>
        <v>395539000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37.299567776784528</v>
      </c>
      <c r="D79" s="203">
        <f>IF((D84/365)=0,0,+D83/(D84/365))</f>
        <v>44.822038693780492</v>
      </c>
      <c r="E79" s="203">
        <f>IF((E84/365)=0,0,+E83/(E84/365))</f>
        <v>41.3136386913229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42983000</v>
      </c>
      <c r="D80" s="212">
        <v>51432000</v>
      </c>
      <c r="E80" s="212">
        <v>49732000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11424000</v>
      </c>
      <c r="D81" s="212">
        <v>10552000</v>
      </c>
      <c r="E81" s="212">
        <v>8273000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11424000</v>
      </c>
      <c r="D82" s="212">
        <v>10552000</v>
      </c>
      <c r="E82" s="212">
        <v>8273000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42983000</v>
      </c>
      <c r="D83" s="212">
        <f>+D80+D81-D82</f>
        <v>51432000</v>
      </c>
      <c r="E83" s="212">
        <f>+E80+E81-E82</f>
        <v>49732000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420616000</v>
      </c>
      <c r="D84" s="204">
        <f>+D11</f>
        <v>418827000</v>
      </c>
      <c r="E84" s="204">
        <f>+E11</f>
        <v>439375000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76.811173178535327</v>
      </c>
      <c r="D86" s="203">
        <f>IF((D90/365)=0,0,+D87/(D90/365))</f>
        <v>107.30777093468586</v>
      </c>
      <c r="E86" s="203">
        <f>IF((E90/365)=0,0,+E87/(E90/365))</f>
        <v>83.971251886666039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80770000</v>
      </c>
      <c r="D87" s="76">
        <f>+D69</f>
        <v>113611000</v>
      </c>
      <c r="E87" s="76">
        <f>+E69</f>
        <v>90997000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403987000</v>
      </c>
      <c r="D88" s="76">
        <f t="shared" si="0"/>
        <v>409234000</v>
      </c>
      <c r="E88" s="76">
        <f t="shared" si="0"/>
        <v>426496000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20175000</v>
      </c>
      <c r="D89" s="201">
        <f t="shared" si="0"/>
        <v>22794000</v>
      </c>
      <c r="E89" s="201">
        <f t="shared" si="0"/>
        <v>30957000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383812000</v>
      </c>
      <c r="D90" s="76">
        <f>+D88-D89</f>
        <v>386440000</v>
      </c>
      <c r="E90" s="76">
        <f>+E88-E89</f>
        <v>395539000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31.622129179237728</v>
      </c>
      <c r="D94" s="214">
        <f>IF(D96=0,0,(D95/D96)*100)</f>
        <v>39.940132952085925</v>
      </c>
      <c r="E94" s="214">
        <f>IF(E96=0,0,(E95/E96)*100)</f>
        <v>32.975294926731209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123258000</v>
      </c>
      <c r="D95" s="76">
        <f>+D32</f>
        <v>175860000</v>
      </c>
      <c r="E95" s="76">
        <f>+E32</f>
        <v>155833000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389784000</v>
      </c>
      <c r="D96" s="76">
        <v>440309000</v>
      </c>
      <c r="E96" s="76">
        <v>472575000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42.933248053913232</v>
      </c>
      <c r="D98" s="214">
        <f>IF(D104=0,0,(D101/D104)*100)</f>
        <v>36.385915129627236</v>
      </c>
      <c r="E98" s="214">
        <f>IF(E104=0,0,(E101/E104)*100)</f>
        <v>43.219471087728742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34868000</v>
      </c>
      <c r="D99" s="76">
        <f>+D28</f>
        <v>36447000</v>
      </c>
      <c r="E99" s="76">
        <f>+E28</f>
        <v>42896000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20175000</v>
      </c>
      <c r="D100" s="201">
        <f>+D76</f>
        <v>22794000</v>
      </c>
      <c r="E100" s="201">
        <f>+E76</f>
        <v>30957000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55043000</v>
      </c>
      <c r="D101" s="76">
        <f>+D99+D100</f>
        <v>59241000</v>
      </c>
      <c r="E101" s="76">
        <f>+E99+E100</f>
        <v>73853000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80770000</v>
      </c>
      <c r="D102" s="204">
        <f>+D69</f>
        <v>113611000</v>
      </c>
      <c r="E102" s="204">
        <f>+E69</f>
        <v>90997000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47436000</v>
      </c>
      <c r="D103" s="216">
        <v>49202000</v>
      </c>
      <c r="E103" s="216">
        <v>79882000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128206000</v>
      </c>
      <c r="D104" s="204">
        <f>+D102+D103</f>
        <v>162813000</v>
      </c>
      <c r="E104" s="204">
        <f>+E102+E103</f>
        <v>170879000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27.790080494920737</v>
      </c>
      <c r="D106" s="214">
        <f>IF(D109=0,0,(D107/D109)*100)</f>
        <v>21.861531489100781</v>
      </c>
      <c r="E106" s="214">
        <f>IF(E109=0,0,(E107/E109)*100)</f>
        <v>33.889230638695032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47436000</v>
      </c>
      <c r="D107" s="204">
        <f>+D103</f>
        <v>49202000</v>
      </c>
      <c r="E107" s="204">
        <f>+E103</f>
        <v>79882000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123258000</v>
      </c>
      <c r="D108" s="204">
        <f>+D32</f>
        <v>175860000</v>
      </c>
      <c r="E108" s="204">
        <f>+E32</f>
        <v>155833000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170694000</v>
      </c>
      <c r="D109" s="204">
        <f>+D107+D108</f>
        <v>225062000</v>
      </c>
      <c r="E109" s="204">
        <f>+E107+E108</f>
        <v>235715000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6.4529714030384273</v>
      </c>
      <c r="D111" s="214">
        <f>IF((+D113+D115)=0,0,((+D112+D113+D114)/(+D113+D115)))</f>
        <v>11.253880266075388</v>
      </c>
      <c r="E111" s="214">
        <f>IF((+E113+E115)=0,0,((+E112+E113+E114)/(+E113+E115)))</f>
        <v>11.731501381639546</v>
      </c>
    </row>
    <row r="112" spans="1:6" ht="24" customHeight="1" x14ac:dyDescent="0.2">
      <c r="A112" s="85">
        <v>16</v>
      </c>
      <c r="B112" s="75" t="s">
        <v>373</v>
      </c>
      <c r="C112" s="218">
        <f>+C17</f>
        <v>34868000</v>
      </c>
      <c r="D112" s="76">
        <f>+D17</f>
        <v>36447000</v>
      </c>
      <c r="E112" s="76">
        <f>+E17</f>
        <v>42896000</v>
      </c>
    </row>
    <row r="113" spans="1:8" ht="24" customHeight="1" x14ac:dyDescent="0.2">
      <c r="A113" s="85">
        <v>17</v>
      </c>
      <c r="B113" s="75" t="s">
        <v>88</v>
      </c>
      <c r="C113" s="218">
        <v>2724000</v>
      </c>
      <c r="D113" s="76">
        <v>1665000</v>
      </c>
      <c r="E113" s="76">
        <v>2566000</v>
      </c>
    </row>
    <row r="114" spans="1:8" ht="24" customHeight="1" x14ac:dyDescent="0.2">
      <c r="A114" s="85">
        <v>18</v>
      </c>
      <c r="B114" s="75" t="s">
        <v>374</v>
      </c>
      <c r="C114" s="218">
        <v>20175000</v>
      </c>
      <c r="D114" s="76">
        <v>22794000</v>
      </c>
      <c r="E114" s="76">
        <v>30957000</v>
      </c>
    </row>
    <row r="115" spans="1:8" ht="24" customHeight="1" x14ac:dyDescent="0.2">
      <c r="A115" s="85">
        <v>19</v>
      </c>
      <c r="B115" s="75" t="s">
        <v>104</v>
      </c>
      <c r="C115" s="218">
        <v>6228000</v>
      </c>
      <c r="D115" s="76">
        <v>3747000</v>
      </c>
      <c r="E115" s="76">
        <v>3948000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14.062998760842627</v>
      </c>
      <c r="D119" s="214">
        <f>IF(+D121=0,0,(+D120)/(+D121))</f>
        <v>12.520926559620953</v>
      </c>
      <c r="E119" s="214">
        <f>IF(+E121=0,0,(+E120)/(+E121))</f>
        <v>9.8096391769228291</v>
      </c>
    </row>
    <row r="120" spans="1:8" ht="24" customHeight="1" x14ac:dyDescent="0.2">
      <c r="A120" s="85">
        <v>21</v>
      </c>
      <c r="B120" s="75" t="s">
        <v>378</v>
      </c>
      <c r="C120" s="218">
        <v>283721000</v>
      </c>
      <c r="D120" s="218">
        <v>285402000</v>
      </c>
      <c r="E120" s="218">
        <v>303677000</v>
      </c>
    </row>
    <row r="121" spans="1:8" ht="24" customHeight="1" x14ac:dyDescent="0.2">
      <c r="A121" s="85">
        <v>22</v>
      </c>
      <c r="B121" s="75" t="s">
        <v>374</v>
      </c>
      <c r="C121" s="218">
        <v>20175000</v>
      </c>
      <c r="D121" s="218">
        <v>22794000</v>
      </c>
      <c r="E121" s="218">
        <v>30957000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100830</v>
      </c>
      <c r="D124" s="218">
        <v>97440</v>
      </c>
      <c r="E124" s="218">
        <v>101235</v>
      </c>
    </row>
    <row r="125" spans="1:8" ht="24" customHeight="1" x14ac:dyDescent="0.2">
      <c r="A125" s="85">
        <v>2</v>
      </c>
      <c r="B125" s="75" t="s">
        <v>381</v>
      </c>
      <c r="C125" s="218">
        <v>18936</v>
      </c>
      <c r="D125" s="218">
        <v>18453</v>
      </c>
      <c r="E125" s="218">
        <v>18207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5.3247782002534851</v>
      </c>
      <c r="D126" s="219">
        <f>IF(D125=0,0,D124/D125)</f>
        <v>5.2804422045195905</v>
      </c>
      <c r="E126" s="219">
        <f>IF(E125=0,0,E124/E125)</f>
        <v>5.5602240896358541</v>
      </c>
    </row>
    <row r="127" spans="1:8" ht="24" customHeight="1" x14ac:dyDescent="0.2">
      <c r="A127" s="85">
        <v>4</v>
      </c>
      <c r="B127" s="75" t="s">
        <v>383</v>
      </c>
      <c r="C127" s="218">
        <v>281</v>
      </c>
      <c r="D127" s="218">
        <v>271</v>
      </c>
      <c r="E127" s="218">
        <v>280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333</v>
      </c>
      <c r="E128" s="218">
        <v>368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371</v>
      </c>
      <c r="D129" s="218">
        <v>383</v>
      </c>
      <c r="E129" s="218">
        <v>383</v>
      </c>
    </row>
    <row r="130" spans="1:7" ht="24" customHeight="1" x14ac:dyDescent="0.2">
      <c r="A130" s="85">
        <v>7</v>
      </c>
      <c r="B130" s="75" t="s">
        <v>386</v>
      </c>
      <c r="C130" s="193">
        <v>0.98299999999999998</v>
      </c>
      <c r="D130" s="193">
        <v>0.98499999999999999</v>
      </c>
      <c r="E130" s="193">
        <v>0.99050000000000005</v>
      </c>
    </row>
    <row r="131" spans="1:7" ht="24" customHeight="1" x14ac:dyDescent="0.2">
      <c r="A131" s="85">
        <v>8</v>
      </c>
      <c r="B131" s="75" t="s">
        <v>387</v>
      </c>
      <c r="C131" s="193">
        <v>0.74450000000000005</v>
      </c>
      <c r="D131" s="193">
        <v>0.80159999999999998</v>
      </c>
      <c r="E131" s="193">
        <v>0.75360000000000005</v>
      </c>
    </row>
    <row r="132" spans="1:7" ht="24" customHeight="1" x14ac:dyDescent="0.2">
      <c r="A132" s="85">
        <v>9</v>
      </c>
      <c r="B132" s="75" t="s">
        <v>388</v>
      </c>
      <c r="C132" s="219">
        <v>2110.6</v>
      </c>
      <c r="D132" s="219">
        <v>2126</v>
      </c>
      <c r="E132" s="219">
        <v>2151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0.30740689094659618</v>
      </c>
      <c r="D135" s="227">
        <f>IF(D149=0,0,D143/D149)</f>
        <v>0.30699627834963406</v>
      </c>
      <c r="E135" s="227">
        <f>IF(E149=0,0,E143/E149)</f>
        <v>0.29466841170989694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0.38680608182671616</v>
      </c>
      <c r="D136" s="227">
        <f>IF(D149=0,0,D144/D149)</f>
        <v>0.37924828578432535</v>
      </c>
      <c r="E136" s="227">
        <f>IF(E149=0,0,E144/E149)</f>
        <v>0.37161215992983088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0.27050820540410908</v>
      </c>
      <c r="D137" s="227">
        <f>IF(D149=0,0,D145/D149)</f>
        <v>0.27807256988695866</v>
      </c>
      <c r="E137" s="227">
        <f>IF(E149=0,0,E145/E149)</f>
        <v>0.30511186845537208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3.4164723188102854E-2</v>
      </c>
      <c r="D139" s="227">
        <f>IF(D149=0,0,D147/D149)</f>
        <v>3.4515100590430906E-2</v>
      </c>
      <c r="E139" s="227">
        <f>IF(E149=0,0,E147/E149)</f>
        <v>2.7143438667236262E-2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1.1140986344756844E-3</v>
      </c>
      <c r="D140" s="227">
        <f>IF(D149=0,0,D148/D149)</f>
        <v>1.1677653886510019E-3</v>
      </c>
      <c r="E140" s="227">
        <f>IF(E149=0,0,E148/E149)</f>
        <v>1.4641212376638349E-3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1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427540847</v>
      </c>
      <c r="D143" s="229">
        <f>+D46-D147</f>
        <v>464337878</v>
      </c>
      <c r="E143" s="229">
        <f>+E46-E147</f>
        <v>498897117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537969072</v>
      </c>
      <c r="D144" s="229">
        <f>+D51</f>
        <v>573620453</v>
      </c>
      <c r="E144" s="229">
        <f>+E51</f>
        <v>629169018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376222234</v>
      </c>
      <c r="D145" s="229">
        <f>+D55</f>
        <v>420590203</v>
      </c>
      <c r="E145" s="229">
        <f>+E55</f>
        <v>516578722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47516224</v>
      </c>
      <c r="D147" s="229">
        <f>+D47</f>
        <v>52204765</v>
      </c>
      <c r="E147" s="229">
        <f>+E47</f>
        <v>45956006</v>
      </c>
    </row>
    <row r="148" spans="1:7" ht="20.100000000000001" customHeight="1" x14ac:dyDescent="0.2">
      <c r="A148" s="226">
        <v>13</v>
      </c>
      <c r="B148" s="224" t="s">
        <v>402</v>
      </c>
      <c r="C148" s="230">
        <v>1549486</v>
      </c>
      <c r="D148" s="229">
        <v>1766268</v>
      </c>
      <c r="E148" s="229">
        <v>2478874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1390797863</v>
      </c>
      <c r="D149" s="229">
        <f>SUM(D143:D148)</f>
        <v>1512519567</v>
      </c>
      <c r="E149" s="229">
        <f>SUM(E143:E148)</f>
        <v>1693079737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0.42397276593771377</v>
      </c>
      <c r="D152" s="227">
        <f>IF(D166=0,0,D160/D166)</f>
        <v>0.43263625016615298</v>
      </c>
      <c r="E152" s="227">
        <f>IF(E166=0,0,E160/E166)</f>
        <v>0.40851885689009032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0.36933492390394856</v>
      </c>
      <c r="D153" s="227">
        <f>IF(D166=0,0,D161/D166)</f>
        <v>0.37235286628436648</v>
      </c>
      <c r="E153" s="227">
        <f>IF(E166=0,0,E161/E166)</f>
        <v>0.35383589731609372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0.19551494264083588</v>
      </c>
      <c r="D154" s="227">
        <f>IF(D166=0,0,D162/D166)</f>
        <v>0.18098938227199415</v>
      </c>
      <c r="E154" s="227">
        <f>IF(E166=0,0,E162/E166)</f>
        <v>0.20525690538967786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1.0590606983001861E-2</v>
      </c>
      <c r="D156" s="227">
        <f>IF(D166=0,0,D164/D166)</f>
        <v>1.3283614079741022E-2</v>
      </c>
      <c r="E156" s="227">
        <f>IF(E166=0,0,E164/E166)</f>
        <v>3.0765694340739346E-2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5.867605344999458E-4</v>
      </c>
      <c r="D157" s="227">
        <f>IF(D166=0,0,D165/D166)</f>
        <v>7.3788719774539287E-4</v>
      </c>
      <c r="E157" s="227">
        <f>IF(E166=0,0,E165/E166)</f>
        <v>1.6226460633987781E-3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174662805</v>
      </c>
      <c r="D160" s="229">
        <f>+D44-D164</f>
        <v>185995773</v>
      </c>
      <c r="E160" s="229">
        <f>+E44-E164</f>
        <v>184134660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152153815</v>
      </c>
      <c r="D161" s="229">
        <f>+D50</f>
        <v>160079187</v>
      </c>
      <c r="E161" s="229">
        <f>+E50</f>
        <v>159487014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80545712</v>
      </c>
      <c r="D162" s="229">
        <f>+D54</f>
        <v>77809615</v>
      </c>
      <c r="E162" s="229">
        <f>+E54</f>
        <v>92516930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4362981</v>
      </c>
      <c r="D164" s="229">
        <f>+D45</f>
        <v>5710793</v>
      </c>
      <c r="E164" s="229">
        <f>+E45</f>
        <v>13867244</v>
      </c>
    </row>
    <row r="165" spans="1:6" ht="20.100000000000001" customHeight="1" x14ac:dyDescent="0.2">
      <c r="A165" s="226">
        <v>13</v>
      </c>
      <c r="B165" s="224" t="s">
        <v>417</v>
      </c>
      <c r="C165" s="230">
        <v>241726</v>
      </c>
      <c r="D165" s="229">
        <v>317227</v>
      </c>
      <c r="E165" s="229">
        <v>731387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411967039</v>
      </c>
      <c r="D166" s="229">
        <f>SUM(D160:D165)</f>
        <v>429912595</v>
      </c>
      <c r="E166" s="229">
        <f>SUM(E160:E165)</f>
        <v>450737235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5672</v>
      </c>
      <c r="D169" s="218">
        <v>5525</v>
      </c>
      <c r="E169" s="218">
        <v>5161</v>
      </c>
    </row>
    <row r="170" spans="1:6" ht="20.100000000000001" customHeight="1" x14ac:dyDescent="0.2">
      <c r="A170" s="226">
        <v>2</v>
      </c>
      <c r="B170" s="224" t="s">
        <v>420</v>
      </c>
      <c r="C170" s="218">
        <v>7260</v>
      </c>
      <c r="D170" s="218">
        <v>7117</v>
      </c>
      <c r="E170" s="218">
        <v>6958</v>
      </c>
    </row>
    <row r="171" spans="1:6" ht="20.100000000000001" customHeight="1" x14ac:dyDescent="0.2">
      <c r="A171" s="226">
        <v>3</v>
      </c>
      <c r="B171" s="224" t="s">
        <v>421</v>
      </c>
      <c r="C171" s="218">
        <v>5984</v>
      </c>
      <c r="D171" s="218">
        <v>5789</v>
      </c>
      <c r="E171" s="218">
        <v>6057</v>
      </c>
    </row>
    <row r="172" spans="1:6" ht="20.100000000000001" customHeight="1" x14ac:dyDescent="0.2">
      <c r="A172" s="226">
        <v>4</v>
      </c>
      <c r="B172" s="224" t="s">
        <v>422</v>
      </c>
      <c r="C172" s="218">
        <v>5984</v>
      </c>
      <c r="D172" s="218">
        <v>5789</v>
      </c>
      <c r="E172" s="218">
        <v>6057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20</v>
      </c>
      <c r="D174" s="218">
        <v>22</v>
      </c>
      <c r="E174" s="218">
        <v>31</v>
      </c>
    </row>
    <row r="175" spans="1:6" ht="20.100000000000001" customHeight="1" x14ac:dyDescent="0.2">
      <c r="A175" s="226">
        <v>7</v>
      </c>
      <c r="B175" s="224" t="s">
        <v>425</v>
      </c>
      <c r="C175" s="218">
        <v>296</v>
      </c>
      <c r="D175" s="218">
        <v>301</v>
      </c>
      <c r="E175" s="218">
        <v>215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18936</v>
      </c>
      <c r="D176" s="218">
        <f>+D169+D170+D171+D174</f>
        <v>18453</v>
      </c>
      <c r="E176" s="218">
        <f>+E169+E170+E171+E174</f>
        <v>18207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1.2174799999999999</v>
      </c>
      <c r="D179" s="231">
        <v>1.2422</v>
      </c>
      <c r="E179" s="231">
        <v>1.2794000000000001</v>
      </c>
    </row>
    <row r="180" spans="1:6" ht="20.100000000000001" customHeight="1" x14ac:dyDescent="0.2">
      <c r="A180" s="226">
        <v>2</v>
      </c>
      <c r="B180" s="224" t="s">
        <v>420</v>
      </c>
      <c r="C180" s="231">
        <v>1.5809899999999999</v>
      </c>
      <c r="D180" s="231">
        <v>1.5920700000000001</v>
      </c>
      <c r="E180" s="231">
        <v>1.59206</v>
      </c>
    </row>
    <row r="181" spans="1:6" ht="20.100000000000001" customHeight="1" x14ac:dyDescent="0.2">
      <c r="A181" s="226">
        <v>3</v>
      </c>
      <c r="B181" s="224" t="s">
        <v>421</v>
      </c>
      <c r="C181" s="231">
        <v>0.97424999999999995</v>
      </c>
      <c r="D181" s="231">
        <v>1.0349299999999999</v>
      </c>
      <c r="E181" s="231">
        <v>1.0716300000000001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0.97424999999999995</v>
      </c>
      <c r="D182" s="231">
        <v>1.0349299999999999</v>
      </c>
      <c r="E182" s="231">
        <v>1.0716300000000001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1.05752</v>
      </c>
      <c r="D184" s="231">
        <v>1.2058500000000001</v>
      </c>
      <c r="E184" s="231">
        <v>1.1305099999999999</v>
      </c>
    </row>
    <row r="185" spans="1:6" ht="20.100000000000001" customHeight="1" x14ac:dyDescent="0.2">
      <c r="A185" s="226">
        <v>7</v>
      </c>
      <c r="B185" s="224" t="s">
        <v>425</v>
      </c>
      <c r="C185" s="231">
        <v>1.0761799999999999</v>
      </c>
      <c r="D185" s="231">
        <v>1.1533199999999999</v>
      </c>
      <c r="E185" s="231">
        <v>1.18129</v>
      </c>
    </row>
    <row r="186" spans="1:6" ht="20.100000000000001" customHeight="1" x14ac:dyDescent="0.2">
      <c r="A186" s="226">
        <v>8</v>
      </c>
      <c r="B186" s="224" t="s">
        <v>429</v>
      </c>
      <c r="C186" s="231">
        <v>1.2798160000000001</v>
      </c>
      <c r="D186" s="231">
        <v>1.312071</v>
      </c>
      <c r="E186" s="231">
        <v>1.3295129999999999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11267</v>
      </c>
      <c r="D189" s="218">
        <v>10835</v>
      </c>
      <c r="E189" s="218">
        <v>13334</v>
      </c>
    </row>
    <row r="190" spans="1:6" ht="20.100000000000001" customHeight="1" x14ac:dyDescent="0.2">
      <c r="A190" s="226">
        <v>2</v>
      </c>
      <c r="B190" s="224" t="s">
        <v>433</v>
      </c>
      <c r="C190" s="218">
        <v>67791</v>
      </c>
      <c r="D190" s="218">
        <v>66060</v>
      </c>
      <c r="E190" s="218">
        <v>73906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79058</v>
      </c>
      <c r="D191" s="218">
        <f>+D190+D189</f>
        <v>76895</v>
      </c>
      <c r="E191" s="218">
        <f>+E190+E189</f>
        <v>87240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FILING&amp;RBRIDGEPORT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3299596</v>
      </c>
      <c r="D14" s="258">
        <v>2804119</v>
      </c>
      <c r="E14" s="258">
        <f t="shared" ref="E14:E24" si="0">D14-C14</f>
        <v>-495477</v>
      </c>
      <c r="F14" s="259">
        <f t="shared" ref="F14:F24" si="1">IF(C14=0,0,E14/C14)</f>
        <v>-0.15016292903737305</v>
      </c>
    </row>
    <row r="15" spans="1:7" ht="20.25" customHeight="1" x14ac:dyDescent="0.3">
      <c r="A15" s="256">
        <v>2</v>
      </c>
      <c r="B15" s="257" t="s">
        <v>442</v>
      </c>
      <c r="C15" s="258">
        <v>950844</v>
      </c>
      <c r="D15" s="258">
        <v>684068</v>
      </c>
      <c r="E15" s="258">
        <f t="shared" si="0"/>
        <v>-266776</v>
      </c>
      <c r="F15" s="259">
        <f t="shared" si="1"/>
        <v>-0.28056757996054033</v>
      </c>
    </row>
    <row r="16" spans="1:7" ht="20.25" customHeight="1" x14ac:dyDescent="0.3">
      <c r="A16" s="256">
        <v>3</v>
      </c>
      <c r="B16" s="257" t="s">
        <v>443</v>
      </c>
      <c r="C16" s="258">
        <v>1709714</v>
      </c>
      <c r="D16" s="258">
        <v>1252399</v>
      </c>
      <c r="E16" s="258">
        <f t="shared" si="0"/>
        <v>-457315</v>
      </c>
      <c r="F16" s="259">
        <f t="shared" si="1"/>
        <v>-0.26748040900407904</v>
      </c>
    </row>
    <row r="17" spans="1:6" ht="20.25" customHeight="1" x14ac:dyDescent="0.3">
      <c r="A17" s="256">
        <v>4</v>
      </c>
      <c r="B17" s="257" t="s">
        <v>444</v>
      </c>
      <c r="C17" s="258">
        <v>323208</v>
      </c>
      <c r="D17" s="258">
        <v>105021</v>
      </c>
      <c r="E17" s="258">
        <f t="shared" si="0"/>
        <v>-218187</v>
      </c>
      <c r="F17" s="259">
        <f t="shared" si="1"/>
        <v>-0.67506683002895973</v>
      </c>
    </row>
    <row r="18" spans="1:6" ht="20.25" customHeight="1" x14ac:dyDescent="0.3">
      <c r="A18" s="256">
        <v>5</v>
      </c>
      <c r="B18" s="257" t="s">
        <v>381</v>
      </c>
      <c r="C18" s="260">
        <v>59</v>
      </c>
      <c r="D18" s="260">
        <v>30</v>
      </c>
      <c r="E18" s="260">
        <f t="shared" si="0"/>
        <v>-29</v>
      </c>
      <c r="F18" s="259">
        <f t="shared" si="1"/>
        <v>-0.49152542372881358</v>
      </c>
    </row>
    <row r="19" spans="1:6" ht="20.25" customHeight="1" x14ac:dyDescent="0.3">
      <c r="A19" s="256">
        <v>6</v>
      </c>
      <c r="B19" s="257" t="s">
        <v>380</v>
      </c>
      <c r="C19" s="260">
        <v>367</v>
      </c>
      <c r="D19" s="260">
        <v>330</v>
      </c>
      <c r="E19" s="260">
        <f t="shared" si="0"/>
        <v>-37</v>
      </c>
      <c r="F19" s="259">
        <f t="shared" si="1"/>
        <v>-0.1008174386920981</v>
      </c>
    </row>
    <row r="20" spans="1:6" ht="20.25" customHeight="1" x14ac:dyDescent="0.3">
      <c r="A20" s="256">
        <v>7</v>
      </c>
      <c r="B20" s="257" t="s">
        <v>445</v>
      </c>
      <c r="C20" s="260">
        <v>453</v>
      </c>
      <c r="D20" s="260">
        <v>236</v>
      </c>
      <c r="E20" s="260">
        <f t="shared" si="0"/>
        <v>-217</v>
      </c>
      <c r="F20" s="259">
        <f t="shared" si="1"/>
        <v>-0.47902869757174393</v>
      </c>
    </row>
    <row r="21" spans="1:6" ht="20.25" customHeight="1" x14ac:dyDescent="0.3">
      <c r="A21" s="256">
        <v>8</v>
      </c>
      <c r="B21" s="257" t="s">
        <v>446</v>
      </c>
      <c r="C21" s="260">
        <v>61</v>
      </c>
      <c r="D21" s="260">
        <v>49</v>
      </c>
      <c r="E21" s="260">
        <f t="shared" si="0"/>
        <v>-12</v>
      </c>
      <c r="F21" s="259">
        <f t="shared" si="1"/>
        <v>-0.19672131147540983</v>
      </c>
    </row>
    <row r="22" spans="1:6" ht="20.25" customHeight="1" x14ac:dyDescent="0.3">
      <c r="A22" s="256">
        <v>9</v>
      </c>
      <c r="B22" s="257" t="s">
        <v>447</v>
      </c>
      <c r="C22" s="260">
        <v>33</v>
      </c>
      <c r="D22" s="260">
        <v>48</v>
      </c>
      <c r="E22" s="260">
        <f t="shared" si="0"/>
        <v>15</v>
      </c>
      <c r="F22" s="259">
        <f t="shared" si="1"/>
        <v>0.45454545454545453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5009310</v>
      </c>
      <c r="D23" s="263">
        <f>+D14+D16</f>
        <v>4056518</v>
      </c>
      <c r="E23" s="263">
        <f t="shared" si="0"/>
        <v>-952792</v>
      </c>
      <c r="F23" s="264">
        <f t="shared" si="1"/>
        <v>-0.19020423970566805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1274052</v>
      </c>
      <c r="D24" s="263">
        <f>+D15+D17</f>
        <v>789089</v>
      </c>
      <c r="E24" s="263">
        <f t="shared" si="0"/>
        <v>-484963</v>
      </c>
      <c r="F24" s="264">
        <f t="shared" si="1"/>
        <v>-0.38064615886949671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20596539</v>
      </c>
      <c r="D40" s="258">
        <v>28648977</v>
      </c>
      <c r="E40" s="258">
        <f t="shared" ref="E40:E50" si="4">D40-C40</f>
        <v>8052438</v>
      </c>
      <c r="F40" s="259">
        <f t="shared" ref="F40:F50" si="5">IF(C40=0,0,E40/C40)</f>
        <v>0.39096073374269336</v>
      </c>
    </row>
    <row r="41" spans="1:6" ht="20.25" customHeight="1" x14ac:dyDescent="0.3">
      <c r="A41" s="256">
        <v>2</v>
      </c>
      <c r="B41" s="257" t="s">
        <v>442</v>
      </c>
      <c r="C41" s="258">
        <v>5910577</v>
      </c>
      <c r="D41" s="258">
        <v>7973341</v>
      </c>
      <c r="E41" s="258">
        <f t="shared" si="4"/>
        <v>2062764</v>
      </c>
      <c r="F41" s="259">
        <f t="shared" si="5"/>
        <v>0.34899536881086229</v>
      </c>
    </row>
    <row r="42" spans="1:6" ht="20.25" customHeight="1" x14ac:dyDescent="0.3">
      <c r="A42" s="256">
        <v>3</v>
      </c>
      <c r="B42" s="257" t="s">
        <v>443</v>
      </c>
      <c r="C42" s="258">
        <v>13648218</v>
      </c>
      <c r="D42" s="258">
        <v>21416204</v>
      </c>
      <c r="E42" s="258">
        <f t="shared" si="4"/>
        <v>7767986</v>
      </c>
      <c r="F42" s="259">
        <f t="shared" si="5"/>
        <v>0.56915752664560315</v>
      </c>
    </row>
    <row r="43" spans="1:6" ht="20.25" customHeight="1" x14ac:dyDescent="0.3">
      <c r="A43" s="256">
        <v>4</v>
      </c>
      <c r="B43" s="257" t="s">
        <v>444</v>
      </c>
      <c r="C43" s="258">
        <v>2580122</v>
      </c>
      <c r="D43" s="258">
        <v>3245595</v>
      </c>
      <c r="E43" s="258">
        <f t="shared" si="4"/>
        <v>665473</v>
      </c>
      <c r="F43" s="259">
        <f t="shared" si="5"/>
        <v>0.25792307495537031</v>
      </c>
    </row>
    <row r="44" spans="1:6" ht="20.25" customHeight="1" x14ac:dyDescent="0.3">
      <c r="A44" s="256">
        <v>5</v>
      </c>
      <c r="B44" s="257" t="s">
        <v>381</v>
      </c>
      <c r="C44" s="260">
        <v>363</v>
      </c>
      <c r="D44" s="260">
        <v>503</v>
      </c>
      <c r="E44" s="260">
        <f t="shared" si="4"/>
        <v>140</v>
      </c>
      <c r="F44" s="259">
        <f t="shared" si="5"/>
        <v>0.38567493112947659</v>
      </c>
    </row>
    <row r="45" spans="1:6" ht="20.25" customHeight="1" x14ac:dyDescent="0.3">
      <c r="A45" s="256">
        <v>6</v>
      </c>
      <c r="B45" s="257" t="s">
        <v>380</v>
      </c>
      <c r="C45" s="260">
        <v>2328</v>
      </c>
      <c r="D45" s="260">
        <v>3283</v>
      </c>
      <c r="E45" s="260">
        <f t="shared" si="4"/>
        <v>955</v>
      </c>
      <c r="F45" s="259">
        <f t="shared" si="5"/>
        <v>0.41022336769759449</v>
      </c>
    </row>
    <row r="46" spans="1:6" ht="20.25" customHeight="1" x14ac:dyDescent="0.3">
      <c r="A46" s="256">
        <v>7</v>
      </c>
      <c r="B46" s="257" t="s">
        <v>445</v>
      </c>
      <c r="C46" s="260">
        <v>2855</v>
      </c>
      <c r="D46" s="260">
        <v>4559</v>
      </c>
      <c r="E46" s="260">
        <f t="shared" si="4"/>
        <v>1704</v>
      </c>
      <c r="F46" s="259">
        <f t="shared" si="5"/>
        <v>0.59684763572679511</v>
      </c>
    </row>
    <row r="47" spans="1:6" ht="20.25" customHeight="1" x14ac:dyDescent="0.3">
      <c r="A47" s="256">
        <v>8</v>
      </c>
      <c r="B47" s="257" t="s">
        <v>446</v>
      </c>
      <c r="C47" s="260">
        <v>360</v>
      </c>
      <c r="D47" s="260">
        <v>452</v>
      </c>
      <c r="E47" s="260">
        <f t="shared" si="4"/>
        <v>92</v>
      </c>
      <c r="F47" s="259">
        <f t="shared" si="5"/>
        <v>0.25555555555555554</v>
      </c>
    </row>
    <row r="48" spans="1:6" ht="20.25" customHeight="1" x14ac:dyDescent="0.3">
      <c r="A48" s="256">
        <v>9</v>
      </c>
      <c r="B48" s="257" t="s">
        <v>447</v>
      </c>
      <c r="C48" s="260">
        <v>260</v>
      </c>
      <c r="D48" s="260">
        <v>468</v>
      </c>
      <c r="E48" s="260">
        <f t="shared" si="4"/>
        <v>208</v>
      </c>
      <c r="F48" s="259">
        <f t="shared" si="5"/>
        <v>0.8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34244757</v>
      </c>
      <c r="D49" s="263">
        <f>+D40+D42</f>
        <v>50065181</v>
      </c>
      <c r="E49" s="263">
        <f t="shared" si="4"/>
        <v>15820424</v>
      </c>
      <c r="F49" s="264">
        <f t="shared" si="5"/>
        <v>0.46198090995360253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8490699</v>
      </c>
      <c r="D50" s="263">
        <f>+D41+D43</f>
        <v>11218936</v>
      </c>
      <c r="E50" s="263">
        <f t="shared" si="4"/>
        <v>2728237</v>
      </c>
      <c r="F50" s="264">
        <f t="shared" si="5"/>
        <v>0.32132065922958758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71934692</v>
      </c>
      <c r="D66" s="258">
        <v>54275620</v>
      </c>
      <c r="E66" s="258">
        <f t="shared" ref="E66:E76" si="8">D66-C66</f>
        <v>-17659072</v>
      </c>
      <c r="F66" s="259">
        <f t="shared" ref="F66:F76" si="9">IF(C66=0,0,E66/C66)</f>
        <v>-0.24548755974377426</v>
      </c>
    </row>
    <row r="67" spans="1:6" ht="20.25" customHeight="1" x14ac:dyDescent="0.3">
      <c r="A67" s="256">
        <v>2</v>
      </c>
      <c r="B67" s="257" t="s">
        <v>442</v>
      </c>
      <c r="C67" s="258">
        <v>20752218</v>
      </c>
      <c r="D67" s="258">
        <v>15829254</v>
      </c>
      <c r="E67" s="258">
        <f t="shared" si="8"/>
        <v>-4922964</v>
      </c>
      <c r="F67" s="259">
        <f t="shared" si="9"/>
        <v>-0.23722591965832279</v>
      </c>
    </row>
    <row r="68" spans="1:6" ht="20.25" customHeight="1" x14ac:dyDescent="0.3">
      <c r="A68" s="256">
        <v>3</v>
      </c>
      <c r="B68" s="257" t="s">
        <v>443</v>
      </c>
      <c r="C68" s="258">
        <v>34506643</v>
      </c>
      <c r="D68" s="258">
        <v>32253209</v>
      </c>
      <c r="E68" s="258">
        <f t="shared" si="8"/>
        <v>-2253434</v>
      </c>
      <c r="F68" s="259">
        <f t="shared" si="9"/>
        <v>-6.5304353135713603E-2</v>
      </c>
    </row>
    <row r="69" spans="1:6" ht="20.25" customHeight="1" x14ac:dyDescent="0.3">
      <c r="A69" s="256">
        <v>4</v>
      </c>
      <c r="B69" s="257" t="s">
        <v>444</v>
      </c>
      <c r="C69" s="258">
        <v>6848569</v>
      </c>
      <c r="D69" s="258">
        <v>4664615</v>
      </c>
      <c r="E69" s="258">
        <f t="shared" si="8"/>
        <v>-2183954</v>
      </c>
      <c r="F69" s="259">
        <f t="shared" si="9"/>
        <v>-0.31889201963213043</v>
      </c>
    </row>
    <row r="70" spans="1:6" ht="20.25" customHeight="1" x14ac:dyDescent="0.3">
      <c r="A70" s="256">
        <v>5</v>
      </c>
      <c r="B70" s="257" t="s">
        <v>381</v>
      </c>
      <c r="C70" s="260">
        <v>1286</v>
      </c>
      <c r="D70" s="260">
        <v>934</v>
      </c>
      <c r="E70" s="260">
        <f t="shared" si="8"/>
        <v>-352</v>
      </c>
      <c r="F70" s="259">
        <f t="shared" si="9"/>
        <v>-0.27371695178849142</v>
      </c>
    </row>
    <row r="71" spans="1:6" ht="20.25" customHeight="1" x14ac:dyDescent="0.3">
      <c r="A71" s="256">
        <v>6</v>
      </c>
      <c r="B71" s="257" t="s">
        <v>380</v>
      </c>
      <c r="C71" s="260">
        <v>8870</v>
      </c>
      <c r="D71" s="260">
        <v>6804</v>
      </c>
      <c r="E71" s="260">
        <f t="shared" si="8"/>
        <v>-2066</v>
      </c>
      <c r="F71" s="259">
        <f t="shared" si="9"/>
        <v>-0.23291995490417136</v>
      </c>
    </row>
    <row r="72" spans="1:6" ht="20.25" customHeight="1" x14ac:dyDescent="0.3">
      <c r="A72" s="256">
        <v>7</v>
      </c>
      <c r="B72" s="257" t="s">
        <v>445</v>
      </c>
      <c r="C72" s="260">
        <v>6584</v>
      </c>
      <c r="D72" s="260">
        <v>6866</v>
      </c>
      <c r="E72" s="260">
        <f t="shared" si="8"/>
        <v>282</v>
      </c>
      <c r="F72" s="259">
        <f t="shared" si="9"/>
        <v>4.2831105710814096E-2</v>
      </c>
    </row>
    <row r="73" spans="1:6" ht="20.25" customHeight="1" x14ac:dyDescent="0.3">
      <c r="A73" s="256">
        <v>8</v>
      </c>
      <c r="B73" s="257" t="s">
        <v>446</v>
      </c>
      <c r="C73" s="260">
        <v>1335</v>
      </c>
      <c r="D73" s="260">
        <v>1027</v>
      </c>
      <c r="E73" s="260">
        <f t="shared" si="8"/>
        <v>-308</v>
      </c>
      <c r="F73" s="259">
        <f t="shared" si="9"/>
        <v>-0.23071161048689137</v>
      </c>
    </row>
    <row r="74" spans="1:6" ht="20.25" customHeight="1" x14ac:dyDescent="0.3">
      <c r="A74" s="256">
        <v>9</v>
      </c>
      <c r="B74" s="257" t="s">
        <v>447</v>
      </c>
      <c r="C74" s="260">
        <v>1041</v>
      </c>
      <c r="D74" s="260">
        <v>1056</v>
      </c>
      <c r="E74" s="260">
        <f t="shared" si="8"/>
        <v>15</v>
      </c>
      <c r="F74" s="259">
        <f t="shared" si="9"/>
        <v>1.4409221902017291E-2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106441335</v>
      </c>
      <c r="D75" s="263">
        <f>+D66+D68</f>
        <v>86528829</v>
      </c>
      <c r="E75" s="263">
        <f t="shared" si="8"/>
        <v>-19912506</v>
      </c>
      <c r="F75" s="264">
        <f t="shared" si="9"/>
        <v>-0.18707493663058622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27600787</v>
      </c>
      <c r="D76" s="263">
        <f>+D67+D69</f>
        <v>20493869</v>
      </c>
      <c r="E76" s="263">
        <f t="shared" si="8"/>
        <v>-7106918</v>
      </c>
      <c r="F76" s="264">
        <f t="shared" si="9"/>
        <v>-0.2574896867976989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11804246</v>
      </c>
      <c r="D105" s="258">
        <v>13522667</v>
      </c>
      <c r="E105" s="258">
        <f t="shared" ref="E105:E115" si="14">D105-C105</f>
        <v>1718421</v>
      </c>
      <c r="F105" s="259">
        <f t="shared" ref="F105:F115" si="15">IF(C105=0,0,E105/C105)</f>
        <v>0.14557651543351435</v>
      </c>
    </row>
    <row r="106" spans="1:6" ht="20.25" customHeight="1" x14ac:dyDescent="0.3">
      <c r="A106" s="256">
        <v>2</v>
      </c>
      <c r="B106" s="257" t="s">
        <v>442</v>
      </c>
      <c r="C106" s="258">
        <v>3238225</v>
      </c>
      <c r="D106" s="258">
        <v>3719123</v>
      </c>
      <c r="E106" s="258">
        <f t="shared" si="14"/>
        <v>480898</v>
      </c>
      <c r="F106" s="259">
        <f t="shared" si="15"/>
        <v>0.14850666646079255</v>
      </c>
    </row>
    <row r="107" spans="1:6" ht="20.25" customHeight="1" x14ac:dyDescent="0.3">
      <c r="A107" s="256">
        <v>3</v>
      </c>
      <c r="B107" s="257" t="s">
        <v>443</v>
      </c>
      <c r="C107" s="258">
        <v>7413697</v>
      </c>
      <c r="D107" s="258">
        <v>13271572</v>
      </c>
      <c r="E107" s="258">
        <f t="shared" si="14"/>
        <v>5857875</v>
      </c>
      <c r="F107" s="259">
        <f t="shared" si="15"/>
        <v>0.7901422191923948</v>
      </c>
    </row>
    <row r="108" spans="1:6" ht="20.25" customHeight="1" x14ac:dyDescent="0.3">
      <c r="A108" s="256">
        <v>4</v>
      </c>
      <c r="B108" s="257" t="s">
        <v>444</v>
      </c>
      <c r="C108" s="258">
        <v>1401387</v>
      </c>
      <c r="D108" s="258">
        <v>1954430</v>
      </c>
      <c r="E108" s="258">
        <f t="shared" si="14"/>
        <v>553043</v>
      </c>
      <c r="F108" s="259">
        <f t="shared" si="15"/>
        <v>0.39463973905851846</v>
      </c>
    </row>
    <row r="109" spans="1:6" ht="20.25" customHeight="1" x14ac:dyDescent="0.3">
      <c r="A109" s="256">
        <v>5</v>
      </c>
      <c r="B109" s="257" t="s">
        <v>381</v>
      </c>
      <c r="C109" s="260">
        <v>194</v>
      </c>
      <c r="D109" s="260">
        <v>281</v>
      </c>
      <c r="E109" s="260">
        <f t="shared" si="14"/>
        <v>87</v>
      </c>
      <c r="F109" s="259">
        <f t="shared" si="15"/>
        <v>0.4484536082474227</v>
      </c>
    </row>
    <row r="110" spans="1:6" ht="20.25" customHeight="1" x14ac:dyDescent="0.3">
      <c r="A110" s="256">
        <v>6</v>
      </c>
      <c r="B110" s="257" t="s">
        <v>380</v>
      </c>
      <c r="C110" s="260">
        <v>1500</v>
      </c>
      <c r="D110" s="260">
        <v>1765</v>
      </c>
      <c r="E110" s="260">
        <f t="shared" si="14"/>
        <v>265</v>
      </c>
      <c r="F110" s="259">
        <f t="shared" si="15"/>
        <v>0.17666666666666667</v>
      </c>
    </row>
    <row r="111" spans="1:6" ht="20.25" customHeight="1" x14ac:dyDescent="0.3">
      <c r="A111" s="256">
        <v>7</v>
      </c>
      <c r="B111" s="257" t="s">
        <v>445</v>
      </c>
      <c r="C111" s="260">
        <v>1386</v>
      </c>
      <c r="D111" s="260">
        <v>3049</v>
      </c>
      <c r="E111" s="260">
        <f t="shared" si="14"/>
        <v>1663</v>
      </c>
      <c r="F111" s="259">
        <f t="shared" si="15"/>
        <v>1.1998556998557</v>
      </c>
    </row>
    <row r="112" spans="1:6" ht="20.25" customHeight="1" x14ac:dyDescent="0.3">
      <c r="A112" s="256">
        <v>8</v>
      </c>
      <c r="B112" s="257" t="s">
        <v>446</v>
      </c>
      <c r="C112" s="260">
        <v>510</v>
      </c>
      <c r="D112" s="260">
        <v>825</v>
      </c>
      <c r="E112" s="260">
        <f t="shared" si="14"/>
        <v>315</v>
      </c>
      <c r="F112" s="259">
        <f t="shared" si="15"/>
        <v>0.61764705882352944</v>
      </c>
    </row>
    <row r="113" spans="1:6" ht="20.25" customHeight="1" x14ac:dyDescent="0.3">
      <c r="A113" s="256">
        <v>9</v>
      </c>
      <c r="B113" s="257" t="s">
        <v>447</v>
      </c>
      <c r="C113" s="260">
        <v>165</v>
      </c>
      <c r="D113" s="260">
        <v>901</v>
      </c>
      <c r="E113" s="260">
        <f t="shared" si="14"/>
        <v>736</v>
      </c>
      <c r="F113" s="259">
        <f t="shared" si="15"/>
        <v>4.4606060606060609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19217943</v>
      </c>
      <c r="D114" s="263">
        <f>+D105+D107</f>
        <v>26794239</v>
      </c>
      <c r="E114" s="263">
        <f t="shared" si="14"/>
        <v>7576296</v>
      </c>
      <c r="F114" s="264">
        <f t="shared" si="15"/>
        <v>0.39423032943744291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4639612</v>
      </c>
      <c r="D115" s="263">
        <f>+D106+D108</f>
        <v>5673553</v>
      </c>
      <c r="E115" s="263">
        <f t="shared" si="14"/>
        <v>1033941</v>
      </c>
      <c r="F115" s="264">
        <f t="shared" si="15"/>
        <v>0.22285074700212001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19331880</v>
      </c>
      <c r="D118" s="258">
        <v>25770204</v>
      </c>
      <c r="E118" s="258">
        <f t="shared" ref="E118:E128" si="16">D118-C118</f>
        <v>6438324</v>
      </c>
      <c r="F118" s="259">
        <f t="shared" ref="F118:F128" si="17">IF(C118=0,0,E118/C118)</f>
        <v>0.33304179417625185</v>
      </c>
    </row>
    <row r="119" spans="1:6" ht="20.25" customHeight="1" x14ac:dyDescent="0.3">
      <c r="A119" s="256">
        <v>2</v>
      </c>
      <c r="B119" s="257" t="s">
        <v>442</v>
      </c>
      <c r="C119" s="258">
        <v>5407202</v>
      </c>
      <c r="D119" s="258">
        <v>6814098</v>
      </c>
      <c r="E119" s="258">
        <f t="shared" si="16"/>
        <v>1406896</v>
      </c>
      <c r="F119" s="259">
        <f t="shared" si="17"/>
        <v>0.26018928088871102</v>
      </c>
    </row>
    <row r="120" spans="1:6" ht="20.25" customHeight="1" x14ac:dyDescent="0.3">
      <c r="A120" s="256">
        <v>3</v>
      </c>
      <c r="B120" s="257" t="s">
        <v>443</v>
      </c>
      <c r="C120" s="258">
        <v>11210733</v>
      </c>
      <c r="D120" s="258">
        <v>13901765</v>
      </c>
      <c r="E120" s="258">
        <f t="shared" si="16"/>
        <v>2691032</v>
      </c>
      <c r="F120" s="259">
        <f t="shared" si="17"/>
        <v>0.24004068244244153</v>
      </c>
    </row>
    <row r="121" spans="1:6" ht="20.25" customHeight="1" x14ac:dyDescent="0.3">
      <c r="A121" s="256">
        <v>4</v>
      </c>
      <c r="B121" s="257" t="s">
        <v>444</v>
      </c>
      <c r="C121" s="258">
        <v>2308409</v>
      </c>
      <c r="D121" s="258">
        <v>2877626</v>
      </c>
      <c r="E121" s="258">
        <f t="shared" si="16"/>
        <v>569217</v>
      </c>
      <c r="F121" s="259">
        <f t="shared" si="17"/>
        <v>0.24658411919204959</v>
      </c>
    </row>
    <row r="122" spans="1:6" ht="20.25" customHeight="1" x14ac:dyDescent="0.3">
      <c r="A122" s="256">
        <v>5</v>
      </c>
      <c r="B122" s="257" t="s">
        <v>381</v>
      </c>
      <c r="C122" s="260">
        <v>348</v>
      </c>
      <c r="D122" s="260">
        <v>317</v>
      </c>
      <c r="E122" s="260">
        <f t="shared" si="16"/>
        <v>-31</v>
      </c>
      <c r="F122" s="259">
        <f t="shared" si="17"/>
        <v>-8.9080459770114945E-2</v>
      </c>
    </row>
    <row r="123" spans="1:6" ht="20.25" customHeight="1" x14ac:dyDescent="0.3">
      <c r="A123" s="256">
        <v>6</v>
      </c>
      <c r="B123" s="257" t="s">
        <v>380</v>
      </c>
      <c r="C123" s="260">
        <v>2410</v>
      </c>
      <c r="D123" s="260">
        <v>2067</v>
      </c>
      <c r="E123" s="260">
        <f t="shared" si="16"/>
        <v>-343</v>
      </c>
      <c r="F123" s="259">
        <f t="shared" si="17"/>
        <v>-0.14232365145228215</v>
      </c>
    </row>
    <row r="124" spans="1:6" ht="20.25" customHeight="1" x14ac:dyDescent="0.3">
      <c r="A124" s="256">
        <v>7</v>
      </c>
      <c r="B124" s="257" t="s">
        <v>445</v>
      </c>
      <c r="C124" s="260">
        <v>2149</v>
      </c>
      <c r="D124" s="260">
        <v>3182</v>
      </c>
      <c r="E124" s="260">
        <f t="shared" si="16"/>
        <v>1033</v>
      </c>
      <c r="F124" s="259">
        <f t="shared" si="17"/>
        <v>0.48068869241507678</v>
      </c>
    </row>
    <row r="125" spans="1:6" ht="20.25" customHeight="1" x14ac:dyDescent="0.3">
      <c r="A125" s="256">
        <v>8</v>
      </c>
      <c r="B125" s="257" t="s">
        <v>446</v>
      </c>
      <c r="C125" s="260">
        <v>344</v>
      </c>
      <c r="D125" s="260">
        <v>362</v>
      </c>
      <c r="E125" s="260">
        <f t="shared" si="16"/>
        <v>18</v>
      </c>
      <c r="F125" s="259">
        <f t="shared" si="17"/>
        <v>5.232558139534884E-2</v>
      </c>
    </row>
    <row r="126" spans="1:6" ht="20.25" customHeight="1" x14ac:dyDescent="0.3">
      <c r="A126" s="256">
        <v>9</v>
      </c>
      <c r="B126" s="257" t="s">
        <v>447</v>
      </c>
      <c r="C126" s="260">
        <v>256</v>
      </c>
      <c r="D126" s="260">
        <v>372</v>
      </c>
      <c r="E126" s="260">
        <f t="shared" si="16"/>
        <v>116</v>
      </c>
      <c r="F126" s="259">
        <f t="shared" si="17"/>
        <v>0.453125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30542613</v>
      </c>
      <c r="D127" s="263">
        <f>+D118+D120</f>
        <v>39671969</v>
      </c>
      <c r="E127" s="263">
        <f t="shared" si="16"/>
        <v>9129356</v>
      </c>
      <c r="F127" s="264">
        <f t="shared" si="17"/>
        <v>0.29890553241138862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7715611</v>
      </c>
      <c r="D128" s="263">
        <f>+D119+D121</f>
        <v>9691724</v>
      </c>
      <c r="E128" s="263">
        <f t="shared" si="16"/>
        <v>1976113</v>
      </c>
      <c r="F128" s="264">
        <f t="shared" si="17"/>
        <v>0.25611879603572552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126966953</v>
      </c>
      <c r="D198" s="263">
        <f t="shared" si="28"/>
        <v>125021587</v>
      </c>
      <c r="E198" s="263">
        <f t="shared" ref="E198:E208" si="29">D198-C198</f>
        <v>-1945366</v>
      </c>
      <c r="F198" s="273">
        <f t="shared" ref="F198:F208" si="30">IF(C198=0,0,E198/C198)</f>
        <v>-1.5321829452739565E-2</v>
      </c>
    </row>
    <row r="199" spans="1:9" ht="20.25" customHeight="1" x14ac:dyDescent="0.3">
      <c r="A199" s="271"/>
      <c r="B199" s="272" t="s">
        <v>466</v>
      </c>
      <c r="C199" s="263">
        <f t="shared" si="28"/>
        <v>36259066</v>
      </c>
      <c r="D199" s="263">
        <f t="shared" si="28"/>
        <v>35019884</v>
      </c>
      <c r="E199" s="263">
        <f t="shared" si="29"/>
        <v>-1239182</v>
      </c>
      <c r="F199" s="273">
        <f t="shared" si="30"/>
        <v>-3.417578378880471E-2</v>
      </c>
    </row>
    <row r="200" spans="1:9" ht="20.25" customHeight="1" x14ac:dyDescent="0.3">
      <c r="A200" s="271"/>
      <c r="B200" s="272" t="s">
        <v>467</v>
      </c>
      <c r="C200" s="263">
        <f t="shared" si="28"/>
        <v>68489005</v>
      </c>
      <c r="D200" s="263">
        <f t="shared" si="28"/>
        <v>82095149</v>
      </c>
      <c r="E200" s="263">
        <f t="shared" si="29"/>
        <v>13606144</v>
      </c>
      <c r="F200" s="273">
        <f t="shared" si="30"/>
        <v>0.19866172679833793</v>
      </c>
    </row>
    <row r="201" spans="1:9" ht="20.25" customHeight="1" x14ac:dyDescent="0.3">
      <c r="A201" s="271"/>
      <c r="B201" s="272" t="s">
        <v>468</v>
      </c>
      <c r="C201" s="263">
        <f t="shared" si="28"/>
        <v>13461695</v>
      </c>
      <c r="D201" s="263">
        <f t="shared" si="28"/>
        <v>12847287</v>
      </c>
      <c r="E201" s="263">
        <f t="shared" si="29"/>
        <v>-614408</v>
      </c>
      <c r="F201" s="273">
        <f t="shared" si="30"/>
        <v>-4.5641206400828423E-2</v>
      </c>
    </row>
    <row r="202" spans="1:9" ht="20.25" customHeight="1" x14ac:dyDescent="0.3">
      <c r="A202" s="271"/>
      <c r="B202" s="272" t="s">
        <v>138</v>
      </c>
      <c r="C202" s="274">
        <f t="shared" si="28"/>
        <v>2250</v>
      </c>
      <c r="D202" s="274">
        <f t="shared" si="28"/>
        <v>2065</v>
      </c>
      <c r="E202" s="274">
        <f t="shared" si="29"/>
        <v>-185</v>
      </c>
      <c r="F202" s="273">
        <f t="shared" si="30"/>
        <v>-8.2222222222222224E-2</v>
      </c>
    </row>
    <row r="203" spans="1:9" ht="20.25" customHeight="1" x14ac:dyDescent="0.3">
      <c r="A203" s="271"/>
      <c r="B203" s="272" t="s">
        <v>140</v>
      </c>
      <c r="C203" s="274">
        <f t="shared" si="28"/>
        <v>15475</v>
      </c>
      <c r="D203" s="274">
        <f t="shared" si="28"/>
        <v>14249</v>
      </c>
      <c r="E203" s="274">
        <f t="shared" si="29"/>
        <v>-1226</v>
      </c>
      <c r="F203" s="273">
        <f t="shared" si="30"/>
        <v>-7.9224555735056545E-2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13427</v>
      </c>
      <c r="D204" s="274">
        <f t="shared" si="28"/>
        <v>17892</v>
      </c>
      <c r="E204" s="274">
        <f t="shared" si="29"/>
        <v>4465</v>
      </c>
      <c r="F204" s="273">
        <f t="shared" si="30"/>
        <v>0.33253891412824904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2610</v>
      </c>
      <c r="D205" s="274">
        <f t="shared" si="28"/>
        <v>2715</v>
      </c>
      <c r="E205" s="274">
        <f t="shared" si="29"/>
        <v>105</v>
      </c>
      <c r="F205" s="273">
        <f t="shared" si="30"/>
        <v>4.0229885057471264E-2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1755</v>
      </c>
      <c r="D206" s="274">
        <f t="shared" si="28"/>
        <v>2845</v>
      </c>
      <c r="E206" s="274">
        <f t="shared" si="29"/>
        <v>1090</v>
      </c>
      <c r="F206" s="273">
        <f t="shared" si="30"/>
        <v>0.62108262108262113</v>
      </c>
    </row>
    <row r="207" spans="1:9" ht="20.25" customHeight="1" x14ac:dyDescent="0.3">
      <c r="A207" s="271"/>
      <c r="B207" s="262" t="s">
        <v>471</v>
      </c>
      <c r="C207" s="263">
        <f>+C198+C200</f>
        <v>195455958</v>
      </c>
      <c r="D207" s="263">
        <f>+D198+D200</f>
        <v>207116736</v>
      </c>
      <c r="E207" s="263">
        <f t="shared" si="29"/>
        <v>11660778</v>
      </c>
      <c r="F207" s="273">
        <f t="shared" si="30"/>
        <v>5.9659363261773783E-2</v>
      </c>
    </row>
    <row r="208" spans="1:9" ht="20.25" customHeight="1" x14ac:dyDescent="0.3">
      <c r="A208" s="271"/>
      <c r="B208" s="262" t="s">
        <v>472</v>
      </c>
      <c r="C208" s="263">
        <f>+C199+C201</f>
        <v>49720761</v>
      </c>
      <c r="D208" s="263">
        <f>+D199+D201</f>
        <v>47867171</v>
      </c>
      <c r="E208" s="263">
        <f t="shared" si="29"/>
        <v>-1853590</v>
      </c>
      <c r="F208" s="273">
        <f t="shared" si="30"/>
        <v>-3.7280000601760704E-2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FILING&amp;RBRIDGEPORT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FILING&amp;RBRIDGEPORT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30636000</v>
      </c>
      <c r="D13" s="22">
        <v>161059000</v>
      </c>
      <c r="E13" s="22">
        <f t="shared" ref="E13:E22" si="0">D13-C13</f>
        <v>130423000</v>
      </c>
      <c r="F13" s="306">
        <f t="shared" ref="F13:F22" si="1">IF(C13=0,0,E13/C13)</f>
        <v>4.257181094137616</v>
      </c>
    </row>
    <row r="14" spans="1:8" ht="24" customHeight="1" x14ac:dyDescent="0.2">
      <c r="A14" s="304">
        <v>2</v>
      </c>
      <c r="B14" s="305" t="s">
        <v>17</v>
      </c>
      <c r="C14" s="22">
        <v>64307000</v>
      </c>
      <c r="D14" s="22">
        <v>1040882000</v>
      </c>
      <c r="E14" s="22">
        <f t="shared" si="0"/>
        <v>976575000</v>
      </c>
      <c r="F14" s="306">
        <f t="shared" si="1"/>
        <v>15.186138367518311</v>
      </c>
    </row>
    <row r="15" spans="1:8" ht="35.1" customHeight="1" x14ac:dyDescent="0.2">
      <c r="A15" s="304">
        <v>3</v>
      </c>
      <c r="B15" s="305" t="s">
        <v>18</v>
      </c>
      <c r="C15" s="22">
        <v>51432000</v>
      </c>
      <c r="D15" s="22">
        <v>368342000</v>
      </c>
      <c r="E15" s="22">
        <f t="shared" si="0"/>
        <v>316910000</v>
      </c>
      <c r="F15" s="306">
        <f t="shared" si="1"/>
        <v>6.1617281070150876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4641000</v>
      </c>
      <c r="E16" s="22">
        <f t="shared" si="0"/>
        <v>4641000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10552000</v>
      </c>
      <c r="D18" s="22">
        <v>35271000</v>
      </c>
      <c r="E18" s="22">
        <f t="shared" si="0"/>
        <v>24719000</v>
      </c>
      <c r="F18" s="306">
        <f t="shared" si="1"/>
        <v>2.3425890826383622</v>
      </c>
    </row>
    <row r="19" spans="1:11" ht="24" customHeight="1" x14ac:dyDescent="0.2">
      <c r="A19" s="304">
        <v>7</v>
      </c>
      <c r="B19" s="305" t="s">
        <v>22</v>
      </c>
      <c r="C19" s="22">
        <v>4271000</v>
      </c>
      <c r="D19" s="22">
        <v>40473000</v>
      </c>
      <c r="E19" s="22">
        <f t="shared" si="0"/>
        <v>36202000</v>
      </c>
      <c r="F19" s="306">
        <f t="shared" si="1"/>
        <v>8.4762350737532195</v>
      </c>
    </row>
    <row r="20" spans="1:11" ht="24" customHeight="1" x14ac:dyDescent="0.2">
      <c r="A20" s="304">
        <v>8</v>
      </c>
      <c r="B20" s="305" t="s">
        <v>23</v>
      </c>
      <c r="C20" s="22">
        <v>8554000</v>
      </c>
      <c r="D20" s="22">
        <v>13846000</v>
      </c>
      <c r="E20" s="22">
        <f t="shared" si="0"/>
        <v>5292000</v>
      </c>
      <c r="F20" s="306">
        <f t="shared" si="1"/>
        <v>0.61865793780687395</v>
      </c>
    </row>
    <row r="21" spans="1:11" ht="24" customHeight="1" x14ac:dyDescent="0.2">
      <c r="A21" s="304">
        <v>9</v>
      </c>
      <c r="B21" s="305" t="s">
        <v>24</v>
      </c>
      <c r="C21" s="22">
        <v>4930000</v>
      </c>
      <c r="D21" s="22">
        <v>18493000</v>
      </c>
      <c r="E21" s="22">
        <f t="shared" si="0"/>
        <v>13563000</v>
      </c>
      <c r="F21" s="306">
        <f t="shared" si="1"/>
        <v>2.7511156186612578</v>
      </c>
    </row>
    <row r="22" spans="1:11" ht="24" customHeight="1" x14ac:dyDescent="0.25">
      <c r="A22" s="307"/>
      <c r="B22" s="308" t="s">
        <v>25</v>
      </c>
      <c r="C22" s="309">
        <f>SUM(C13:C21)</f>
        <v>174682000</v>
      </c>
      <c r="D22" s="309">
        <f>SUM(D13:D21)</f>
        <v>1683007000</v>
      </c>
      <c r="E22" s="309">
        <f t="shared" si="0"/>
        <v>1508325000</v>
      </c>
      <c r="F22" s="310">
        <f t="shared" si="1"/>
        <v>8.6346904661041215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0</v>
      </c>
      <c r="D25" s="22">
        <v>0</v>
      </c>
      <c r="E25" s="22">
        <f>D25-C25</f>
        <v>0</v>
      </c>
      <c r="F25" s="306">
        <f>IF(C25=0,0,E25/C25)</f>
        <v>0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0</v>
      </c>
      <c r="D28" s="22">
        <v>233550000</v>
      </c>
      <c r="E28" s="22">
        <f>D28-C28</f>
        <v>233550000</v>
      </c>
      <c r="F28" s="306">
        <f>IF(C28=0,0,E28/C28)</f>
        <v>0</v>
      </c>
    </row>
    <row r="29" spans="1:11" ht="35.1" customHeight="1" x14ac:dyDescent="0.25">
      <c r="A29" s="307"/>
      <c r="B29" s="308" t="s">
        <v>32</v>
      </c>
      <c r="C29" s="309">
        <f>SUM(C25:C28)</f>
        <v>0</v>
      </c>
      <c r="D29" s="309">
        <f>SUM(D25:D28)</f>
        <v>233550000</v>
      </c>
      <c r="E29" s="309">
        <f>D29-C29</f>
        <v>233550000</v>
      </c>
      <c r="F29" s="310">
        <f>IF(C29=0,0,E29/C29)</f>
        <v>0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53099000</v>
      </c>
      <c r="D32" s="22">
        <v>394904000</v>
      </c>
      <c r="E32" s="22">
        <f>D32-C32</f>
        <v>341805000</v>
      </c>
      <c r="F32" s="306">
        <f>IF(C32=0,0,E32/C32)</f>
        <v>6.4371268762123579</v>
      </c>
    </row>
    <row r="33" spans="1:8" ht="24" customHeight="1" x14ac:dyDescent="0.2">
      <c r="A33" s="304">
        <v>7</v>
      </c>
      <c r="B33" s="305" t="s">
        <v>35</v>
      </c>
      <c r="C33" s="22">
        <v>71269000</v>
      </c>
      <c r="D33" s="22">
        <v>400099000</v>
      </c>
      <c r="E33" s="22">
        <f>D33-C33</f>
        <v>328830000</v>
      </c>
      <c r="F33" s="306">
        <f>IF(C33=0,0,E33/C33)</f>
        <v>4.6139275140664244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410120000</v>
      </c>
      <c r="D36" s="22">
        <v>2900150000</v>
      </c>
      <c r="E36" s="22">
        <f>D36-C36</f>
        <v>2490030000</v>
      </c>
      <c r="F36" s="306">
        <f>IF(C36=0,0,E36/C36)</f>
        <v>6.0714668877401738</v>
      </c>
    </row>
    <row r="37" spans="1:8" ht="24" customHeight="1" x14ac:dyDescent="0.2">
      <c r="A37" s="304">
        <v>2</v>
      </c>
      <c r="B37" s="305" t="s">
        <v>39</v>
      </c>
      <c r="C37" s="22">
        <v>285773000</v>
      </c>
      <c r="D37" s="22">
        <v>1444576000</v>
      </c>
      <c r="E37" s="22">
        <f>D37-C37</f>
        <v>1158803000</v>
      </c>
      <c r="F37" s="22">
        <f>IF(C37=0,0,E37/C37)</f>
        <v>4.0549772021849506</v>
      </c>
    </row>
    <row r="38" spans="1:8" ht="24" customHeight="1" x14ac:dyDescent="0.25">
      <c r="A38" s="307"/>
      <c r="B38" s="308" t="s">
        <v>40</v>
      </c>
      <c r="C38" s="309">
        <f>C36-C37</f>
        <v>124347000</v>
      </c>
      <c r="D38" s="309">
        <f>D36-D37</f>
        <v>1455574000</v>
      </c>
      <c r="E38" s="309">
        <f>D38-C38</f>
        <v>1331227000</v>
      </c>
      <c r="F38" s="310">
        <f>IF(C38=0,0,E38/C38)</f>
        <v>10.705742800389233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19477000</v>
      </c>
      <c r="D40" s="22">
        <v>66043000</v>
      </c>
      <c r="E40" s="22">
        <f>D40-C40</f>
        <v>46566000</v>
      </c>
      <c r="F40" s="306">
        <f>IF(C40=0,0,E40/C40)</f>
        <v>2.3908199414694256</v>
      </c>
    </row>
    <row r="41" spans="1:8" ht="24" customHeight="1" x14ac:dyDescent="0.25">
      <c r="A41" s="307"/>
      <c r="B41" s="308" t="s">
        <v>42</v>
      </c>
      <c r="C41" s="309">
        <f>+C38+C40</f>
        <v>143824000</v>
      </c>
      <c r="D41" s="309">
        <f>+D38+D40</f>
        <v>1521617000</v>
      </c>
      <c r="E41" s="309">
        <f>D41-C41</f>
        <v>1377793000</v>
      </c>
      <c r="F41" s="310">
        <f>IF(C41=0,0,E41/C41)</f>
        <v>9.5797154855935034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442874000</v>
      </c>
      <c r="D43" s="309">
        <f>D22+D29+D31+D32+D33+D41</f>
        <v>4233177000</v>
      </c>
      <c r="E43" s="309">
        <f>D43-C43</f>
        <v>3790303000</v>
      </c>
      <c r="F43" s="310">
        <f>IF(C43=0,0,E43/C43)</f>
        <v>8.5584229374494782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16363000</v>
      </c>
      <c r="D49" s="22">
        <v>354226000</v>
      </c>
      <c r="E49" s="22">
        <f t="shared" ref="E49:E56" si="2">D49-C49</f>
        <v>337863000</v>
      </c>
      <c r="F49" s="306">
        <f t="shared" ref="F49:F56" si="3">IF(C49=0,0,E49/C49)</f>
        <v>20.647986310578744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47877000</v>
      </c>
      <c r="D50" s="22">
        <v>115172000</v>
      </c>
      <c r="E50" s="22">
        <f t="shared" si="2"/>
        <v>67295000</v>
      </c>
      <c r="F50" s="306">
        <f t="shared" si="3"/>
        <v>1.4055809678969025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10552000</v>
      </c>
      <c r="D51" s="22">
        <v>35271000</v>
      </c>
      <c r="E51" s="22">
        <f t="shared" si="2"/>
        <v>24719000</v>
      </c>
      <c r="F51" s="306">
        <f t="shared" si="3"/>
        <v>2.3425890826383622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32205000</v>
      </c>
      <c r="D53" s="22">
        <v>22456000</v>
      </c>
      <c r="E53" s="22">
        <f t="shared" si="2"/>
        <v>-9749000</v>
      </c>
      <c r="F53" s="306">
        <f t="shared" si="3"/>
        <v>-0.30271696941468718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5306000</v>
      </c>
      <c r="D55" s="22">
        <v>40432000</v>
      </c>
      <c r="E55" s="22">
        <f t="shared" si="2"/>
        <v>35126000</v>
      </c>
      <c r="F55" s="306">
        <f t="shared" si="3"/>
        <v>6.6200527704485488</v>
      </c>
    </row>
    <row r="56" spans="1:6" ht="24" customHeight="1" x14ac:dyDescent="0.25">
      <c r="A56" s="307"/>
      <c r="B56" s="308" t="s">
        <v>54</v>
      </c>
      <c r="C56" s="309">
        <f>SUM(C49:C55)</f>
        <v>112303000</v>
      </c>
      <c r="D56" s="309">
        <f>SUM(D49:D55)</f>
        <v>567557000</v>
      </c>
      <c r="E56" s="309">
        <f t="shared" si="2"/>
        <v>455254000</v>
      </c>
      <c r="F56" s="310">
        <f t="shared" si="3"/>
        <v>4.0538008779818879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49202000</v>
      </c>
      <c r="D59" s="22">
        <v>902400000</v>
      </c>
      <c r="E59" s="22">
        <f>D59-C59</f>
        <v>853198000</v>
      </c>
      <c r="F59" s="306">
        <f>IF(C59=0,0,E59/C59)</f>
        <v>17.340717856997681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85709000</v>
      </c>
      <c r="E60" s="22">
        <f>D60-C60</f>
        <v>85709000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49202000</v>
      </c>
      <c r="D61" s="309">
        <f>SUM(D59:D60)</f>
        <v>988109000</v>
      </c>
      <c r="E61" s="309">
        <f>D61-C61</f>
        <v>938907000</v>
      </c>
      <c r="F61" s="310">
        <f>IF(C61=0,0,E61/C61)</f>
        <v>19.082699890248364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42945000</v>
      </c>
      <c r="D63" s="22">
        <v>321442000</v>
      </c>
      <c r="E63" s="22">
        <f>D63-C63</f>
        <v>278497000</v>
      </c>
      <c r="F63" s="306">
        <f>IF(C63=0,0,E63/C63)</f>
        <v>6.4849691465828387</v>
      </c>
    </row>
    <row r="64" spans="1:6" ht="24" customHeight="1" x14ac:dyDescent="0.2">
      <c r="A64" s="304">
        <v>4</v>
      </c>
      <c r="B64" s="305" t="s">
        <v>60</v>
      </c>
      <c r="C64" s="22">
        <v>65313000</v>
      </c>
      <c r="D64" s="22">
        <v>489445000</v>
      </c>
      <c r="E64" s="22">
        <f>D64-C64</f>
        <v>424132000</v>
      </c>
      <c r="F64" s="306">
        <f>IF(C64=0,0,E64/C64)</f>
        <v>6.4938373677522083</v>
      </c>
    </row>
    <row r="65" spans="1:6" ht="24" customHeight="1" x14ac:dyDescent="0.25">
      <c r="A65" s="307"/>
      <c r="B65" s="308" t="s">
        <v>61</v>
      </c>
      <c r="C65" s="309">
        <f>SUM(C61:C64)</f>
        <v>157460000</v>
      </c>
      <c r="D65" s="309">
        <f>SUM(D61:D64)</f>
        <v>1798996000</v>
      </c>
      <c r="E65" s="309">
        <f>D65-C65</f>
        <v>1641536000</v>
      </c>
      <c r="F65" s="310">
        <f>IF(C65=0,0,E65/C65)</f>
        <v>10.425098437698463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120290000</v>
      </c>
      <c r="D70" s="22">
        <v>1644056000</v>
      </c>
      <c r="E70" s="22">
        <f>D70-C70</f>
        <v>1523766000</v>
      </c>
      <c r="F70" s="306">
        <f>IF(C70=0,0,E70/C70)</f>
        <v>12.667437027184304</v>
      </c>
    </row>
    <row r="71" spans="1:6" ht="24" customHeight="1" x14ac:dyDescent="0.2">
      <c r="A71" s="304">
        <v>2</v>
      </c>
      <c r="B71" s="305" t="s">
        <v>65</v>
      </c>
      <c r="C71" s="22">
        <v>32033000</v>
      </c>
      <c r="D71" s="22">
        <v>141712000</v>
      </c>
      <c r="E71" s="22">
        <f>D71-C71</f>
        <v>109679000</v>
      </c>
      <c r="F71" s="306">
        <f>IF(C71=0,0,E71/C71)</f>
        <v>3.4239378141291792</v>
      </c>
    </row>
    <row r="72" spans="1:6" ht="24" customHeight="1" x14ac:dyDescent="0.2">
      <c r="A72" s="304">
        <v>3</v>
      </c>
      <c r="B72" s="305" t="s">
        <v>66</v>
      </c>
      <c r="C72" s="22">
        <v>20788000</v>
      </c>
      <c r="D72" s="22">
        <v>80856000</v>
      </c>
      <c r="E72" s="22">
        <f>D72-C72</f>
        <v>60068000</v>
      </c>
      <c r="F72" s="306">
        <f>IF(C72=0,0,E72/C72)</f>
        <v>2.889551664421782</v>
      </c>
    </row>
    <row r="73" spans="1:6" ht="24" customHeight="1" x14ac:dyDescent="0.25">
      <c r="A73" s="304"/>
      <c r="B73" s="308" t="s">
        <v>67</v>
      </c>
      <c r="C73" s="309">
        <f>SUM(C70:C72)</f>
        <v>173111000</v>
      </c>
      <c r="D73" s="309">
        <f>SUM(D70:D72)</f>
        <v>1866624000</v>
      </c>
      <c r="E73" s="309">
        <f>D73-C73</f>
        <v>1693513000</v>
      </c>
      <c r="F73" s="310">
        <f>IF(C73=0,0,E73/C73)</f>
        <v>9.7828156500742303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442874000</v>
      </c>
      <c r="D75" s="309">
        <f>D56+D65+D67+D73</f>
        <v>4233177000</v>
      </c>
      <c r="E75" s="309">
        <f>D75-C75</f>
        <v>3790303000</v>
      </c>
      <c r="F75" s="310">
        <f>IF(C75=0,0,E75/C75)</f>
        <v>8.5584229374494782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FILING&amp;RYALE NEW HAVEN HEALTH SERVICES CORPORATION, INC. (YNHHSC)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1512520000</v>
      </c>
      <c r="D11" s="76">
        <v>11767478000</v>
      </c>
      <c r="E11" s="76">
        <f t="shared" ref="E11:E20" si="0">D11-C11</f>
        <v>10254958000</v>
      </c>
      <c r="F11" s="77">
        <f t="shared" ref="F11:F20" si="1">IF(C11=0,0,E11/C11)</f>
        <v>6.7800478671356412</v>
      </c>
    </row>
    <row r="12" spans="1:7" ht="23.1" customHeight="1" x14ac:dyDescent="0.2">
      <c r="A12" s="74">
        <v>2</v>
      </c>
      <c r="B12" s="75" t="s">
        <v>72</v>
      </c>
      <c r="C12" s="76">
        <v>1032289000</v>
      </c>
      <c r="D12" s="76">
        <v>8106128000</v>
      </c>
      <c r="E12" s="76">
        <f t="shared" si="0"/>
        <v>7073839000</v>
      </c>
      <c r="F12" s="77">
        <f t="shared" si="1"/>
        <v>6.8525761681079622</v>
      </c>
    </row>
    <row r="13" spans="1:7" ht="23.1" customHeight="1" x14ac:dyDescent="0.2">
      <c r="A13" s="74">
        <v>3</v>
      </c>
      <c r="B13" s="75" t="s">
        <v>73</v>
      </c>
      <c r="C13" s="76">
        <v>37167000</v>
      </c>
      <c r="D13" s="76">
        <v>200412000</v>
      </c>
      <c r="E13" s="76">
        <f t="shared" si="0"/>
        <v>163245000</v>
      </c>
      <c r="F13" s="77">
        <f t="shared" si="1"/>
        <v>4.3922027605133582</v>
      </c>
    </row>
    <row r="14" spans="1:7" ht="23.1" customHeight="1" x14ac:dyDescent="0.2">
      <c r="A14" s="74">
        <v>4</v>
      </c>
      <c r="B14" s="75" t="s">
        <v>74</v>
      </c>
      <c r="C14" s="76">
        <v>9253000</v>
      </c>
      <c r="D14" s="76">
        <v>49503000</v>
      </c>
      <c r="E14" s="76">
        <f t="shared" si="0"/>
        <v>40250000</v>
      </c>
      <c r="F14" s="77">
        <f t="shared" si="1"/>
        <v>4.3499405598184371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433811000</v>
      </c>
      <c r="D15" s="79">
        <f>D11-D12-D13-D14</f>
        <v>3411435000</v>
      </c>
      <c r="E15" s="79">
        <f t="shared" si="0"/>
        <v>2977624000</v>
      </c>
      <c r="F15" s="80">
        <f t="shared" si="1"/>
        <v>6.8638738990021002</v>
      </c>
    </row>
    <row r="16" spans="1:7" ht="23.1" customHeight="1" x14ac:dyDescent="0.2">
      <c r="A16" s="74">
        <v>5</v>
      </c>
      <c r="B16" s="75" t="s">
        <v>76</v>
      </c>
      <c r="C16" s="76">
        <v>14984000</v>
      </c>
      <c r="D16" s="76">
        <v>123743000</v>
      </c>
      <c r="E16" s="76">
        <f t="shared" si="0"/>
        <v>108759000</v>
      </c>
      <c r="F16" s="77">
        <f t="shared" si="1"/>
        <v>7.2583422317138284</v>
      </c>
      <c r="G16" s="65"/>
    </row>
    <row r="17" spans="1:7" ht="31.5" customHeight="1" x14ac:dyDescent="0.25">
      <c r="A17" s="71"/>
      <c r="B17" s="81" t="s">
        <v>77</v>
      </c>
      <c r="C17" s="79">
        <f>C15-C16</f>
        <v>418827000</v>
      </c>
      <c r="D17" s="79">
        <f>D15-D16</f>
        <v>3287692000</v>
      </c>
      <c r="E17" s="79">
        <f t="shared" si="0"/>
        <v>2868865000</v>
      </c>
      <c r="F17" s="80">
        <f t="shared" si="1"/>
        <v>6.8497613573145957</v>
      </c>
    </row>
    <row r="18" spans="1:7" ht="23.1" customHeight="1" x14ac:dyDescent="0.2">
      <c r="A18" s="74">
        <v>6</v>
      </c>
      <c r="B18" s="75" t="s">
        <v>78</v>
      </c>
      <c r="C18" s="76">
        <v>22926000</v>
      </c>
      <c r="D18" s="76">
        <v>103175000</v>
      </c>
      <c r="E18" s="76">
        <f t="shared" si="0"/>
        <v>80249000</v>
      </c>
      <c r="F18" s="77">
        <f t="shared" si="1"/>
        <v>3.5003489487917649</v>
      </c>
      <c r="G18" s="65"/>
    </row>
    <row r="19" spans="1:7" ht="33" customHeight="1" x14ac:dyDescent="0.2">
      <c r="A19" s="74">
        <v>7</v>
      </c>
      <c r="B19" s="82" t="s">
        <v>79</v>
      </c>
      <c r="C19" s="76">
        <v>3282000</v>
      </c>
      <c r="D19" s="76">
        <v>3819000</v>
      </c>
      <c r="E19" s="76">
        <f t="shared" si="0"/>
        <v>537000</v>
      </c>
      <c r="F19" s="77">
        <f t="shared" si="1"/>
        <v>0.16361974405850091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445035000</v>
      </c>
      <c r="D20" s="79">
        <f>SUM(D17:D19)</f>
        <v>3394686000</v>
      </c>
      <c r="E20" s="79">
        <f t="shared" si="0"/>
        <v>2949651000</v>
      </c>
      <c r="F20" s="80">
        <f t="shared" si="1"/>
        <v>6.6279079173548148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147763000</v>
      </c>
      <c r="D23" s="76">
        <v>1318391000</v>
      </c>
      <c r="E23" s="76">
        <f t="shared" ref="E23:E32" si="2">D23-C23</f>
        <v>1170628000</v>
      </c>
      <c r="F23" s="77">
        <f t="shared" ref="F23:F32" si="3">IF(C23=0,0,E23/C23)</f>
        <v>7.9223350906519228</v>
      </c>
    </row>
    <row r="24" spans="1:7" ht="23.1" customHeight="1" x14ac:dyDescent="0.2">
      <c r="A24" s="74">
        <v>2</v>
      </c>
      <c r="B24" s="75" t="s">
        <v>83</v>
      </c>
      <c r="C24" s="76">
        <v>48230000</v>
      </c>
      <c r="D24" s="76">
        <v>425746000</v>
      </c>
      <c r="E24" s="76">
        <f t="shared" si="2"/>
        <v>377516000</v>
      </c>
      <c r="F24" s="77">
        <f t="shared" si="3"/>
        <v>7.827410325523533</v>
      </c>
    </row>
    <row r="25" spans="1:7" ht="23.1" customHeight="1" x14ac:dyDescent="0.2">
      <c r="A25" s="74">
        <v>3</v>
      </c>
      <c r="B25" s="75" t="s">
        <v>84</v>
      </c>
      <c r="C25" s="76">
        <v>22467000</v>
      </c>
      <c r="D25" s="76">
        <v>121415000</v>
      </c>
      <c r="E25" s="76">
        <f t="shared" si="2"/>
        <v>98948000</v>
      </c>
      <c r="F25" s="77">
        <f t="shared" si="3"/>
        <v>4.4041483064049496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47722000</v>
      </c>
      <c r="D26" s="76">
        <v>493932000</v>
      </c>
      <c r="E26" s="76">
        <f t="shared" si="2"/>
        <v>446210000</v>
      </c>
      <c r="F26" s="77">
        <f t="shared" si="3"/>
        <v>9.3501948786723101</v>
      </c>
    </row>
    <row r="27" spans="1:7" ht="23.1" customHeight="1" x14ac:dyDescent="0.2">
      <c r="A27" s="74">
        <v>5</v>
      </c>
      <c r="B27" s="75" t="s">
        <v>86</v>
      </c>
      <c r="C27" s="76">
        <v>22858000</v>
      </c>
      <c r="D27" s="76">
        <v>192072000</v>
      </c>
      <c r="E27" s="76">
        <f t="shared" si="2"/>
        <v>169214000</v>
      </c>
      <c r="F27" s="77">
        <f t="shared" si="3"/>
        <v>7.4028348936914865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1665000</v>
      </c>
      <c r="D29" s="76">
        <v>26917000</v>
      </c>
      <c r="E29" s="76">
        <f t="shared" si="2"/>
        <v>25252000</v>
      </c>
      <c r="F29" s="77">
        <f t="shared" si="3"/>
        <v>15.166366366366367</v>
      </c>
    </row>
    <row r="30" spans="1:7" ht="23.1" customHeight="1" x14ac:dyDescent="0.2">
      <c r="A30" s="74">
        <v>8</v>
      </c>
      <c r="B30" s="75" t="s">
        <v>89</v>
      </c>
      <c r="C30" s="76">
        <v>292000</v>
      </c>
      <c r="D30" s="76">
        <v>58999000</v>
      </c>
      <c r="E30" s="76">
        <f t="shared" si="2"/>
        <v>58707000</v>
      </c>
      <c r="F30" s="77">
        <f t="shared" si="3"/>
        <v>201.05136986301369</v>
      </c>
    </row>
    <row r="31" spans="1:7" ht="23.1" customHeight="1" x14ac:dyDescent="0.2">
      <c r="A31" s="74">
        <v>9</v>
      </c>
      <c r="B31" s="75" t="s">
        <v>90</v>
      </c>
      <c r="C31" s="76">
        <v>134778000</v>
      </c>
      <c r="D31" s="76">
        <v>587102000</v>
      </c>
      <c r="E31" s="76">
        <f t="shared" si="2"/>
        <v>452324000</v>
      </c>
      <c r="F31" s="77">
        <f t="shared" si="3"/>
        <v>3.3560670139043465</v>
      </c>
    </row>
    <row r="32" spans="1:7" ht="23.1" customHeight="1" x14ac:dyDescent="0.25">
      <c r="A32" s="71"/>
      <c r="B32" s="78" t="s">
        <v>91</v>
      </c>
      <c r="C32" s="79">
        <f>SUM(C23:C31)</f>
        <v>425775000</v>
      </c>
      <c r="D32" s="79">
        <f>SUM(D23:D31)</f>
        <v>3224574000</v>
      </c>
      <c r="E32" s="79">
        <f t="shared" si="2"/>
        <v>2798799000</v>
      </c>
      <c r="F32" s="80">
        <f t="shared" si="3"/>
        <v>6.5734225823498322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19260000</v>
      </c>
      <c r="D34" s="79">
        <f>+D20-D32</f>
        <v>170112000</v>
      </c>
      <c r="E34" s="79">
        <f>D34-C34</f>
        <v>150852000</v>
      </c>
      <c r="F34" s="80">
        <f>IF(C34=0,0,E34/C34)</f>
        <v>7.8323987538940809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0</v>
      </c>
      <c r="D37" s="76">
        <v>3103000</v>
      </c>
      <c r="E37" s="76">
        <f>D37-C37</f>
        <v>3103000</v>
      </c>
      <c r="F37" s="77">
        <f>IF(C37=0,0,E37/C37)</f>
        <v>0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2934000</v>
      </c>
      <c r="D39" s="76">
        <v>-23196000</v>
      </c>
      <c r="E39" s="76">
        <f>D39-C39</f>
        <v>-26130000</v>
      </c>
      <c r="F39" s="77">
        <f>IF(C39=0,0,E39/C39)</f>
        <v>-8.9059304703476485</v>
      </c>
    </row>
    <row r="40" spans="1:6" ht="23.1" customHeight="1" x14ac:dyDescent="0.25">
      <c r="A40" s="83"/>
      <c r="B40" s="78" t="s">
        <v>97</v>
      </c>
      <c r="C40" s="79">
        <f>SUM(C37:C39)</f>
        <v>2934000</v>
      </c>
      <c r="D40" s="79">
        <f>SUM(D37:D39)</f>
        <v>-20093000</v>
      </c>
      <c r="E40" s="79">
        <f>D40-C40</f>
        <v>-23027000</v>
      </c>
      <c r="F40" s="80">
        <f>IF(C40=0,0,E40/C40)</f>
        <v>-7.8483299250170413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22194000</v>
      </c>
      <c r="D42" s="79">
        <f>D34+D40</f>
        <v>150019000</v>
      </c>
      <c r="E42" s="79">
        <f>D42-C42</f>
        <v>127825000</v>
      </c>
      <c r="F42" s="80">
        <f>IF(C42=0,0,E42/C42)</f>
        <v>5.7594394881499502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1035000</v>
      </c>
      <c r="D45" s="76">
        <v>86913000</v>
      </c>
      <c r="E45" s="76">
        <f>D45-C45</f>
        <v>85878000</v>
      </c>
      <c r="F45" s="77">
        <f>IF(C45=0,0,E45/C45)</f>
        <v>82.973913043478262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-32631000</v>
      </c>
      <c r="E46" s="76">
        <f>D46-C46</f>
        <v>-32631000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1035000</v>
      </c>
      <c r="D47" s="79">
        <f>SUM(D45:D46)</f>
        <v>54282000</v>
      </c>
      <c r="E47" s="79">
        <f>D47-C47</f>
        <v>53247000</v>
      </c>
      <c r="F47" s="80">
        <f>IF(C47=0,0,E47/C47)</f>
        <v>51.446376811594206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23229000</v>
      </c>
      <c r="D49" s="79">
        <f>D42+D47</f>
        <v>204301000</v>
      </c>
      <c r="E49" s="79">
        <f>D49-C49</f>
        <v>181072000</v>
      </c>
      <c r="F49" s="80">
        <f>IF(C49=0,0,E49/C49)</f>
        <v>7.7950837315424684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FILING&amp;R&amp;8YALE NEW HAVEN HEALTH SERVICES CORPORATION, INC. (YNHHSC)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2015-07-08T13:17:24Z</cp:lastPrinted>
  <dcterms:created xsi:type="dcterms:W3CDTF">2015-07-08T13:14:04Z</dcterms:created>
  <dcterms:modified xsi:type="dcterms:W3CDTF">2015-07-08T13:18:06Z</dcterms:modified>
</cp:coreProperties>
</file>