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 s="1"/>
  <c r="E92" i="22"/>
  <c r="D92" i="22"/>
  <c r="D93" i="22" s="1"/>
  <c r="C92" i="22"/>
  <c r="E91" i="22"/>
  <c r="E93" i="22" s="1"/>
  <c r="D91" i="22"/>
  <c r="C91" i="22"/>
  <c r="C93" i="22" s="1"/>
  <c r="E87" i="22"/>
  <c r="E88" i="22" s="1"/>
  <c r="D87" i="22"/>
  <c r="C87" i="22"/>
  <c r="E86" i="22"/>
  <c r="D86" i="22"/>
  <c r="D88" i="22" s="1"/>
  <c r="C86" i="22"/>
  <c r="C88" i="22"/>
  <c r="E83" i="22"/>
  <c r="D83" i="22"/>
  <c r="C83" i="22"/>
  <c r="C101" i="22" s="1"/>
  <c r="C103" i="22" s="1"/>
  <c r="E76" i="22"/>
  <c r="D76" i="22"/>
  <c r="D102" i="22" s="1"/>
  <c r="C76" i="22"/>
  <c r="E75" i="22"/>
  <c r="E101" i="22" s="1"/>
  <c r="D75" i="22"/>
  <c r="C75" i="22"/>
  <c r="C77" i="22" s="1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D34" i="22"/>
  <c r="E28" i="22"/>
  <c r="D28" i="22"/>
  <c r="C28" i="22"/>
  <c r="E27" i="22"/>
  <c r="D27" i="22"/>
  <c r="C27" i="22"/>
  <c r="D23" i="22"/>
  <c r="D54" i="22"/>
  <c r="E21" i="22"/>
  <c r="D21" i="22"/>
  <c r="C21" i="22"/>
  <c r="E12" i="22"/>
  <c r="E33" i="22"/>
  <c r="D12" i="22"/>
  <c r="D33" i="22"/>
  <c r="C12" i="22"/>
  <c r="C33" i="22" s="1"/>
  <c r="D21" i="21"/>
  <c r="E21" i="21"/>
  <c r="C21" i="21"/>
  <c r="F21" i="21" s="1"/>
  <c r="D19" i="21"/>
  <c r="E19" i="21"/>
  <c r="F19" i="21"/>
  <c r="C19" i="21"/>
  <c r="E17" i="21"/>
  <c r="F17" i="21" s="1"/>
  <c r="E15" i="21"/>
  <c r="F15" i="21" s="1"/>
  <c r="D45" i="20"/>
  <c r="E45" i="20"/>
  <c r="F45" i="20"/>
  <c r="C45" i="20"/>
  <c r="D44" i="20"/>
  <c r="E44" i="20"/>
  <c r="C44" i="20"/>
  <c r="F44" i="20" s="1"/>
  <c r="D43" i="20"/>
  <c r="D46" i="20"/>
  <c r="C43" i="20"/>
  <c r="C46" i="20" s="1"/>
  <c r="D36" i="20"/>
  <c r="D40" i="20"/>
  <c r="C36" i="20"/>
  <c r="C40" i="20" s="1"/>
  <c r="E35" i="20"/>
  <c r="E36" i="20" s="1"/>
  <c r="F34" i="20"/>
  <c r="E34" i="20"/>
  <c r="F33" i="20"/>
  <c r="E33" i="20"/>
  <c r="E30" i="20"/>
  <c r="F30" i="20" s="1"/>
  <c r="F29" i="20"/>
  <c r="E29" i="20"/>
  <c r="F28" i="20"/>
  <c r="E28" i="20"/>
  <c r="F27" i="20"/>
  <c r="E27" i="20"/>
  <c r="D25" i="20"/>
  <c r="D39" i="20"/>
  <c r="C25" i="20"/>
  <c r="C39" i="20" s="1"/>
  <c r="F24" i="20"/>
  <c r="E24" i="20"/>
  <c r="F23" i="20"/>
  <c r="E23" i="20"/>
  <c r="E22" i="20"/>
  <c r="E25" i="20" s="1"/>
  <c r="D19" i="20"/>
  <c r="D20" i="20" s="1"/>
  <c r="E20" i="20" s="1"/>
  <c r="F20" i="20" s="1"/>
  <c r="C19" i="20"/>
  <c r="C20" i="20"/>
  <c r="F18" i="20"/>
  <c r="E18" i="20"/>
  <c r="D16" i="20"/>
  <c r="E16" i="20"/>
  <c r="C16" i="20"/>
  <c r="F16" i="20" s="1"/>
  <c r="E15" i="20"/>
  <c r="F15" i="20" s="1"/>
  <c r="F13" i="20"/>
  <c r="E13" i="20"/>
  <c r="E12" i="20"/>
  <c r="F12" i="20" s="1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/>
  <c r="C63" i="19"/>
  <c r="C59" i="19"/>
  <c r="C60" i="19" s="1"/>
  <c r="C49" i="19"/>
  <c r="C48" i="19"/>
  <c r="C36" i="19"/>
  <c r="C32" i="19"/>
  <c r="C33" i="19"/>
  <c r="C21" i="19"/>
  <c r="C37" i="19"/>
  <c r="E328" i="18"/>
  <c r="E325" i="18"/>
  <c r="D324" i="18"/>
  <c r="D326" i="18"/>
  <c r="C324" i="18"/>
  <c r="C326" i="18"/>
  <c r="C330" i="18" s="1"/>
  <c r="E318" i="18"/>
  <c r="E315" i="18"/>
  <c r="D314" i="18"/>
  <c r="D316" i="18" s="1"/>
  <c r="D320" i="18" s="1"/>
  <c r="E320" i="18" s="1"/>
  <c r="C314" i="18"/>
  <c r="C316" i="18" s="1"/>
  <c r="C320" i="18" s="1"/>
  <c r="E308" i="18"/>
  <c r="E305" i="18"/>
  <c r="D301" i="18"/>
  <c r="D303" i="18" s="1"/>
  <c r="C301" i="18"/>
  <c r="D293" i="18"/>
  <c r="E293" i="18" s="1"/>
  <c r="C293" i="18"/>
  <c r="D292" i="18"/>
  <c r="C292" i="18"/>
  <c r="E292" i="18"/>
  <c r="D291" i="18"/>
  <c r="E291" i="18" s="1"/>
  <c r="C291" i="18"/>
  <c r="D290" i="18"/>
  <c r="C290" i="18"/>
  <c r="E290" i="18" s="1"/>
  <c r="D288" i="18"/>
  <c r="E288" i="18" s="1"/>
  <c r="C288" i="18"/>
  <c r="D287" i="18"/>
  <c r="E287" i="18"/>
  <c r="C287" i="18"/>
  <c r="D282" i="18"/>
  <c r="C282" i="18"/>
  <c r="E282" i="18"/>
  <c r="D281" i="18"/>
  <c r="E281" i="18" s="1"/>
  <c r="C281" i="18"/>
  <c r="D280" i="18"/>
  <c r="E280" i="18" s="1"/>
  <c r="C280" i="18"/>
  <c r="D279" i="18"/>
  <c r="C279" i="18"/>
  <c r="E279" i="18" s="1"/>
  <c r="D278" i="18"/>
  <c r="C278" i="18"/>
  <c r="E278" i="18"/>
  <c r="D277" i="18"/>
  <c r="E277" i="18"/>
  <c r="C277" i="18"/>
  <c r="D276" i="18"/>
  <c r="E276" i="18" s="1"/>
  <c r="C276" i="18"/>
  <c r="E270" i="18"/>
  <c r="D265" i="18"/>
  <c r="D302" i="18" s="1"/>
  <c r="C265" i="18"/>
  <c r="C302" i="18" s="1"/>
  <c r="D262" i="18"/>
  <c r="E262" i="18" s="1"/>
  <c r="C262" i="18"/>
  <c r="D251" i="18"/>
  <c r="E251" i="18" s="1"/>
  <c r="C251" i="18"/>
  <c r="D233" i="18"/>
  <c r="C233" i="18"/>
  <c r="D232" i="18"/>
  <c r="E232" i="18"/>
  <c r="C232" i="18"/>
  <c r="D231" i="18"/>
  <c r="E231" i="18" s="1"/>
  <c r="C231" i="18"/>
  <c r="D230" i="18"/>
  <c r="E230" i="18" s="1"/>
  <c r="C230" i="18"/>
  <c r="D228" i="18"/>
  <c r="E228" i="18" s="1"/>
  <c r="C228" i="18"/>
  <c r="D227" i="18"/>
  <c r="E227" i="18" s="1"/>
  <c r="C227" i="18"/>
  <c r="D221" i="18"/>
  <c r="D245" i="18"/>
  <c r="C221" i="18"/>
  <c r="C245" i="18" s="1"/>
  <c r="D220" i="18"/>
  <c r="D244" i="18"/>
  <c r="C220" i="18"/>
  <c r="C244" i="18"/>
  <c r="D219" i="18"/>
  <c r="D243" i="18"/>
  <c r="C219" i="18"/>
  <c r="C243" i="18" s="1"/>
  <c r="E243" i="18" s="1"/>
  <c r="D218" i="18"/>
  <c r="D242" i="18"/>
  <c r="C218" i="18"/>
  <c r="C242" i="18"/>
  <c r="D217" i="18"/>
  <c r="D216" i="18"/>
  <c r="D240" i="18"/>
  <c r="E240" i="18" s="1"/>
  <c r="C216" i="18"/>
  <c r="C240" i="18"/>
  <c r="D215" i="18"/>
  <c r="D239" i="18"/>
  <c r="E239" i="18" s="1"/>
  <c r="C215" i="18"/>
  <c r="C239" i="18"/>
  <c r="E209" i="18"/>
  <c r="E208" i="18"/>
  <c r="E207" i="18"/>
  <c r="E206" i="18"/>
  <c r="D205" i="18"/>
  <c r="D210" i="18" s="1"/>
  <c r="D229" i="18"/>
  <c r="C205" i="18"/>
  <c r="C229" i="18" s="1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8" i="18"/>
  <c r="D189" i="18" s="1"/>
  <c r="E189" i="18" s="1"/>
  <c r="D261" i="18"/>
  <c r="C188" i="18"/>
  <c r="E186" i="18"/>
  <c r="E185" i="18"/>
  <c r="D179" i="18"/>
  <c r="E179" i="18"/>
  <c r="C179" i="18"/>
  <c r="D178" i="18"/>
  <c r="E178" i="18" s="1"/>
  <c r="C178" i="18"/>
  <c r="D177" i="18"/>
  <c r="E177" i="18"/>
  <c r="C177" i="18"/>
  <c r="D176" i="18"/>
  <c r="C176" i="18"/>
  <c r="E176" i="18"/>
  <c r="D174" i="18"/>
  <c r="E174" i="18" s="1"/>
  <c r="C174" i="18"/>
  <c r="D173" i="18"/>
  <c r="E173" i="18" s="1"/>
  <c r="C173" i="18"/>
  <c r="D167" i="18"/>
  <c r="C167" i="18"/>
  <c r="E167" i="18"/>
  <c r="D166" i="18"/>
  <c r="C166" i="18"/>
  <c r="E166" i="18" s="1"/>
  <c r="D165" i="18"/>
  <c r="C165" i="18"/>
  <c r="E165" i="18" s="1"/>
  <c r="D164" i="18"/>
  <c r="E164" i="18"/>
  <c r="C164" i="18"/>
  <c r="D162" i="18"/>
  <c r="E162" i="18"/>
  <c r="C162" i="18"/>
  <c r="D161" i="18"/>
  <c r="C161" i="18"/>
  <c r="E161" i="18"/>
  <c r="E155" i="18"/>
  <c r="E154" i="18"/>
  <c r="E153" i="18"/>
  <c r="E152" i="18"/>
  <c r="D151" i="18"/>
  <c r="D156" i="18"/>
  <c r="C151" i="18"/>
  <c r="C156" i="18" s="1"/>
  <c r="C157" i="18" s="1"/>
  <c r="E150" i="18"/>
  <c r="E149" i="18"/>
  <c r="D144" i="18"/>
  <c r="D168" i="18" s="1"/>
  <c r="E168" i="18" s="1"/>
  <c r="E143" i="18"/>
  <c r="E142" i="18"/>
  <c r="E141" i="18"/>
  <c r="E140" i="18"/>
  <c r="D139" i="18"/>
  <c r="C139" i="18"/>
  <c r="C163" i="18" s="1"/>
  <c r="E138" i="18"/>
  <c r="E137" i="18"/>
  <c r="D75" i="18"/>
  <c r="E75" i="18"/>
  <c r="C75" i="18"/>
  <c r="D74" i="18"/>
  <c r="E74" i="18" s="1"/>
  <c r="C74" i="18"/>
  <c r="D73" i="18"/>
  <c r="E73" i="18" s="1"/>
  <c r="C73" i="18"/>
  <c r="D72" i="18"/>
  <c r="E72" i="18" s="1"/>
  <c r="C72" i="18"/>
  <c r="D71" i="18"/>
  <c r="D70" i="18"/>
  <c r="C70" i="18"/>
  <c r="E70" i="18" s="1"/>
  <c r="D69" i="18"/>
  <c r="E69" i="18"/>
  <c r="C69" i="18"/>
  <c r="E64" i="18"/>
  <c r="E63" i="18"/>
  <c r="E62" i="18"/>
  <c r="E61" i="18"/>
  <c r="D60" i="18"/>
  <c r="D289" i="18" s="1"/>
  <c r="C60" i="18"/>
  <c r="C289" i="18"/>
  <c r="E59" i="18"/>
  <c r="E58" i="18"/>
  <c r="D54" i="18"/>
  <c r="E54" i="18" s="1"/>
  <c r="C54" i="18"/>
  <c r="E53" i="18"/>
  <c r="E52" i="18"/>
  <c r="E51" i="18"/>
  <c r="E50" i="18"/>
  <c r="E49" i="18"/>
  <c r="E48" i="18"/>
  <c r="E47" i="18"/>
  <c r="D42" i="18"/>
  <c r="C42" i="18"/>
  <c r="E42" i="18"/>
  <c r="D41" i="18"/>
  <c r="E41" i="18"/>
  <c r="C41" i="18"/>
  <c r="D40" i="18"/>
  <c r="E40" i="18" s="1"/>
  <c r="C40" i="18"/>
  <c r="D39" i="18"/>
  <c r="E39" i="18"/>
  <c r="C39" i="18"/>
  <c r="D38" i="18"/>
  <c r="C38" i="18"/>
  <c r="E38" i="18"/>
  <c r="D37" i="18"/>
  <c r="D43" i="18" s="1"/>
  <c r="C37" i="18"/>
  <c r="C43" i="18"/>
  <c r="C44" i="18" s="1"/>
  <c r="D36" i="18"/>
  <c r="C36" i="18"/>
  <c r="D33" i="18"/>
  <c r="D32" i="18"/>
  <c r="C32" i="18"/>
  <c r="C33" i="18"/>
  <c r="E31" i="18"/>
  <c r="E30" i="18"/>
  <c r="E29" i="18"/>
  <c r="E28" i="18"/>
  <c r="E27" i="18"/>
  <c r="E26" i="18"/>
  <c r="E25" i="18"/>
  <c r="C22" i="18"/>
  <c r="D21" i="18"/>
  <c r="C21" i="18"/>
  <c r="E20" i="18"/>
  <c r="E19" i="18"/>
  <c r="E18" i="18"/>
  <c r="E17" i="18"/>
  <c r="E16" i="18"/>
  <c r="E15" i="18"/>
  <c r="E14" i="18"/>
  <c r="E335" i="17"/>
  <c r="F335" i="17" s="1"/>
  <c r="F334" i="17"/>
  <c r="E334" i="17"/>
  <c r="E333" i="17"/>
  <c r="F333" i="17" s="1"/>
  <c r="F332" i="17"/>
  <c r="E332" i="17"/>
  <c r="E331" i="17"/>
  <c r="F331" i="17" s="1"/>
  <c r="F330" i="17"/>
  <c r="E330" i="17"/>
  <c r="F329" i="17"/>
  <c r="E329" i="17"/>
  <c r="F316" i="17"/>
  <c r="E316" i="17"/>
  <c r="F311" i="17"/>
  <c r="D311" i="17"/>
  <c r="E311" i="17" s="1"/>
  <c r="C311" i="17"/>
  <c r="F308" i="17"/>
  <c r="E308" i="17"/>
  <c r="D307" i="17"/>
  <c r="E307" i="17" s="1"/>
  <c r="C307" i="17"/>
  <c r="F307" i="17" s="1"/>
  <c r="D299" i="17"/>
  <c r="C299" i="17"/>
  <c r="D298" i="17"/>
  <c r="C298" i="17"/>
  <c r="D297" i="17"/>
  <c r="C297" i="17"/>
  <c r="D296" i="17"/>
  <c r="C296" i="17"/>
  <c r="D295" i="17"/>
  <c r="C295" i="17"/>
  <c r="D294" i="17"/>
  <c r="E294" i="17" s="1"/>
  <c r="F294" i="17" s="1"/>
  <c r="C294" i="17"/>
  <c r="D250" i="17"/>
  <c r="D306" i="17" s="1"/>
  <c r="E306" i="17"/>
  <c r="C250" i="17"/>
  <c r="C306" i="17" s="1"/>
  <c r="E249" i="17"/>
  <c r="F249" i="17" s="1"/>
  <c r="E248" i="17"/>
  <c r="F248" i="17" s="1"/>
  <c r="F245" i="17"/>
  <c r="E245" i="17"/>
  <c r="F244" i="17"/>
  <c r="E244" i="17"/>
  <c r="E243" i="17"/>
  <c r="F243" i="17" s="1"/>
  <c r="D238" i="17"/>
  <c r="C238" i="17"/>
  <c r="D237" i="17"/>
  <c r="D239" i="17" s="1"/>
  <c r="C237" i="17"/>
  <c r="C239" i="17"/>
  <c r="F234" i="17"/>
  <c r="E234" i="17"/>
  <c r="E233" i="17"/>
  <c r="F233" i="17" s="1"/>
  <c r="D230" i="17"/>
  <c r="C230" i="17"/>
  <c r="D229" i="17"/>
  <c r="C229" i="17"/>
  <c r="F228" i="17"/>
  <c r="E228" i="17"/>
  <c r="D226" i="17"/>
  <c r="D227" i="17"/>
  <c r="E227" i="17" s="1"/>
  <c r="F227" i="17" s="1"/>
  <c r="C226" i="17"/>
  <c r="C227" i="17" s="1"/>
  <c r="E225" i="17"/>
  <c r="F225" i="17" s="1"/>
  <c r="F224" i="17"/>
  <c r="E224" i="17"/>
  <c r="D223" i="17"/>
  <c r="E223" i="17" s="1"/>
  <c r="F223" i="17" s="1"/>
  <c r="C223" i="17"/>
  <c r="E222" i="17"/>
  <c r="F222" i="17" s="1"/>
  <c r="F221" i="17"/>
  <c r="E221" i="17"/>
  <c r="D204" i="17"/>
  <c r="C204" i="17"/>
  <c r="C285" i="17" s="1"/>
  <c r="D203" i="17"/>
  <c r="D214" i="17" s="1"/>
  <c r="C203" i="17"/>
  <c r="C283" i="17"/>
  <c r="D198" i="17"/>
  <c r="C198" i="17"/>
  <c r="D191" i="17"/>
  <c r="C191" i="17"/>
  <c r="C280" i="17"/>
  <c r="D189" i="17"/>
  <c r="C189" i="17"/>
  <c r="C278" i="17" s="1"/>
  <c r="D188" i="17"/>
  <c r="C188" i="17"/>
  <c r="C277" i="17"/>
  <c r="D180" i="17"/>
  <c r="C180" i="17"/>
  <c r="D179" i="17"/>
  <c r="E179" i="17"/>
  <c r="C179" i="17"/>
  <c r="F179" i="17" s="1"/>
  <c r="D171" i="17"/>
  <c r="E171" i="17"/>
  <c r="C171" i="17"/>
  <c r="F171" i="17" s="1"/>
  <c r="D170" i="17"/>
  <c r="C170" i="17"/>
  <c r="F169" i="17"/>
  <c r="E169" i="17"/>
  <c r="F168" i="17"/>
  <c r="E168" i="17"/>
  <c r="F165" i="17"/>
  <c r="D165" i="17"/>
  <c r="C165" i="17"/>
  <c r="E165" i="17" s="1"/>
  <c r="D164" i="17"/>
  <c r="E164" i="17"/>
  <c r="C164" i="17"/>
  <c r="F164" i="17" s="1"/>
  <c r="F163" i="17"/>
  <c r="E163" i="17"/>
  <c r="D158" i="17"/>
  <c r="E158" i="17" s="1"/>
  <c r="C158" i="17"/>
  <c r="F158" i="17" s="1"/>
  <c r="C159" i="17"/>
  <c r="F159" i="17"/>
  <c r="F157" i="17"/>
  <c r="E157" i="17"/>
  <c r="F156" i="17"/>
  <c r="E156" i="17"/>
  <c r="D155" i="17"/>
  <c r="E155" i="17"/>
  <c r="C155" i="17"/>
  <c r="F155" i="17" s="1"/>
  <c r="F154" i="17"/>
  <c r="E154" i="17"/>
  <c r="F153" i="17"/>
  <c r="E153" i="17"/>
  <c r="D145" i="17"/>
  <c r="C145" i="17"/>
  <c r="E145" i="17"/>
  <c r="D144" i="17"/>
  <c r="D146" i="17"/>
  <c r="E146" i="17" s="1"/>
  <c r="F146" i="17" s="1"/>
  <c r="C144" i="17"/>
  <c r="C146" i="17"/>
  <c r="D136" i="17"/>
  <c r="D137" i="17" s="1"/>
  <c r="C136" i="17"/>
  <c r="C137" i="17" s="1"/>
  <c r="D135" i="17"/>
  <c r="E135" i="17" s="1"/>
  <c r="C135" i="17"/>
  <c r="E134" i="17"/>
  <c r="F134" i="17" s="1"/>
  <c r="E133" i="17"/>
  <c r="F133" i="17"/>
  <c r="D130" i="17"/>
  <c r="C130" i="17"/>
  <c r="D129" i="17"/>
  <c r="C129" i="17"/>
  <c r="E129" i="17" s="1"/>
  <c r="E128" i="17"/>
  <c r="F128" i="17"/>
  <c r="D123" i="17"/>
  <c r="C123" i="17"/>
  <c r="E122" i="17"/>
  <c r="F122" i="17"/>
  <c r="E121" i="17"/>
  <c r="F121" i="17" s="1"/>
  <c r="D120" i="17"/>
  <c r="C120" i="17"/>
  <c r="E120" i="17" s="1"/>
  <c r="E119" i="17"/>
  <c r="F119" i="17" s="1"/>
  <c r="E118" i="17"/>
  <c r="F118" i="17"/>
  <c r="D110" i="17"/>
  <c r="C110" i="17"/>
  <c r="D109" i="17"/>
  <c r="D111" i="17" s="1"/>
  <c r="C109" i="17"/>
  <c r="C111" i="17" s="1"/>
  <c r="D101" i="17"/>
  <c r="D102" i="17"/>
  <c r="C101" i="17"/>
  <c r="C102" i="17" s="1"/>
  <c r="D100" i="17"/>
  <c r="E100" i="17" s="1"/>
  <c r="F100" i="17" s="1"/>
  <c r="C100" i="17"/>
  <c r="E99" i="17"/>
  <c r="F99" i="17" s="1"/>
  <c r="E98" i="17"/>
  <c r="F98" i="17"/>
  <c r="D95" i="17"/>
  <c r="C95" i="17"/>
  <c r="D94" i="17"/>
  <c r="E94" i="17" s="1"/>
  <c r="C94" i="17"/>
  <c r="E93" i="17"/>
  <c r="F93" i="17" s="1"/>
  <c r="D88" i="17"/>
  <c r="D89" i="17"/>
  <c r="C88" i="17"/>
  <c r="C89" i="17"/>
  <c r="E87" i="17"/>
  <c r="F87" i="17"/>
  <c r="E86" i="17"/>
  <c r="F86" i="17"/>
  <c r="D85" i="17"/>
  <c r="E85" i="17" s="1"/>
  <c r="C85" i="17"/>
  <c r="E84" i="17"/>
  <c r="F84" i="17"/>
  <c r="E83" i="17"/>
  <c r="F83" i="17" s="1"/>
  <c r="D76" i="17"/>
  <c r="D77" i="17"/>
  <c r="E77" i="17" s="1"/>
  <c r="C76" i="17"/>
  <c r="C77" i="17"/>
  <c r="E74" i="17"/>
  <c r="F74" i="17" s="1"/>
  <c r="E73" i="17"/>
  <c r="F73" i="17" s="1"/>
  <c r="D67" i="17"/>
  <c r="C67" i="17"/>
  <c r="D66" i="17"/>
  <c r="C66" i="17"/>
  <c r="D59" i="17"/>
  <c r="D60" i="17" s="1"/>
  <c r="C59" i="17"/>
  <c r="C60" i="17" s="1"/>
  <c r="D58" i="17"/>
  <c r="E58" i="17" s="1"/>
  <c r="C58" i="17"/>
  <c r="E57" i="17"/>
  <c r="F57" i="17" s="1"/>
  <c r="E56" i="17"/>
  <c r="F56" i="17" s="1"/>
  <c r="D53" i="17"/>
  <c r="E53" i="17" s="1"/>
  <c r="C53" i="17"/>
  <c r="D52" i="17"/>
  <c r="C52" i="17"/>
  <c r="E51" i="17"/>
  <c r="F51" i="17" s="1"/>
  <c r="D47" i="17"/>
  <c r="D48" i="17"/>
  <c r="C47" i="17"/>
  <c r="C48" i="17" s="1"/>
  <c r="E46" i="17"/>
  <c r="F46" i="17" s="1"/>
  <c r="E45" i="17"/>
  <c r="F45" i="17" s="1"/>
  <c r="D44" i="17"/>
  <c r="E44" i="17"/>
  <c r="F44" i="17" s="1"/>
  <c r="C44" i="17"/>
  <c r="E43" i="17"/>
  <c r="F43" i="17"/>
  <c r="E42" i="17"/>
  <c r="F42" i="17" s="1"/>
  <c r="D36" i="17"/>
  <c r="E36" i="17"/>
  <c r="F36" i="17" s="1"/>
  <c r="C36" i="17"/>
  <c r="D35" i="17"/>
  <c r="D37" i="17"/>
  <c r="C35" i="17"/>
  <c r="D30" i="17"/>
  <c r="D31" i="17"/>
  <c r="C30" i="17"/>
  <c r="C31" i="17" s="1"/>
  <c r="D29" i="17"/>
  <c r="E29" i="17"/>
  <c r="C29" i="17"/>
  <c r="F29" i="17" s="1"/>
  <c r="E28" i="17"/>
  <c r="F28" i="17"/>
  <c r="E27" i="17"/>
  <c r="F27" i="17" s="1"/>
  <c r="D24" i="17"/>
  <c r="E24" i="17"/>
  <c r="F24" i="17" s="1"/>
  <c r="C24" i="17"/>
  <c r="D23" i="17"/>
  <c r="C23" i="17"/>
  <c r="E23" i="17" s="1"/>
  <c r="F23" i="17" s="1"/>
  <c r="E22" i="17"/>
  <c r="F22" i="17"/>
  <c r="D20" i="17"/>
  <c r="D21" i="17" s="1"/>
  <c r="E20" i="17"/>
  <c r="C20" i="17"/>
  <c r="E19" i="17"/>
  <c r="F19" i="17" s="1"/>
  <c r="E18" i="17"/>
  <c r="F18" i="17"/>
  <c r="D17" i="17"/>
  <c r="E17" i="17" s="1"/>
  <c r="C17" i="17"/>
  <c r="E16" i="17"/>
  <c r="F16" i="17" s="1"/>
  <c r="E15" i="17"/>
  <c r="F15" i="17"/>
  <c r="D21" i="16"/>
  <c r="E21" i="16"/>
  <c r="C21" i="16"/>
  <c r="F20" i="16"/>
  <c r="E20" i="16"/>
  <c r="D17" i="16"/>
  <c r="E17" i="16"/>
  <c r="F17" i="16"/>
  <c r="C17" i="16"/>
  <c r="E16" i="16"/>
  <c r="F16" i="16" s="1"/>
  <c r="D13" i="16"/>
  <c r="E13" i="16" s="1"/>
  <c r="C13" i="16"/>
  <c r="E12" i="16"/>
  <c r="F12" i="16" s="1"/>
  <c r="D107" i="15"/>
  <c r="C107" i="15"/>
  <c r="F106" i="15"/>
  <c r="E106" i="15"/>
  <c r="F105" i="15"/>
  <c r="E105" i="15"/>
  <c r="F104" i="15"/>
  <c r="E104" i="15"/>
  <c r="D100" i="15"/>
  <c r="E100" i="15"/>
  <c r="F100" i="15" s="1"/>
  <c r="C100" i="15"/>
  <c r="F99" i="15"/>
  <c r="E99" i="15"/>
  <c r="F98" i="15"/>
  <c r="E98" i="15"/>
  <c r="E97" i="15"/>
  <c r="F97" i="15" s="1"/>
  <c r="F96" i="15"/>
  <c r="E96" i="15"/>
  <c r="E95" i="15"/>
  <c r="F95" i="15" s="1"/>
  <c r="D92" i="15"/>
  <c r="E92" i="15" s="1"/>
  <c r="C92" i="15"/>
  <c r="F91" i="15"/>
  <c r="E91" i="15"/>
  <c r="E90" i="15"/>
  <c r="F90" i="15" s="1"/>
  <c r="F89" i="15"/>
  <c r="E89" i="15"/>
  <c r="F88" i="15"/>
  <c r="E88" i="15"/>
  <c r="F87" i="15"/>
  <c r="E87" i="15"/>
  <c r="E86" i="15"/>
  <c r="F86" i="15" s="1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E73" i="15"/>
  <c r="D70" i="15"/>
  <c r="E70" i="15"/>
  <c r="F70" i="15" s="1"/>
  <c r="C70" i="15"/>
  <c r="E69" i="15"/>
  <c r="F69" i="15" s="1"/>
  <c r="F68" i="15"/>
  <c r="E68" i="15"/>
  <c r="D65" i="15"/>
  <c r="E65" i="15" s="1"/>
  <c r="F65" i="15" s="1"/>
  <c r="C65" i="15"/>
  <c r="E64" i="15"/>
  <c r="F64" i="15" s="1"/>
  <c r="F63" i="15"/>
  <c r="E63" i="15"/>
  <c r="D60" i="15"/>
  <c r="C60" i="15"/>
  <c r="F59" i="15"/>
  <c r="E59" i="15"/>
  <c r="E58" i="15"/>
  <c r="D55" i="15"/>
  <c r="E55" i="15"/>
  <c r="F55" i="15" s="1"/>
  <c r="C55" i="15"/>
  <c r="E54" i="15"/>
  <c r="F54" i="15" s="1"/>
  <c r="F53" i="15"/>
  <c r="E53" i="15"/>
  <c r="D50" i="15"/>
  <c r="E50" i="15" s="1"/>
  <c r="F50" i="15" s="1"/>
  <c r="C50" i="15"/>
  <c r="E49" i="15"/>
  <c r="F49" i="15" s="1"/>
  <c r="F48" i="15"/>
  <c r="E48" i="15"/>
  <c r="D45" i="15"/>
  <c r="E45" i="15" s="1"/>
  <c r="F45" i="15" s="1"/>
  <c r="C45" i="15"/>
  <c r="E44" i="15"/>
  <c r="F44" i="15" s="1"/>
  <c r="F43" i="15"/>
  <c r="E43" i="15"/>
  <c r="D37" i="15"/>
  <c r="E37" i="15"/>
  <c r="F37" i="15" s="1"/>
  <c r="C37" i="15"/>
  <c r="F36" i="15"/>
  <c r="E36" i="15"/>
  <c r="F35" i="15"/>
  <c r="E35" i="15"/>
  <c r="E34" i="15"/>
  <c r="F34" i="15" s="1"/>
  <c r="F33" i="15"/>
  <c r="E33" i="15"/>
  <c r="D30" i="15"/>
  <c r="E30" i="15" s="1"/>
  <c r="C30" i="15"/>
  <c r="F30" i="15" s="1"/>
  <c r="F29" i="15"/>
  <c r="E29" i="15"/>
  <c r="F28" i="15"/>
  <c r="E28" i="15"/>
  <c r="F27" i="15"/>
  <c r="E27" i="15"/>
  <c r="F26" i="15"/>
  <c r="E26" i="15"/>
  <c r="D23" i="15"/>
  <c r="E23" i="15"/>
  <c r="F23" i="15" s="1"/>
  <c r="C23" i="15"/>
  <c r="F22" i="15"/>
  <c r="E22" i="15"/>
  <c r="F21" i="15"/>
  <c r="E21" i="15"/>
  <c r="E20" i="15"/>
  <c r="F20" i="15" s="1"/>
  <c r="F19" i="15"/>
  <c r="E19" i="15"/>
  <c r="D16" i="15"/>
  <c r="E16" i="15"/>
  <c r="F16" i="15" s="1"/>
  <c r="C16" i="15"/>
  <c r="F15" i="15"/>
  <c r="E15" i="15"/>
  <c r="F14" i="15"/>
  <c r="E14" i="15"/>
  <c r="E13" i="15"/>
  <c r="F13" i="15" s="1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 s="1"/>
  <c r="F17" i="14"/>
  <c r="F33" i="14"/>
  <c r="E17" i="14"/>
  <c r="E31" i="14" s="1"/>
  <c r="D17" i="14"/>
  <c r="D33" i="14"/>
  <c r="D36" i="14" s="1"/>
  <c r="D38" i="14" s="1"/>
  <c r="D40" i="14" s="1"/>
  <c r="C17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 s="1"/>
  <c r="E77" i="13" s="1"/>
  <c r="D78" i="13"/>
  <c r="D80" i="13"/>
  <c r="D77" i="13" s="1"/>
  <c r="C78" i="13"/>
  <c r="C80" i="13"/>
  <c r="C77" i="13" s="1"/>
  <c r="C75" i="13"/>
  <c r="E73" i="13"/>
  <c r="E75" i="13" s="1"/>
  <c r="D73" i="13"/>
  <c r="D75" i="13" s="1"/>
  <c r="C73" i="13"/>
  <c r="E71" i="13"/>
  <c r="D71" i="13"/>
  <c r="C71" i="13"/>
  <c r="E66" i="13"/>
  <c r="E65" i="13" s="1"/>
  <c r="D66" i="13"/>
  <c r="D65" i="13" s="1"/>
  <c r="C66" i="13"/>
  <c r="C65" i="13"/>
  <c r="E60" i="13"/>
  <c r="D60" i="13"/>
  <c r="C60" i="13"/>
  <c r="E58" i="13"/>
  <c r="E57" i="13" s="1"/>
  <c r="D58" i="13"/>
  <c r="C58" i="13"/>
  <c r="E55" i="13"/>
  <c r="D55" i="13"/>
  <c r="D50" i="13" s="1"/>
  <c r="C55" i="13"/>
  <c r="E54" i="13"/>
  <c r="D54" i="13"/>
  <c r="C54" i="13"/>
  <c r="C50" i="13" s="1"/>
  <c r="E50" i="13"/>
  <c r="D48" i="13"/>
  <c r="D42" i="13" s="1"/>
  <c r="E46" i="13"/>
  <c r="E59" i="13"/>
  <c r="E61" i="13" s="1"/>
  <c r="D46" i="13"/>
  <c r="D59" i="13" s="1"/>
  <c r="D61" i="13" s="1"/>
  <c r="D57" i="13" s="1"/>
  <c r="C46" i="13"/>
  <c r="C59" i="13"/>
  <c r="C61" i="13"/>
  <c r="C57" i="13"/>
  <c r="E45" i="13"/>
  <c r="D45" i="13"/>
  <c r="C45" i="13"/>
  <c r="E38" i="13"/>
  <c r="D38" i="13"/>
  <c r="C38" i="13"/>
  <c r="E33" i="13"/>
  <c r="E34" i="13"/>
  <c r="D33" i="13"/>
  <c r="D34" i="13" s="1"/>
  <c r="E26" i="13"/>
  <c r="D26" i="13"/>
  <c r="C26" i="13"/>
  <c r="E13" i="13"/>
  <c r="E25" i="13" s="1"/>
  <c r="E27" i="13" s="1"/>
  <c r="D13" i="13"/>
  <c r="C13" i="13"/>
  <c r="C25" i="13"/>
  <c r="C27" i="13"/>
  <c r="D47" i="12"/>
  <c r="E47" i="12" s="1"/>
  <c r="F47" i="12"/>
  <c r="C47" i="12"/>
  <c r="E46" i="12"/>
  <c r="F46" i="12" s="1"/>
  <c r="F45" i="12"/>
  <c r="E45" i="12"/>
  <c r="D40" i="12"/>
  <c r="E40" i="12" s="1"/>
  <c r="F40" i="12"/>
  <c r="C40" i="12"/>
  <c r="E39" i="12"/>
  <c r="F39" i="12" s="1"/>
  <c r="F38" i="12"/>
  <c r="E38" i="12"/>
  <c r="E37" i="12"/>
  <c r="F37" i="12" s="1"/>
  <c r="D32" i="12"/>
  <c r="C32" i="12"/>
  <c r="F31" i="12"/>
  <c r="E31" i="12"/>
  <c r="E30" i="12"/>
  <c r="F30" i="12" s="1"/>
  <c r="F29" i="12"/>
  <c r="E29" i="12"/>
  <c r="F28" i="12"/>
  <c r="E28" i="12"/>
  <c r="E27" i="12"/>
  <c r="F27" i="12" s="1"/>
  <c r="E26" i="12"/>
  <c r="F26" i="12" s="1"/>
  <c r="F25" i="12"/>
  <c r="E25" i="12"/>
  <c r="E24" i="12"/>
  <c r="F24" i="12" s="1"/>
  <c r="F23" i="12"/>
  <c r="E23" i="12"/>
  <c r="E19" i="12"/>
  <c r="F19" i="12" s="1"/>
  <c r="F18" i="12"/>
  <c r="E18" i="12"/>
  <c r="E16" i="12"/>
  <c r="F16" i="12" s="1"/>
  <c r="D15" i="12"/>
  <c r="D17" i="12"/>
  <c r="C15" i="12"/>
  <c r="C17" i="12" s="1"/>
  <c r="F14" i="12"/>
  <c r="E14" i="12"/>
  <c r="E13" i="12"/>
  <c r="F13" i="12" s="1"/>
  <c r="E12" i="12"/>
  <c r="F12" i="12" s="1"/>
  <c r="F11" i="12"/>
  <c r="E11" i="12"/>
  <c r="D73" i="11"/>
  <c r="E73" i="11" s="1"/>
  <c r="C73" i="11"/>
  <c r="F73" i="11"/>
  <c r="F72" i="11"/>
  <c r="E72" i="11"/>
  <c r="E71" i="11"/>
  <c r="F71" i="11" s="1"/>
  <c r="F70" i="11"/>
  <c r="E70" i="11"/>
  <c r="F67" i="11"/>
  <c r="E67" i="11"/>
  <c r="E64" i="11"/>
  <c r="F64" i="11" s="1"/>
  <c r="E63" i="11"/>
  <c r="F63" i="11" s="1"/>
  <c r="D61" i="11"/>
  <c r="D65" i="11" s="1"/>
  <c r="C61" i="11"/>
  <c r="C65" i="11"/>
  <c r="F60" i="11"/>
  <c r="E60" i="11"/>
  <c r="E59" i="11"/>
  <c r="F59" i="11" s="1"/>
  <c r="D56" i="11"/>
  <c r="C56" i="11"/>
  <c r="E55" i="11"/>
  <c r="F55" i="11" s="1"/>
  <c r="F54" i="11"/>
  <c r="E54" i="11"/>
  <c r="F53" i="11"/>
  <c r="E53" i="11"/>
  <c r="F52" i="11"/>
  <c r="E52" i="11"/>
  <c r="F51" i="11"/>
  <c r="E51" i="11"/>
  <c r="E50" i="11"/>
  <c r="F50" i="11" s="1"/>
  <c r="A50" i="11"/>
  <c r="A51" i="11" s="1"/>
  <c r="A52" i="11" s="1"/>
  <c r="A53" i="11"/>
  <c r="A54" i="11"/>
  <c r="A55" i="11" s="1"/>
  <c r="E49" i="11"/>
  <c r="F49" i="11" s="1"/>
  <c r="F40" i="11"/>
  <c r="E40" i="11"/>
  <c r="D38" i="11"/>
  <c r="D41" i="11"/>
  <c r="C38" i="11"/>
  <c r="C41" i="11" s="1"/>
  <c r="F37" i="11"/>
  <c r="E37" i="11"/>
  <c r="E36" i="11"/>
  <c r="F36" i="11" s="1"/>
  <c r="E33" i="11"/>
  <c r="F33" i="11" s="1"/>
  <c r="F32" i="11"/>
  <c r="E32" i="11"/>
  <c r="F31" i="11"/>
  <c r="E31" i="11"/>
  <c r="D29" i="11"/>
  <c r="E29" i="11"/>
  <c r="C29" i="11"/>
  <c r="F29" i="11" s="1"/>
  <c r="E28" i="11"/>
  <c r="F28" i="11"/>
  <c r="F27" i="11"/>
  <c r="E27" i="11"/>
  <c r="E26" i="11"/>
  <c r="F26" i="11" s="1"/>
  <c r="E25" i="11"/>
  <c r="F25" i="11" s="1"/>
  <c r="D22" i="11"/>
  <c r="D43" i="11"/>
  <c r="C22" i="11"/>
  <c r="E21" i="11"/>
  <c r="F21" i="11" s="1"/>
  <c r="F20" i="11"/>
  <c r="E20" i="11"/>
  <c r="E19" i="11"/>
  <c r="F19" i="11" s="1"/>
  <c r="F18" i="11"/>
  <c r="E18" i="11"/>
  <c r="F17" i="11"/>
  <c r="E17" i="11"/>
  <c r="F16" i="11"/>
  <c r="E16" i="11"/>
  <c r="E15" i="11"/>
  <c r="F15" i="11" s="1"/>
  <c r="F14" i="11"/>
  <c r="E14" i="11"/>
  <c r="E13" i="11"/>
  <c r="F13" i="11" s="1"/>
  <c r="D120" i="10"/>
  <c r="C120" i="10"/>
  <c r="F120" i="10" s="1"/>
  <c r="F119" i="10"/>
  <c r="D119" i="10"/>
  <c r="E119" i="10" s="1"/>
  <c r="C119" i="10"/>
  <c r="F118" i="10"/>
  <c r="D118" i="10"/>
  <c r="C118" i="10"/>
  <c r="F117" i="10"/>
  <c r="D117" i="10"/>
  <c r="E117" i="10" s="1"/>
  <c r="C117" i="10"/>
  <c r="D116" i="10"/>
  <c r="C116" i="10"/>
  <c r="F116" i="10" s="1"/>
  <c r="F115" i="10"/>
  <c r="D115" i="10"/>
  <c r="E115" i="10" s="1"/>
  <c r="C115" i="10"/>
  <c r="F114" i="10"/>
  <c r="D114" i="10"/>
  <c r="E114" i="10" s="1"/>
  <c r="C114" i="10"/>
  <c r="F113" i="10"/>
  <c r="D113" i="10"/>
  <c r="D122" i="10" s="1"/>
  <c r="E122" i="10" s="1"/>
  <c r="C113" i="10"/>
  <c r="C122" i="10" s="1"/>
  <c r="F122" i="10" s="1"/>
  <c r="F112" i="10"/>
  <c r="D112" i="10"/>
  <c r="D121" i="10"/>
  <c r="C112" i="10"/>
  <c r="C121" i="10" s="1"/>
  <c r="F121" i="10" s="1"/>
  <c r="D108" i="10"/>
  <c r="E108" i="10"/>
  <c r="C108" i="10"/>
  <c r="F108" i="10" s="1"/>
  <c r="D107" i="10"/>
  <c r="C107" i="10"/>
  <c r="F107" i="10" s="1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 s="1"/>
  <c r="C96" i="10"/>
  <c r="D95" i="10"/>
  <c r="E95" i="10" s="1"/>
  <c r="C95" i="10"/>
  <c r="F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C84" i="10"/>
  <c r="E84" i="10" s="1"/>
  <c r="D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E72" i="10" s="1"/>
  <c r="C72" i="10"/>
  <c r="F72" i="10" s="1"/>
  <c r="F71" i="10"/>
  <c r="D71" i="10"/>
  <c r="E71" i="10" s="1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E60" i="10"/>
  <c r="C60" i="10"/>
  <c r="F60" i="10" s="1"/>
  <c r="D59" i="10"/>
  <c r="C59" i="10"/>
  <c r="F59" i="10" s="1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 s="1"/>
  <c r="C48" i="10"/>
  <c r="D47" i="10"/>
  <c r="E47" i="10" s="1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C36" i="10"/>
  <c r="E36" i="10" s="1"/>
  <c r="D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E24" i="10" s="1"/>
  <c r="C24" i="10"/>
  <c r="F24" i="10" s="1"/>
  <c r="F23" i="10"/>
  <c r="D23" i="10"/>
  <c r="E23" i="10" s="1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 s="1"/>
  <c r="C206" i="9"/>
  <c r="D205" i="9"/>
  <c r="E205" i="9"/>
  <c r="C205" i="9"/>
  <c r="D204" i="9"/>
  <c r="E204" i="9"/>
  <c r="F204" i="9" s="1"/>
  <c r="C204" i="9"/>
  <c r="D203" i="9"/>
  <c r="E203" i="9"/>
  <c r="C203" i="9"/>
  <c r="D202" i="9"/>
  <c r="E202" i="9" s="1"/>
  <c r="C202" i="9"/>
  <c r="D201" i="9"/>
  <c r="E201" i="9" s="1"/>
  <c r="F201" i="9"/>
  <c r="C201" i="9"/>
  <c r="D200" i="9"/>
  <c r="E200" i="9" s="1"/>
  <c r="C200" i="9"/>
  <c r="D199" i="9"/>
  <c r="D208" i="9" s="1"/>
  <c r="C199" i="9"/>
  <c r="C208" i="9"/>
  <c r="E208" i="9" s="1"/>
  <c r="D198" i="9"/>
  <c r="C198" i="9"/>
  <c r="C207" i="9" s="1"/>
  <c r="F193" i="9"/>
  <c r="D193" i="9"/>
  <c r="E193" i="9"/>
  <c r="C193" i="9"/>
  <c r="D192" i="9"/>
  <c r="E192" i="9" s="1"/>
  <c r="C192" i="9"/>
  <c r="F192" i="9" s="1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C180" i="9"/>
  <c r="D179" i="9"/>
  <c r="E179" i="9"/>
  <c r="C179" i="9"/>
  <c r="F179" i="9" s="1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E167" i="9" s="1"/>
  <c r="C167" i="9"/>
  <c r="F167" i="9" s="1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F154" i="9" s="1"/>
  <c r="D153" i="9"/>
  <c r="C153" i="9"/>
  <c r="F153" i="9" s="1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1" i="9"/>
  <c r="D141" i="9"/>
  <c r="E141" i="9"/>
  <c r="C141" i="9"/>
  <c r="D140" i="9"/>
  <c r="E140" i="9" s="1"/>
  <c r="C140" i="9"/>
  <c r="F140" i="9" s="1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 s="1"/>
  <c r="C128" i="9"/>
  <c r="D127" i="9"/>
  <c r="C127" i="9"/>
  <c r="F126" i="9"/>
  <c r="E126" i="9"/>
  <c r="E125" i="9"/>
  <c r="F125" i="9" s="1"/>
  <c r="F124" i="9"/>
  <c r="E124" i="9"/>
  <c r="F123" i="9"/>
  <c r="E123" i="9"/>
  <c r="F122" i="9"/>
  <c r="E122" i="9"/>
  <c r="E121" i="9"/>
  <c r="F121" i="9" s="1"/>
  <c r="F120" i="9"/>
  <c r="E120" i="9"/>
  <c r="E119" i="9"/>
  <c r="F119" i="9" s="1"/>
  <c r="F118" i="9"/>
  <c r="E118" i="9"/>
  <c r="D115" i="9"/>
  <c r="E115" i="9"/>
  <c r="F115" i="9" s="1"/>
  <c r="C115" i="9"/>
  <c r="D114" i="9"/>
  <c r="E114" i="9" s="1"/>
  <c r="F114" i="9" s="1"/>
  <c r="C114" i="9"/>
  <c r="E113" i="9"/>
  <c r="F113" i="9" s="1"/>
  <c r="F112" i="9"/>
  <c r="E112" i="9"/>
  <c r="F111" i="9"/>
  <c r="E111" i="9"/>
  <c r="F110" i="9"/>
  <c r="E110" i="9"/>
  <c r="E109" i="9"/>
  <c r="F109" i="9" s="1"/>
  <c r="F108" i="9"/>
  <c r="E108" i="9"/>
  <c r="E107" i="9"/>
  <c r="F107" i="9" s="1"/>
  <c r="F106" i="9"/>
  <c r="E106" i="9"/>
  <c r="E105" i="9"/>
  <c r="F105" i="9" s="1"/>
  <c r="D102" i="9"/>
  <c r="C102" i="9"/>
  <c r="D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E89" i="9" s="1"/>
  <c r="C89" i="9"/>
  <c r="F88" i="9"/>
  <c r="D88" i="9"/>
  <c r="E88" i="9" s="1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 s="1"/>
  <c r="C76" i="9"/>
  <c r="D75" i="9"/>
  <c r="C75" i="9"/>
  <c r="F74" i="9"/>
  <c r="E74" i="9"/>
  <c r="E73" i="9"/>
  <c r="F73" i="9" s="1"/>
  <c r="F72" i="9"/>
  <c r="E72" i="9"/>
  <c r="E71" i="9"/>
  <c r="F71" i="9" s="1"/>
  <c r="F70" i="9"/>
  <c r="E70" i="9"/>
  <c r="E69" i="9"/>
  <c r="F69" i="9" s="1"/>
  <c r="F68" i="9"/>
  <c r="E68" i="9"/>
  <c r="F67" i="9"/>
  <c r="E67" i="9"/>
  <c r="F66" i="9"/>
  <c r="E66" i="9"/>
  <c r="D63" i="9"/>
  <c r="E63" i="9" s="1"/>
  <c r="C63" i="9"/>
  <c r="F63" i="9" s="1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 s="1"/>
  <c r="F50" i="9"/>
  <c r="C50" i="9"/>
  <c r="D49" i="9"/>
  <c r="C49" i="9"/>
  <c r="E48" i="9"/>
  <c r="F48" i="9" s="1"/>
  <c r="F47" i="9"/>
  <c r="E47" i="9"/>
  <c r="F46" i="9"/>
  <c r="E46" i="9"/>
  <c r="E45" i="9"/>
  <c r="F45" i="9" s="1"/>
  <c r="F44" i="9"/>
  <c r="E44" i="9"/>
  <c r="E43" i="9"/>
  <c r="F43" i="9" s="1"/>
  <c r="F42" i="9"/>
  <c r="E42" i="9"/>
  <c r="E41" i="9"/>
  <c r="F41" i="9" s="1"/>
  <c r="F40" i="9"/>
  <c r="E40" i="9"/>
  <c r="F37" i="9"/>
  <c r="D37" i="9"/>
  <c r="E37" i="9"/>
  <c r="C37" i="9"/>
  <c r="D36" i="9"/>
  <c r="E36" i="9" s="1"/>
  <c r="C36" i="9"/>
  <c r="F36" i="9" s="1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 s="1"/>
  <c r="C24" i="9"/>
  <c r="D23" i="9"/>
  <c r="E23" i="9" s="1"/>
  <c r="F23" i="9"/>
  <c r="C23" i="9"/>
  <c r="F22" i="9"/>
  <c r="E22" i="9"/>
  <c r="E21" i="9"/>
  <c r="F21" i="9" s="1"/>
  <c r="E20" i="9"/>
  <c r="F20" i="9" s="1"/>
  <c r="F19" i="9"/>
  <c r="E19" i="9"/>
  <c r="F18" i="9"/>
  <c r="E18" i="9"/>
  <c r="F17" i="9"/>
  <c r="E17" i="9"/>
  <c r="E16" i="9"/>
  <c r="F16" i="9" s="1"/>
  <c r="F15" i="9"/>
  <c r="E15" i="9"/>
  <c r="F14" i="9"/>
  <c r="E14" i="9"/>
  <c r="E191" i="8"/>
  <c r="D191" i="8"/>
  <c r="C191" i="8"/>
  <c r="E176" i="8"/>
  <c r="D176" i="8"/>
  <c r="C176" i="8"/>
  <c r="E164" i="8"/>
  <c r="D164" i="8"/>
  <c r="D160" i="8"/>
  <c r="C164" i="8"/>
  <c r="E162" i="8"/>
  <c r="D162" i="8"/>
  <c r="D166" i="8" s="1"/>
  <c r="D152" i="8" s="1"/>
  <c r="C162" i="8"/>
  <c r="E161" i="8"/>
  <c r="D161" i="8"/>
  <c r="C161" i="8"/>
  <c r="C166" i="8" s="1"/>
  <c r="E160" i="8"/>
  <c r="E166" i="8" s="1"/>
  <c r="E155" i="8" s="1"/>
  <c r="C160" i="8"/>
  <c r="E147" i="8"/>
  <c r="D147" i="8"/>
  <c r="D143" i="8" s="1"/>
  <c r="C147" i="8"/>
  <c r="C143" i="8" s="1"/>
  <c r="C149" i="8" s="1"/>
  <c r="E145" i="8"/>
  <c r="D145" i="8"/>
  <c r="D149" i="8" s="1"/>
  <c r="C145" i="8"/>
  <c r="E144" i="8"/>
  <c r="D144" i="8"/>
  <c r="C144" i="8"/>
  <c r="E143" i="8"/>
  <c r="E149" i="8"/>
  <c r="E140" i="8" s="1"/>
  <c r="E126" i="8"/>
  <c r="D126" i="8"/>
  <c r="C126" i="8"/>
  <c r="E119" i="8"/>
  <c r="D119" i="8"/>
  <c r="C119" i="8"/>
  <c r="E108" i="8"/>
  <c r="D108" i="8"/>
  <c r="C108" i="8"/>
  <c r="E107" i="8"/>
  <c r="E109" i="8"/>
  <c r="E106" i="8" s="1"/>
  <c r="D107" i="8"/>
  <c r="D109" i="8" s="1"/>
  <c r="D106" i="8" s="1"/>
  <c r="C107" i="8"/>
  <c r="C109" i="8" s="1"/>
  <c r="C106" i="8" s="1"/>
  <c r="E102" i="8"/>
  <c r="E104" i="8"/>
  <c r="D102" i="8"/>
  <c r="D104" i="8" s="1"/>
  <c r="C102" i="8"/>
  <c r="C104" i="8"/>
  <c r="E100" i="8"/>
  <c r="D100" i="8"/>
  <c r="C100" i="8"/>
  <c r="E95" i="8"/>
  <c r="D95" i="8"/>
  <c r="D94" i="8" s="1"/>
  <c r="C95" i="8"/>
  <c r="E94" i="8"/>
  <c r="C94" i="8"/>
  <c r="E89" i="8"/>
  <c r="D89" i="8"/>
  <c r="C89" i="8"/>
  <c r="D88" i="8"/>
  <c r="D90" i="8" s="1"/>
  <c r="D86" i="8" s="1"/>
  <c r="E87" i="8"/>
  <c r="D87" i="8"/>
  <c r="C87" i="8"/>
  <c r="E84" i="8"/>
  <c r="E79" i="8" s="1"/>
  <c r="D84" i="8"/>
  <c r="C84" i="8"/>
  <c r="C79" i="8" s="1"/>
  <c r="E83" i="8"/>
  <c r="D83" i="8"/>
  <c r="D79" i="8"/>
  <c r="C83" i="8"/>
  <c r="E75" i="8"/>
  <c r="E88" i="8" s="1"/>
  <c r="E90" i="8"/>
  <c r="E86" i="8"/>
  <c r="D75" i="8"/>
  <c r="D77" i="8" s="1"/>
  <c r="D71" i="8" s="1"/>
  <c r="C75" i="8"/>
  <c r="C88" i="8" s="1"/>
  <c r="C90" i="8"/>
  <c r="C86" i="8"/>
  <c r="E74" i="8"/>
  <c r="D74" i="8"/>
  <c r="C74" i="8"/>
  <c r="E67" i="8"/>
  <c r="D67" i="8"/>
  <c r="C67" i="8"/>
  <c r="C53" i="8"/>
  <c r="E38" i="8"/>
  <c r="D38" i="8"/>
  <c r="D53" i="8"/>
  <c r="C38" i="8"/>
  <c r="E33" i="8"/>
  <c r="E34" i="8" s="1"/>
  <c r="D33" i="8"/>
  <c r="D34" i="8" s="1"/>
  <c r="E26" i="8"/>
  <c r="D26" i="8"/>
  <c r="D27" i="8" s="1"/>
  <c r="C26" i="8"/>
  <c r="D25" i="8"/>
  <c r="D15" i="8"/>
  <c r="D24" i="8"/>
  <c r="E13" i="8"/>
  <c r="E25" i="8"/>
  <c r="E27" i="8"/>
  <c r="D13" i="8"/>
  <c r="C13" i="8"/>
  <c r="C25" i="8"/>
  <c r="C27" i="8" s="1"/>
  <c r="C21" i="8" s="1"/>
  <c r="F186" i="7"/>
  <c r="E186" i="7"/>
  <c r="D183" i="7"/>
  <c r="D188" i="7" s="1"/>
  <c r="C183" i="7"/>
  <c r="E182" i="7"/>
  <c r="F182" i="7" s="1"/>
  <c r="E181" i="7"/>
  <c r="F181" i="7" s="1"/>
  <c r="F180" i="7"/>
  <c r="E180" i="7"/>
  <c r="F179" i="7"/>
  <c r="E179" i="7"/>
  <c r="E178" i="7"/>
  <c r="F178" i="7" s="1"/>
  <c r="F177" i="7"/>
  <c r="E177" i="7"/>
  <c r="F176" i="7"/>
  <c r="E176" i="7"/>
  <c r="F175" i="7"/>
  <c r="E175" i="7"/>
  <c r="F174" i="7"/>
  <c r="E174" i="7"/>
  <c r="E173" i="7"/>
  <c r="F173" i="7" s="1"/>
  <c r="F172" i="7"/>
  <c r="E172" i="7"/>
  <c r="F171" i="7"/>
  <c r="E171" i="7"/>
  <c r="E170" i="7"/>
  <c r="F170" i="7" s="1"/>
  <c r="D167" i="7"/>
  <c r="C167" i="7"/>
  <c r="F166" i="7"/>
  <c r="E166" i="7"/>
  <c r="F165" i="7"/>
  <c r="E165" i="7"/>
  <c r="E164" i="7"/>
  <c r="F164" i="7" s="1"/>
  <c r="F163" i="7"/>
  <c r="E163" i="7"/>
  <c r="F162" i="7"/>
  <c r="E162" i="7"/>
  <c r="F161" i="7"/>
  <c r="E161" i="7"/>
  <c r="E160" i="7"/>
  <c r="F160" i="7" s="1"/>
  <c r="F159" i="7"/>
  <c r="E159" i="7"/>
  <c r="F158" i="7"/>
  <c r="E158" i="7"/>
  <c r="F157" i="7"/>
  <c r="E157" i="7"/>
  <c r="E156" i="7"/>
  <c r="F156" i="7" s="1"/>
  <c r="E155" i="7"/>
  <c r="F155" i="7" s="1"/>
  <c r="F154" i="7"/>
  <c r="E154" i="7"/>
  <c r="F153" i="7"/>
  <c r="E153" i="7"/>
  <c r="F152" i="7"/>
  <c r="E152" i="7"/>
  <c r="E151" i="7"/>
  <c r="F151" i="7" s="1"/>
  <c r="F150" i="7"/>
  <c r="E150" i="7"/>
  <c r="F149" i="7"/>
  <c r="E149" i="7"/>
  <c r="F148" i="7"/>
  <c r="E148" i="7"/>
  <c r="F147" i="7"/>
  <c r="E147" i="7"/>
  <c r="F146" i="7"/>
  <c r="E146" i="7"/>
  <c r="F145" i="7"/>
  <c r="E145" i="7"/>
  <c r="E144" i="7"/>
  <c r="F144" i="7" s="1"/>
  <c r="F143" i="7"/>
  <c r="E143" i="7"/>
  <c r="F142" i="7"/>
  <c r="E142" i="7"/>
  <c r="E141" i="7"/>
  <c r="F141" i="7" s="1"/>
  <c r="E140" i="7"/>
  <c r="F140" i="7" s="1"/>
  <c r="E139" i="7"/>
  <c r="F139" i="7" s="1"/>
  <c r="F138" i="7"/>
  <c r="E138" i="7"/>
  <c r="E137" i="7"/>
  <c r="F137" i="7" s="1"/>
  <c r="E136" i="7"/>
  <c r="F136" i="7" s="1"/>
  <c r="E135" i="7"/>
  <c r="F135" i="7" s="1"/>
  <c r="F134" i="7"/>
  <c r="E134" i="7"/>
  <c r="F133" i="7"/>
  <c r="E133" i="7"/>
  <c r="D130" i="7"/>
  <c r="C130" i="7"/>
  <c r="F129" i="7"/>
  <c r="E129" i="7"/>
  <c r="E128" i="7"/>
  <c r="F128" i="7" s="1"/>
  <c r="E127" i="7"/>
  <c r="F127" i="7" s="1"/>
  <c r="E126" i="7"/>
  <c r="F126" i="7" s="1"/>
  <c r="F125" i="7"/>
  <c r="E125" i="7"/>
  <c r="F124" i="7"/>
  <c r="E124" i="7"/>
  <c r="D121" i="7"/>
  <c r="C121" i="7"/>
  <c r="F120" i="7"/>
  <c r="E120" i="7"/>
  <c r="E119" i="7"/>
  <c r="F119" i="7" s="1"/>
  <c r="E118" i="7"/>
  <c r="F118" i="7" s="1"/>
  <c r="E117" i="7"/>
  <c r="F117" i="7" s="1"/>
  <c r="F116" i="7"/>
  <c r="E116" i="7"/>
  <c r="F115" i="7"/>
  <c r="E115" i="7"/>
  <c r="F114" i="7"/>
  <c r="E114" i="7"/>
  <c r="E113" i="7"/>
  <c r="F113" i="7" s="1"/>
  <c r="F112" i="7"/>
  <c r="E112" i="7"/>
  <c r="E111" i="7"/>
  <c r="F111" i="7" s="1"/>
  <c r="F110" i="7"/>
  <c r="E110" i="7"/>
  <c r="E109" i="7"/>
  <c r="F109" i="7" s="1"/>
  <c r="F108" i="7"/>
  <c r="E108" i="7"/>
  <c r="E107" i="7"/>
  <c r="F107" i="7" s="1"/>
  <c r="E106" i="7"/>
  <c r="F106" i="7" s="1"/>
  <c r="E105" i="7"/>
  <c r="F105" i="7" s="1"/>
  <c r="F104" i="7"/>
  <c r="E104" i="7"/>
  <c r="E103" i="7"/>
  <c r="F103" i="7" s="1"/>
  <c r="E93" i="7"/>
  <c r="F93" i="7" s="1"/>
  <c r="D90" i="7"/>
  <c r="C90" i="7"/>
  <c r="F89" i="7"/>
  <c r="E89" i="7"/>
  <c r="F88" i="7"/>
  <c r="E88" i="7"/>
  <c r="F87" i="7"/>
  <c r="E87" i="7"/>
  <c r="E86" i="7"/>
  <c r="F86" i="7" s="1"/>
  <c r="F85" i="7"/>
  <c r="E85" i="7"/>
  <c r="F84" i="7"/>
  <c r="E84" i="7"/>
  <c r="E83" i="7"/>
  <c r="F83" i="7" s="1"/>
  <c r="E82" i="7"/>
  <c r="F82" i="7" s="1"/>
  <c r="F81" i="7"/>
  <c r="E81" i="7"/>
  <c r="F80" i="7"/>
  <c r="E80" i="7"/>
  <c r="F79" i="7"/>
  <c r="E79" i="7"/>
  <c r="E78" i="7"/>
  <c r="F78" i="7" s="1"/>
  <c r="F77" i="7"/>
  <c r="E77" i="7"/>
  <c r="F76" i="7"/>
  <c r="E76" i="7"/>
  <c r="F75" i="7"/>
  <c r="E75" i="7"/>
  <c r="E74" i="7"/>
  <c r="F74" i="7" s="1"/>
  <c r="F73" i="7"/>
  <c r="E73" i="7"/>
  <c r="F72" i="7"/>
  <c r="E72" i="7"/>
  <c r="E71" i="7"/>
  <c r="F71" i="7" s="1"/>
  <c r="E70" i="7"/>
  <c r="F70" i="7" s="1"/>
  <c r="F69" i="7"/>
  <c r="E69" i="7"/>
  <c r="F68" i="7"/>
  <c r="E68" i="7"/>
  <c r="F67" i="7"/>
  <c r="E67" i="7"/>
  <c r="E66" i="7"/>
  <c r="F66" i="7" s="1"/>
  <c r="F65" i="7"/>
  <c r="E65" i="7"/>
  <c r="F64" i="7"/>
  <c r="E64" i="7"/>
  <c r="E63" i="7"/>
  <c r="F63" i="7" s="1"/>
  <c r="E62" i="7"/>
  <c r="F62" i="7" s="1"/>
  <c r="D59" i="7"/>
  <c r="E59" i="7" s="1"/>
  <c r="F59" i="7" s="1"/>
  <c r="C59" i="7"/>
  <c r="F58" i="7"/>
  <c r="E58" i="7"/>
  <c r="E57" i="7"/>
  <c r="F57" i="7" s="1"/>
  <c r="F56" i="7"/>
  <c r="E56" i="7"/>
  <c r="F55" i="7"/>
  <c r="E55" i="7"/>
  <c r="E54" i="7"/>
  <c r="F54" i="7" s="1"/>
  <c r="E53" i="7"/>
  <c r="F53" i="7" s="1"/>
  <c r="F50" i="7"/>
  <c r="E50" i="7"/>
  <c r="F47" i="7"/>
  <c r="E47" i="7"/>
  <c r="F44" i="7"/>
  <c r="E44" i="7"/>
  <c r="D41" i="7"/>
  <c r="E41" i="7"/>
  <c r="F41" i="7" s="1"/>
  <c r="C41" i="7"/>
  <c r="F40" i="7"/>
  <c r="E40" i="7"/>
  <c r="F39" i="7"/>
  <c r="E39" i="7"/>
  <c r="E38" i="7"/>
  <c r="F38" i="7" s="1"/>
  <c r="D35" i="7"/>
  <c r="E35" i="7" s="1"/>
  <c r="F35" i="7" s="1"/>
  <c r="C35" i="7"/>
  <c r="E34" i="7"/>
  <c r="F34" i="7" s="1"/>
  <c r="E33" i="7"/>
  <c r="F33" i="7" s="1"/>
  <c r="D30" i="7"/>
  <c r="E30" i="7" s="1"/>
  <c r="F30" i="7" s="1"/>
  <c r="C30" i="7"/>
  <c r="E29" i="7"/>
  <c r="F29" i="7" s="1"/>
  <c r="E28" i="7"/>
  <c r="F28" i="7" s="1"/>
  <c r="F27" i="7"/>
  <c r="E27" i="7"/>
  <c r="D24" i="7"/>
  <c r="C24" i="7"/>
  <c r="C95" i="7" s="1"/>
  <c r="E23" i="7"/>
  <c r="F23" i="7" s="1"/>
  <c r="F22" i="7"/>
  <c r="E22" i="7"/>
  <c r="F21" i="7"/>
  <c r="E21" i="7"/>
  <c r="D18" i="7"/>
  <c r="C18" i="7"/>
  <c r="E18" i="7" s="1"/>
  <c r="F17" i="7"/>
  <c r="E17" i="7"/>
  <c r="F16" i="7"/>
  <c r="E16" i="7"/>
  <c r="F15" i="7"/>
  <c r="E15" i="7"/>
  <c r="D179" i="6"/>
  <c r="E179" i="6"/>
  <c r="F179" i="6" s="1"/>
  <c r="C179" i="6"/>
  <c r="F178" i="6"/>
  <c r="E178" i="6"/>
  <c r="F177" i="6"/>
  <c r="E177" i="6"/>
  <c r="F176" i="6"/>
  <c r="E176" i="6"/>
  <c r="F175" i="6"/>
  <c r="E175" i="6"/>
  <c r="E174" i="6"/>
  <c r="F174" i="6" s="1"/>
  <c r="E173" i="6"/>
  <c r="F173" i="6" s="1"/>
  <c r="F172" i="6"/>
  <c r="E172" i="6"/>
  <c r="F171" i="6"/>
  <c r="E171" i="6"/>
  <c r="E170" i="6"/>
  <c r="F170" i="6" s="1"/>
  <c r="E169" i="6"/>
  <c r="F169" i="6" s="1"/>
  <c r="F168" i="6"/>
  <c r="E168" i="6"/>
  <c r="D166" i="6"/>
  <c r="E166" i="6"/>
  <c r="C166" i="6"/>
  <c r="F165" i="6"/>
  <c r="E165" i="6"/>
  <c r="F164" i="6"/>
  <c r="E164" i="6"/>
  <c r="E163" i="6"/>
  <c r="F163" i="6" s="1"/>
  <c r="E162" i="6"/>
  <c r="F162" i="6" s="1"/>
  <c r="E161" i="6"/>
  <c r="F161" i="6" s="1"/>
  <c r="F160" i="6"/>
  <c r="E160" i="6"/>
  <c r="F159" i="6"/>
  <c r="E159" i="6"/>
  <c r="F158" i="6"/>
  <c r="E158" i="6"/>
  <c r="E157" i="6"/>
  <c r="F157" i="6" s="1"/>
  <c r="F156" i="6"/>
  <c r="E156" i="6"/>
  <c r="E155" i="6"/>
  <c r="F155" i="6" s="1"/>
  <c r="D153" i="6"/>
  <c r="C153" i="6"/>
  <c r="F152" i="6"/>
  <c r="E152" i="6"/>
  <c r="F151" i="6"/>
  <c r="E151" i="6"/>
  <c r="E150" i="6"/>
  <c r="F150" i="6" s="1"/>
  <c r="E149" i="6"/>
  <c r="F149" i="6" s="1"/>
  <c r="F148" i="6"/>
  <c r="E148" i="6"/>
  <c r="E147" i="6"/>
  <c r="F147" i="6" s="1"/>
  <c r="E146" i="6"/>
  <c r="F146" i="6" s="1"/>
  <c r="F145" i="6"/>
  <c r="E145" i="6"/>
  <c r="F144" i="6"/>
  <c r="E144" i="6"/>
  <c r="E143" i="6"/>
  <c r="F143" i="6" s="1"/>
  <c r="E142" i="6"/>
  <c r="F142" i="6" s="1"/>
  <c r="D137" i="6"/>
  <c r="E137" i="6"/>
  <c r="F137" i="6"/>
  <c r="C137" i="6"/>
  <c r="F136" i="6"/>
  <c r="E136" i="6"/>
  <c r="F135" i="6"/>
  <c r="E135" i="6"/>
  <c r="E134" i="6"/>
  <c r="F134" i="6" s="1"/>
  <c r="F133" i="6"/>
  <c r="E133" i="6"/>
  <c r="E132" i="6"/>
  <c r="F132" i="6" s="1"/>
  <c r="E131" i="6"/>
  <c r="F131" i="6" s="1"/>
  <c r="E130" i="6"/>
  <c r="F130" i="6" s="1"/>
  <c r="F129" i="6"/>
  <c r="E129" i="6"/>
  <c r="E128" i="6"/>
  <c r="F128" i="6" s="1"/>
  <c r="E127" i="6"/>
  <c r="F127" i="6" s="1"/>
  <c r="E126" i="6"/>
  <c r="F126" i="6" s="1"/>
  <c r="D124" i="6"/>
  <c r="C124" i="6"/>
  <c r="F123" i="6"/>
  <c r="E123" i="6"/>
  <c r="F122" i="6"/>
  <c r="E122" i="6"/>
  <c r="F121" i="6"/>
  <c r="E121" i="6"/>
  <c r="E120" i="6"/>
  <c r="F120" i="6" s="1"/>
  <c r="E119" i="6"/>
  <c r="F119" i="6" s="1"/>
  <c r="E118" i="6"/>
  <c r="F118" i="6" s="1"/>
  <c r="F117" i="6"/>
  <c r="E117" i="6"/>
  <c r="F116" i="6"/>
  <c r="E116" i="6"/>
  <c r="E115" i="6"/>
  <c r="F115" i="6" s="1"/>
  <c r="E114" i="6"/>
  <c r="F114" i="6" s="1"/>
  <c r="F113" i="6"/>
  <c r="E113" i="6"/>
  <c r="D111" i="6"/>
  <c r="E111" i="6" s="1"/>
  <c r="C111" i="6"/>
  <c r="F110" i="6"/>
  <c r="E110" i="6"/>
  <c r="F109" i="6"/>
  <c r="E109" i="6"/>
  <c r="E108" i="6"/>
  <c r="F108" i="6" s="1"/>
  <c r="E107" i="6"/>
  <c r="F107" i="6" s="1"/>
  <c r="E106" i="6"/>
  <c r="F106" i="6" s="1"/>
  <c r="F105" i="6"/>
  <c r="E105" i="6"/>
  <c r="F104" i="6"/>
  <c r="E104" i="6"/>
  <c r="F103" i="6"/>
  <c r="E103" i="6"/>
  <c r="E102" i="6"/>
  <c r="F102" i="6" s="1"/>
  <c r="F101" i="6"/>
  <c r="E101" i="6"/>
  <c r="E100" i="6"/>
  <c r="F100" i="6" s="1"/>
  <c r="D94" i="6"/>
  <c r="C94" i="6"/>
  <c r="F94" i="6" s="1"/>
  <c r="F93" i="6"/>
  <c r="D93" i="6"/>
  <c r="E93" i="6"/>
  <c r="C93" i="6"/>
  <c r="D92" i="6"/>
  <c r="C92" i="6"/>
  <c r="D91" i="6"/>
  <c r="C91" i="6"/>
  <c r="D90" i="6"/>
  <c r="C90" i="6"/>
  <c r="D89" i="6"/>
  <c r="C89" i="6"/>
  <c r="D88" i="6"/>
  <c r="C88" i="6"/>
  <c r="F87" i="6"/>
  <c r="D87" i="6"/>
  <c r="E87" i="6"/>
  <c r="C87" i="6"/>
  <c r="D86" i="6"/>
  <c r="C86" i="6"/>
  <c r="D85" i="6"/>
  <c r="C85" i="6"/>
  <c r="D84" i="6"/>
  <c r="C84" i="6"/>
  <c r="D81" i="6"/>
  <c r="C81" i="6"/>
  <c r="F80" i="6"/>
  <c r="E80" i="6"/>
  <c r="F79" i="6"/>
  <c r="E79" i="6"/>
  <c r="F78" i="6"/>
  <c r="E78" i="6"/>
  <c r="F77" i="6"/>
  <c r="E77" i="6"/>
  <c r="E76" i="6"/>
  <c r="F76" i="6" s="1"/>
  <c r="E75" i="6"/>
  <c r="F75" i="6" s="1"/>
  <c r="F74" i="6"/>
  <c r="E74" i="6"/>
  <c r="F73" i="6"/>
  <c r="E73" i="6"/>
  <c r="E72" i="6"/>
  <c r="F72" i="6" s="1"/>
  <c r="E71" i="6"/>
  <c r="F71" i="6" s="1"/>
  <c r="F70" i="6"/>
  <c r="E70" i="6"/>
  <c r="D68" i="6"/>
  <c r="E68" i="6"/>
  <c r="C68" i="6"/>
  <c r="F67" i="6"/>
  <c r="E67" i="6"/>
  <c r="F66" i="6"/>
  <c r="E66" i="6"/>
  <c r="F65" i="6"/>
  <c r="E65" i="6"/>
  <c r="E64" i="6"/>
  <c r="F64" i="6" s="1"/>
  <c r="E63" i="6"/>
  <c r="F63" i="6" s="1"/>
  <c r="F62" i="6"/>
  <c r="E62" i="6"/>
  <c r="E61" i="6"/>
  <c r="F61" i="6" s="1"/>
  <c r="F60" i="6"/>
  <c r="E60" i="6"/>
  <c r="E59" i="6"/>
  <c r="F59" i="6" s="1"/>
  <c r="F58" i="6"/>
  <c r="E58" i="6"/>
  <c r="F57" i="6"/>
  <c r="E57" i="6"/>
  <c r="D51" i="6"/>
  <c r="C51" i="6"/>
  <c r="F51" i="6" s="1"/>
  <c r="F50" i="6"/>
  <c r="D50" i="6"/>
  <c r="C50" i="6"/>
  <c r="E50" i="6" s="1"/>
  <c r="D49" i="6"/>
  <c r="C49" i="6"/>
  <c r="D48" i="6"/>
  <c r="C48" i="6"/>
  <c r="D47" i="6"/>
  <c r="C47" i="6"/>
  <c r="D46" i="6"/>
  <c r="C46" i="6"/>
  <c r="D45" i="6"/>
  <c r="C45" i="6"/>
  <c r="F44" i="6"/>
  <c r="D44" i="6"/>
  <c r="C44" i="6"/>
  <c r="E44" i="6" s="1"/>
  <c r="D43" i="6"/>
  <c r="C43" i="6"/>
  <c r="D42" i="6"/>
  <c r="C42" i="6"/>
  <c r="D41" i="6"/>
  <c r="C41" i="6"/>
  <c r="D38" i="6"/>
  <c r="E38" i="6"/>
  <c r="F38" i="6"/>
  <c r="C38" i="6"/>
  <c r="F37" i="6"/>
  <c r="E37" i="6"/>
  <c r="F36" i="6"/>
  <c r="E36" i="6"/>
  <c r="E35" i="6"/>
  <c r="F35" i="6" s="1"/>
  <c r="F34" i="6"/>
  <c r="E34" i="6"/>
  <c r="F33" i="6"/>
  <c r="E33" i="6"/>
  <c r="F32" i="6"/>
  <c r="E32" i="6"/>
  <c r="E31" i="6"/>
  <c r="F31" i="6" s="1"/>
  <c r="F30" i="6"/>
  <c r="E30" i="6"/>
  <c r="F29" i="6"/>
  <c r="E29" i="6"/>
  <c r="E28" i="6"/>
  <c r="F28" i="6" s="1"/>
  <c r="E27" i="6"/>
  <c r="F27" i="6" s="1"/>
  <c r="D25" i="6"/>
  <c r="E25" i="6" s="1"/>
  <c r="F25" i="6" s="1"/>
  <c r="C25" i="6"/>
  <c r="F24" i="6"/>
  <c r="E24" i="6"/>
  <c r="F23" i="6"/>
  <c r="E23" i="6"/>
  <c r="F22" i="6"/>
  <c r="E22" i="6"/>
  <c r="F21" i="6"/>
  <c r="E21" i="6"/>
  <c r="E20" i="6"/>
  <c r="F20" i="6" s="1"/>
  <c r="E19" i="6"/>
  <c r="F19" i="6" s="1"/>
  <c r="F18" i="6"/>
  <c r="E18" i="6"/>
  <c r="F17" i="6"/>
  <c r="E17" i="6"/>
  <c r="F16" i="6"/>
  <c r="E16" i="6"/>
  <c r="E15" i="6"/>
  <c r="F15" i="6" s="1"/>
  <c r="F14" i="6"/>
  <c r="E14" i="6"/>
  <c r="F51" i="5"/>
  <c r="E51" i="5"/>
  <c r="D48" i="5"/>
  <c r="E48" i="5"/>
  <c r="C48" i="5"/>
  <c r="F47" i="5"/>
  <c r="E47" i="5"/>
  <c r="F46" i="5"/>
  <c r="E46" i="5"/>
  <c r="D41" i="5"/>
  <c r="C41" i="5"/>
  <c r="F40" i="5"/>
  <c r="E40" i="5"/>
  <c r="F39" i="5"/>
  <c r="E39" i="5"/>
  <c r="F38" i="5"/>
  <c r="E38" i="5"/>
  <c r="D33" i="5"/>
  <c r="E33" i="5"/>
  <c r="F33" i="5" s="1"/>
  <c r="C33" i="5"/>
  <c r="F32" i="5"/>
  <c r="E32" i="5"/>
  <c r="F31" i="5"/>
  <c r="E31" i="5"/>
  <c r="E30" i="5"/>
  <c r="F30" i="5" s="1"/>
  <c r="F29" i="5"/>
  <c r="E29" i="5"/>
  <c r="F28" i="5"/>
  <c r="E28" i="5"/>
  <c r="E27" i="5"/>
  <c r="F27" i="5" s="1"/>
  <c r="E26" i="5"/>
  <c r="F26" i="5" s="1"/>
  <c r="F25" i="5"/>
  <c r="E25" i="5"/>
  <c r="F24" i="5"/>
  <c r="E24" i="5"/>
  <c r="E20" i="5"/>
  <c r="F20" i="5" s="1"/>
  <c r="E19" i="5"/>
  <c r="F19" i="5" s="1"/>
  <c r="F17" i="5"/>
  <c r="E17" i="5"/>
  <c r="D16" i="5"/>
  <c r="D18" i="5" s="1"/>
  <c r="C16" i="5"/>
  <c r="C18" i="5"/>
  <c r="E15" i="5"/>
  <c r="F15" i="5" s="1"/>
  <c r="F14" i="5"/>
  <c r="E14" i="5"/>
  <c r="F13" i="5"/>
  <c r="E13" i="5"/>
  <c r="F12" i="5"/>
  <c r="E12" i="5"/>
  <c r="D73" i="4"/>
  <c r="C73" i="4"/>
  <c r="E73" i="4" s="1"/>
  <c r="E72" i="4"/>
  <c r="F72" i="4" s="1"/>
  <c r="E71" i="4"/>
  <c r="F71" i="4" s="1"/>
  <c r="E70" i="4"/>
  <c r="F70" i="4"/>
  <c r="F67" i="4"/>
  <c r="E67" i="4"/>
  <c r="E64" i="4"/>
  <c r="F64" i="4" s="1"/>
  <c r="E63" i="4"/>
  <c r="F63" i="4" s="1"/>
  <c r="D61" i="4"/>
  <c r="E61" i="4" s="1"/>
  <c r="F61" i="4" s="1"/>
  <c r="C61" i="4"/>
  <c r="E60" i="4"/>
  <c r="F60" i="4"/>
  <c r="E59" i="4"/>
  <c r="F59" i="4"/>
  <c r="D56" i="4"/>
  <c r="C56" i="4"/>
  <c r="E56" i="4" s="1"/>
  <c r="E55" i="4"/>
  <c r="F55" i="4"/>
  <c r="F54" i="4"/>
  <c r="E54" i="4"/>
  <c r="E53" i="4"/>
  <c r="F53" i="4" s="1"/>
  <c r="F52" i="4"/>
  <c r="E52" i="4"/>
  <c r="F51" i="4"/>
  <c r="E51" i="4"/>
  <c r="F50" i="4"/>
  <c r="E50" i="4"/>
  <c r="A50" i="4"/>
  <c r="A51" i="4" s="1"/>
  <c r="A52" i="4"/>
  <c r="A53" i="4" s="1"/>
  <c r="A54" i="4" s="1"/>
  <c r="A55" i="4"/>
  <c r="E49" i="4"/>
  <c r="F49" i="4" s="1"/>
  <c r="E40" i="4"/>
  <c r="F40" i="4" s="1"/>
  <c r="D38" i="4"/>
  <c r="D41" i="4"/>
  <c r="D43" i="4" s="1"/>
  <c r="C38" i="4"/>
  <c r="E37" i="4"/>
  <c r="F37" i="4" s="1"/>
  <c r="E36" i="4"/>
  <c r="F36" i="4"/>
  <c r="E33" i="4"/>
  <c r="F33" i="4"/>
  <c r="E32" i="4"/>
  <c r="F32" i="4" s="1"/>
  <c r="E31" i="4"/>
  <c r="F31" i="4"/>
  <c r="D29" i="4"/>
  <c r="C29" i="4"/>
  <c r="E28" i="4"/>
  <c r="F28" i="4"/>
  <c r="F27" i="4"/>
  <c r="E27" i="4"/>
  <c r="F26" i="4"/>
  <c r="E26" i="4"/>
  <c r="F25" i="4"/>
  <c r="E25" i="4"/>
  <c r="D22" i="4"/>
  <c r="C22" i="4"/>
  <c r="E21" i="4"/>
  <c r="F21" i="4"/>
  <c r="E20" i="4"/>
  <c r="F20" i="4" s="1"/>
  <c r="E19" i="4"/>
  <c r="F19" i="4" s="1"/>
  <c r="F18" i="4"/>
  <c r="E18" i="4"/>
  <c r="F17" i="4"/>
  <c r="E17" i="4"/>
  <c r="E16" i="4"/>
  <c r="F16" i="4" s="1"/>
  <c r="E15" i="4"/>
  <c r="F15" i="4" s="1"/>
  <c r="E14" i="4"/>
  <c r="F14" i="4" s="1"/>
  <c r="E13" i="4"/>
  <c r="F13" i="4"/>
  <c r="C109" i="22"/>
  <c r="C108" i="22"/>
  <c r="D22" i="22"/>
  <c r="C23" i="22"/>
  <c r="E23" i="22"/>
  <c r="C34" i="22"/>
  <c r="E34" i="22"/>
  <c r="D101" i="22"/>
  <c r="D103" i="22"/>
  <c r="C102" i="22"/>
  <c r="E102" i="22"/>
  <c r="E103" i="22"/>
  <c r="C22" i="22"/>
  <c r="E22" i="22"/>
  <c r="D30" i="22"/>
  <c r="D36" i="22"/>
  <c r="D40" i="22"/>
  <c r="D46" i="22"/>
  <c r="C41" i="20"/>
  <c r="D41" i="20"/>
  <c r="E39" i="20"/>
  <c r="E19" i="20"/>
  <c r="F19" i="20"/>
  <c r="E43" i="20"/>
  <c r="C38" i="19"/>
  <c r="C127" i="19"/>
  <c r="C129" i="19" s="1"/>
  <c r="C133" i="19"/>
  <c r="E295" i="17"/>
  <c r="E296" i="17"/>
  <c r="E297" i="17"/>
  <c r="E298" i="17"/>
  <c r="E299" i="17"/>
  <c r="C22" i="19"/>
  <c r="E33" i="18"/>
  <c r="C283" i="18"/>
  <c r="E21" i="18"/>
  <c r="D22" i="18"/>
  <c r="E37" i="18"/>
  <c r="C55" i="18"/>
  <c r="C284" i="18" s="1"/>
  <c r="E289" i="18"/>
  <c r="C65" i="18"/>
  <c r="C66" i="18" s="1"/>
  <c r="C295" i="18"/>
  <c r="D76" i="18"/>
  <c r="C71" i="18"/>
  <c r="E95" i="17"/>
  <c r="F95" i="17" s="1"/>
  <c r="E110" i="17"/>
  <c r="F110" i="17"/>
  <c r="C294" i="18"/>
  <c r="E32" i="18"/>
  <c r="E36" i="18"/>
  <c r="E60" i="18"/>
  <c r="D77" i="18"/>
  <c r="D157" i="18"/>
  <c r="E157" i="18" s="1"/>
  <c r="E156" i="18"/>
  <c r="C144" i="18"/>
  <c r="E144" i="18"/>
  <c r="D145" i="18"/>
  <c r="E151" i="18"/>
  <c r="D163" i="18"/>
  <c r="E163" i="18"/>
  <c r="C175" i="18"/>
  <c r="D180" i="18"/>
  <c r="C261" i="18"/>
  <c r="E261" i="18"/>
  <c r="C189" i="18"/>
  <c r="E188" i="18"/>
  <c r="D260" i="18"/>
  <c r="E195" i="18"/>
  <c r="E229" i="18"/>
  <c r="D241" i="18"/>
  <c r="E242" i="18"/>
  <c r="E244" i="18"/>
  <c r="D252" i="18"/>
  <c r="D253" i="18"/>
  <c r="E302" i="18"/>
  <c r="C303" i="18"/>
  <c r="E303" i="18" s="1"/>
  <c r="C306" i="18"/>
  <c r="C310" i="18" s="1"/>
  <c r="E139" i="18"/>
  <c r="D234" i="18"/>
  <c r="D306" i="18"/>
  <c r="E316" i="18"/>
  <c r="E326" i="18"/>
  <c r="D330" i="18"/>
  <c r="E330" i="18"/>
  <c r="C210" i="18"/>
  <c r="E210" i="18"/>
  <c r="D211" i="18"/>
  <c r="E215" i="18"/>
  <c r="C217" i="18"/>
  <c r="E219" i="18"/>
  <c r="E221" i="18"/>
  <c r="D222" i="18"/>
  <c r="D223" i="18"/>
  <c r="C252" i="18"/>
  <c r="E252" i="18" s="1"/>
  <c r="E265" i="18"/>
  <c r="E314" i="18"/>
  <c r="E205" i="18"/>
  <c r="E216" i="18"/>
  <c r="E218" i="18"/>
  <c r="E220" i="18"/>
  <c r="C222" i="18"/>
  <c r="C246" i="18" s="1"/>
  <c r="E233" i="18"/>
  <c r="E301" i="18"/>
  <c r="E324" i="18"/>
  <c r="C32" i="17"/>
  <c r="C61" i="17"/>
  <c r="D103" i="17"/>
  <c r="E111" i="17"/>
  <c r="F111" i="17" s="1"/>
  <c r="C138" i="17"/>
  <c r="D32" i="17"/>
  <c r="D105" i="17" s="1"/>
  <c r="E31" i="17"/>
  <c r="F31" i="17"/>
  <c r="D90" i="17"/>
  <c r="D61" i="17"/>
  <c r="D104" i="17" s="1"/>
  <c r="E60" i="17"/>
  <c r="F60" i="17"/>
  <c r="E137" i="17"/>
  <c r="F137" i="17" s="1"/>
  <c r="D138" i="17"/>
  <c r="E138" i="17"/>
  <c r="C21" i="17"/>
  <c r="E30" i="17"/>
  <c r="F30" i="17" s="1"/>
  <c r="E35" i="17"/>
  <c r="F35" i="17" s="1"/>
  <c r="C37" i="17"/>
  <c r="E37" i="17" s="1"/>
  <c r="E47" i="17"/>
  <c r="F47" i="17" s="1"/>
  <c r="E59" i="17"/>
  <c r="F59" i="17"/>
  <c r="E76" i="17"/>
  <c r="F76" i="17" s="1"/>
  <c r="F85" i="17"/>
  <c r="F120" i="17"/>
  <c r="F129" i="17"/>
  <c r="F135" i="17"/>
  <c r="F145" i="17"/>
  <c r="D159" i="17"/>
  <c r="E159" i="17"/>
  <c r="D172" i="17"/>
  <c r="D181" i="17"/>
  <c r="C287" i="17"/>
  <c r="C284" i="17"/>
  <c r="C279" i="17"/>
  <c r="D262" i="17"/>
  <c r="D263" i="17" s="1"/>
  <c r="E263" i="17" s="1"/>
  <c r="F263" i="17" s="1"/>
  <c r="E189" i="17"/>
  <c r="F189" i="17" s="1"/>
  <c r="E88" i="17"/>
  <c r="F88" i="17" s="1"/>
  <c r="E101" i="17"/>
  <c r="F101" i="17"/>
  <c r="E109" i="17"/>
  <c r="F109" i="17"/>
  <c r="C193" i="17"/>
  <c r="C266" i="17" s="1"/>
  <c r="C192" i="17"/>
  <c r="E123" i="17"/>
  <c r="F123" i="17" s="1"/>
  <c r="C124" i="17"/>
  <c r="C126" i="17" s="1"/>
  <c r="E136" i="17"/>
  <c r="F136" i="17"/>
  <c r="E144" i="17"/>
  <c r="F144" i="17" s="1"/>
  <c r="D277" i="17"/>
  <c r="E277" i="17" s="1"/>
  <c r="F277" i="17" s="1"/>
  <c r="D261" i="17"/>
  <c r="D206" i="17"/>
  <c r="E206" i="17" s="1"/>
  <c r="E188" i="17"/>
  <c r="F188" i="17"/>
  <c r="D280" i="17"/>
  <c r="D264" i="17"/>
  <c r="D200" i="17"/>
  <c r="E191" i="17"/>
  <c r="F191" i="17"/>
  <c r="C190" i="17"/>
  <c r="C199" i="17"/>
  <c r="C200" i="17"/>
  <c r="C205" i="17"/>
  <c r="C206" i="17"/>
  <c r="C214" i="17"/>
  <c r="C215" i="17"/>
  <c r="E226" i="17"/>
  <c r="F226" i="17" s="1"/>
  <c r="E237" i="17"/>
  <c r="F237" i="17" s="1"/>
  <c r="E250" i="17"/>
  <c r="F250" i="17" s="1"/>
  <c r="C254" i="17"/>
  <c r="C255" i="17"/>
  <c r="C261" i="17"/>
  <c r="C262" i="17"/>
  <c r="C264" i="17"/>
  <c r="C267" i="17"/>
  <c r="C269" i="17"/>
  <c r="C274" i="17"/>
  <c r="D290" i="17"/>
  <c r="D274" i="17"/>
  <c r="E274" i="17"/>
  <c r="D199" i="17"/>
  <c r="E199" i="17"/>
  <c r="D269" i="17"/>
  <c r="E269" i="17" s="1"/>
  <c r="F295" i="17"/>
  <c r="F296" i="17"/>
  <c r="F297" i="17"/>
  <c r="F298" i="17"/>
  <c r="F299" i="17"/>
  <c r="F36" i="14"/>
  <c r="F38" i="14" s="1"/>
  <c r="F40" i="14" s="1"/>
  <c r="D31" i="14"/>
  <c r="F31" i="14"/>
  <c r="E33" i="14"/>
  <c r="E36" i="14"/>
  <c r="E38" i="14"/>
  <c r="E40" i="14"/>
  <c r="G33" i="14"/>
  <c r="E21" i="13"/>
  <c r="C15" i="13"/>
  <c r="C17" i="13" s="1"/>
  <c r="E15" i="13"/>
  <c r="E17" i="13" s="1"/>
  <c r="E28" i="13" s="1"/>
  <c r="C48" i="13"/>
  <c r="C42" i="13" s="1"/>
  <c r="E48" i="13"/>
  <c r="E42" i="13" s="1"/>
  <c r="D20" i="12"/>
  <c r="E15" i="12"/>
  <c r="F15" i="12" s="1"/>
  <c r="E22" i="11"/>
  <c r="F22" i="11"/>
  <c r="E38" i="11"/>
  <c r="F38" i="11"/>
  <c r="E61" i="11"/>
  <c r="F61" i="11"/>
  <c r="E121" i="10"/>
  <c r="E112" i="10"/>
  <c r="E113" i="10"/>
  <c r="F208" i="9"/>
  <c r="F203" i="9"/>
  <c r="F205" i="9"/>
  <c r="F206" i="9"/>
  <c r="E198" i="9"/>
  <c r="F198" i="9"/>
  <c r="E199" i="9"/>
  <c r="F199" i="9" s="1"/>
  <c r="E136" i="8"/>
  <c r="C155" i="8"/>
  <c r="C156" i="8"/>
  <c r="C154" i="8"/>
  <c r="C152" i="8"/>
  <c r="E157" i="8"/>
  <c r="E153" i="8"/>
  <c r="E156" i="8"/>
  <c r="E158" i="8" s="1"/>
  <c r="E154" i="8"/>
  <c r="E152" i="8"/>
  <c r="D155" i="8"/>
  <c r="D49" i="8"/>
  <c r="D57" i="8"/>
  <c r="D62" i="8"/>
  <c r="C15" i="8"/>
  <c r="E15" i="8"/>
  <c r="D17" i="8"/>
  <c r="D43" i="8"/>
  <c r="C77" i="8"/>
  <c r="C71" i="8"/>
  <c r="E77" i="8"/>
  <c r="E71" i="8" s="1"/>
  <c r="E90" i="7"/>
  <c r="F90" i="7"/>
  <c r="E183" i="7"/>
  <c r="F183" i="7" s="1"/>
  <c r="E41" i="6"/>
  <c r="F41" i="6"/>
  <c r="E84" i="6"/>
  <c r="F84" i="6" s="1"/>
  <c r="C21" i="5"/>
  <c r="E16" i="5"/>
  <c r="F16" i="5" s="1"/>
  <c r="F22" i="4"/>
  <c r="F73" i="4"/>
  <c r="E22" i="4"/>
  <c r="E29" i="4"/>
  <c r="F29" i="4"/>
  <c r="E38" i="4"/>
  <c r="F38" i="4"/>
  <c r="C41" i="4"/>
  <c r="F56" i="4"/>
  <c r="C65" i="4"/>
  <c r="C75" i="4" s="1"/>
  <c r="D56" i="22"/>
  <c r="D48" i="22"/>
  <c r="D38" i="22"/>
  <c r="C53" i="22"/>
  <c r="C45" i="22"/>
  <c r="C39" i="22"/>
  <c r="C35" i="22"/>
  <c r="C29" i="22"/>
  <c r="C110" i="22"/>
  <c r="C111" i="22"/>
  <c r="E53" i="22"/>
  <c r="E45" i="22"/>
  <c r="E39" i="22"/>
  <c r="E35" i="22"/>
  <c r="E29" i="22"/>
  <c r="E54" i="22"/>
  <c r="D53" i="22"/>
  <c r="D45" i="22"/>
  <c r="D39" i="22"/>
  <c r="D35" i="22"/>
  <c r="D29" i="22"/>
  <c r="D37" i="22" s="1"/>
  <c r="F39" i="20"/>
  <c r="D254" i="18"/>
  <c r="E260" i="18"/>
  <c r="D181" i="18"/>
  <c r="C180" i="18"/>
  <c r="E180" i="18" s="1"/>
  <c r="C145" i="18"/>
  <c r="C168" i="18"/>
  <c r="E222" i="18"/>
  <c r="C211" i="18"/>
  <c r="C234" i="18"/>
  <c r="E234" i="18" s="1"/>
  <c r="D126" i="18"/>
  <c r="D124" i="18"/>
  <c r="D122" i="18"/>
  <c r="D115" i="18"/>
  <c r="D113" i="18"/>
  <c r="D111" i="18"/>
  <c r="D109" i="18"/>
  <c r="D127" i="18"/>
  <c r="D125" i="18"/>
  <c r="D123" i="18"/>
  <c r="D121" i="18"/>
  <c r="D114" i="18"/>
  <c r="D112" i="18"/>
  <c r="D110" i="18"/>
  <c r="C263" i="17"/>
  <c r="E262" i="17"/>
  <c r="F262" i="17" s="1"/>
  <c r="F274" i="17"/>
  <c r="C216" i="17"/>
  <c r="E280" i="17"/>
  <c r="C194" i="17"/>
  <c r="D49" i="17"/>
  <c r="E49" i="17" s="1"/>
  <c r="D161" i="17"/>
  <c r="E21" i="17"/>
  <c r="F21" i="17" s="1"/>
  <c r="F37" i="17"/>
  <c r="C304" i="17"/>
  <c r="C161" i="17"/>
  <c r="C91" i="17"/>
  <c r="C49" i="17"/>
  <c r="C50" i="17" s="1"/>
  <c r="C282" i="17"/>
  <c r="C140" i="17"/>
  <c r="D160" i="17"/>
  <c r="D62" i="17"/>
  <c r="D140" i="17"/>
  <c r="D141" i="17" s="1"/>
  <c r="D322" i="17" s="1"/>
  <c r="E322" i="17" s="1"/>
  <c r="E32" i="17"/>
  <c r="F32" i="17"/>
  <c r="F138" i="17"/>
  <c r="C139" i="17"/>
  <c r="C125" i="17"/>
  <c r="G36" i="14"/>
  <c r="G38" i="14" s="1"/>
  <c r="G40" i="14"/>
  <c r="C24" i="13"/>
  <c r="C28" i="13"/>
  <c r="E24" i="13"/>
  <c r="E20" i="13" s="1"/>
  <c r="E24" i="8"/>
  <c r="E17" i="8"/>
  <c r="E112" i="8" s="1"/>
  <c r="D28" i="8"/>
  <c r="D99" i="8" s="1"/>
  <c r="D101" i="8" s="1"/>
  <c r="D98" i="8" s="1"/>
  <c r="D112" i="8"/>
  <c r="D111" i="8"/>
  <c r="C24" i="8"/>
  <c r="C20" i="8" s="1"/>
  <c r="C17" i="8"/>
  <c r="C28" i="8" s="1"/>
  <c r="C35" i="5"/>
  <c r="C43" i="4"/>
  <c r="E41" i="4"/>
  <c r="F41" i="4" s="1"/>
  <c r="D55" i="22"/>
  <c r="D47" i="22"/>
  <c r="E55" i="22"/>
  <c r="E47" i="22"/>
  <c r="E37" i="22"/>
  <c r="C55" i="22"/>
  <c r="C47" i="22"/>
  <c r="C37" i="22"/>
  <c r="C112" i="22"/>
  <c r="D128" i="18"/>
  <c r="D129" i="18" s="1"/>
  <c r="E211" i="18"/>
  <c r="C169" i="18"/>
  <c r="D116" i="18"/>
  <c r="E140" i="17"/>
  <c r="C92" i="17"/>
  <c r="C162" i="17"/>
  <c r="D106" i="17"/>
  <c r="C127" i="17"/>
  <c r="E161" i="17"/>
  <c r="F161" i="17" s="1"/>
  <c r="D162" i="17"/>
  <c r="C195" i="17"/>
  <c r="D63" i="17"/>
  <c r="C141" i="17"/>
  <c r="C148" i="17" s="1"/>
  <c r="D50" i="17"/>
  <c r="E50" i="17" s="1"/>
  <c r="C70" i="13"/>
  <c r="C72" i="13"/>
  <c r="C69" i="13" s="1"/>
  <c r="E111" i="8"/>
  <c r="E28" i="8"/>
  <c r="F162" i="17"/>
  <c r="D70" i="17"/>
  <c r="C322" i="17"/>
  <c r="E141" i="17"/>
  <c r="F141" i="17" s="1"/>
  <c r="E99" i="8"/>
  <c r="E101" i="8"/>
  <c r="E22" i="8"/>
  <c r="E22" i="13" l="1"/>
  <c r="E70" i="13"/>
  <c r="E72" i="13" s="1"/>
  <c r="E69" i="13" s="1"/>
  <c r="E214" i="17"/>
  <c r="F214" i="17" s="1"/>
  <c r="D254" i="17"/>
  <c r="F50" i="17"/>
  <c r="E98" i="8"/>
  <c r="C137" i="8"/>
  <c r="C135" i="8"/>
  <c r="C140" i="8"/>
  <c r="C139" i="8"/>
  <c r="C138" i="8"/>
  <c r="C136" i="8"/>
  <c r="C99" i="8"/>
  <c r="C101" i="8" s="1"/>
  <c r="C98" i="8" s="1"/>
  <c r="C22" i="8"/>
  <c r="C241" i="18"/>
  <c r="E241" i="18" s="1"/>
  <c r="E217" i="18"/>
  <c r="E30" i="22"/>
  <c r="E46" i="22"/>
  <c r="E40" i="22"/>
  <c r="E88" i="6"/>
  <c r="F88" i="6"/>
  <c r="E92" i="6"/>
  <c r="F92" i="6"/>
  <c r="E121" i="7"/>
  <c r="F121" i="7"/>
  <c r="E245" i="18"/>
  <c r="C253" i="18"/>
  <c r="E253" i="18" s="1"/>
  <c r="F49" i="17"/>
  <c r="E162" i="17"/>
  <c r="D272" i="17"/>
  <c r="C235" i="18"/>
  <c r="C181" i="18"/>
  <c r="E181" i="18" s="1"/>
  <c r="C265" i="17"/>
  <c r="C54" i="22"/>
  <c r="C46" i="22"/>
  <c r="C36" i="22"/>
  <c r="C30" i="22"/>
  <c r="D135" i="8"/>
  <c r="D140" i="8"/>
  <c r="D136" i="8"/>
  <c r="D139" i="8"/>
  <c r="C21" i="13"/>
  <c r="C20" i="13"/>
  <c r="C98" i="18"/>
  <c r="C101" i="18"/>
  <c r="C96" i="18"/>
  <c r="C99" i="18"/>
  <c r="C97" i="18"/>
  <c r="C85" i="18"/>
  <c r="C88" i="18"/>
  <c r="C258" i="18"/>
  <c r="C86" i="18"/>
  <c r="C89" i="18"/>
  <c r="C100" i="18"/>
  <c r="C87" i="18"/>
  <c r="C83" i="18"/>
  <c r="C84" i="18"/>
  <c r="C197" i="17"/>
  <c r="C223" i="18"/>
  <c r="E36" i="22"/>
  <c r="C40" i="22"/>
  <c r="C254" i="18"/>
  <c r="E254" i="18" s="1"/>
  <c r="E306" i="18"/>
  <c r="D310" i="18"/>
  <c r="E310" i="18" s="1"/>
  <c r="D65" i="4"/>
  <c r="D95" i="7"/>
  <c r="E95" i="7" s="1"/>
  <c r="F32" i="12"/>
  <c r="H17" i="14"/>
  <c r="C31" i="14"/>
  <c r="I17" i="14"/>
  <c r="C33" i="14"/>
  <c r="E71" i="18"/>
  <c r="C76" i="18"/>
  <c r="E57" i="8"/>
  <c r="E62" i="8" s="1"/>
  <c r="E43" i="8"/>
  <c r="E53" i="8"/>
  <c r="F95" i="7"/>
  <c r="E203" i="17"/>
  <c r="D267" i="17"/>
  <c r="D205" i="17"/>
  <c r="E205" i="17" s="1"/>
  <c r="F205" i="17" s="1"/>
  <c r="E43" i="4"/>
  <c r="F43" i="4" s="1"/>
  <c r="E49" i="8"/>
  <c r="D138" i="8"/>
  <c r="D34" i="12"/>
  <c r="E290" i="17"/>
  <c r="D300" i="17"/>
  <c r="E264" i="17"/>
  <c r="F264" i="17" s="1"/>
  <c r="E145" i="18"/>
  <c r="D169" i="18"/>
  <c r="E169" i="18" s="1"/>
  <c r="C95" i="18"/>
  <c r="F41" i="5"/>
  <c r="E41" i="5"/>
  <c r="F24" i="7"/>
  <c r="E21" i="8"/>
  <c r="E20" i="8"/>
  <c r="F280" i="17"/>
  <c r="C281" i="17"/>
  <c r="C288" i="17"/>
  <c r="C289" i="17" s="1"/>
  <c r="C286" i="17"/>
  <c r="E138" i="8"/>
  <c r="E139" i="8"/>
  <c r="E137" i="8"/>
  <c r="E239" i="17"/>
  <c r="F239" i="17" s="1"/>
  <c r="C196" i="17"/>
  <c r="D279" i="17"/>
  <c r="E279" i="17" s="1"/>
  <c r="F279" i="17" s="1"/>
  <c r="D287" i="17"/>
  <c r="D278" i="17"/>
  <c r="D215" i="17"/>
  <c r="C43" i="5"/>
  <c r="C112" i="8"/>
  <c r="C111" i="8" s="1"/>
  <c r="C22" i="13"/>
  <c r="D117" i="18"/>
  <c r="C300" i="17"/>
  <c r="C270" i="17"/>
  <c r="D137" i="8"/>
  <c r="E200" i="17"/>
  <c r="F200" i="17"/>
  <c r="F91" i="6"/>
  <c r="E167" i="7"/>
  <c r="F167" i="7" s="1"/>
  <c r="C188" i="7"/>
  <c r="D68" i="17"/>
  <c r="E66" i="17"/>
  <c r="F66" i="17" s="1"/>
  <c r="E102" i="17"/>
  <c r="F102" i="17"/>
  <c r="C103" i="17"/>
  <c r="C105" i="17" s="1"/>
  <c r="D192" i="17"/>
  <c r="D124" i="17"/>
  <c r="E170" i="17"/>
  <c r="F170" i="17"/>
  <c r="F180" i="17"/>
  <c r="C181" i="17"/>
  <c r="D75" i="11"/>
  <c r="E56" i="11"/>
  <c r="F56" i="11" s="1"/>
  <c r="D44" i="18"/>
  <c r="E43" i="18"/>
  <c r="D259" i="18"/>
  <c r="F206" i="17"/>
  <c r="F18" i="7"/>
  <c r="D20" i="8"/>
  <c r="D21" i="8"/>
  <c r="D156" i="8"/>
  <c r="D154" i="8"/>
  <c r="D157" i="8"/>
  <c r="F322" i="17"/>
  <c r="D22" i="8"/>
  <c r="F140" i="17"/>
  <c r="D153" i="8"/>
  <c r="D158" i="8" s="1"/>
  <c r="E135" i="8"/>
  <c r="D283" i="17"/>
  <c r="C272" i="17"/>
  <c r="F269" i="17"/>
  <c r="F199" i="17"/>
  <c r="C43" i="11"/>
  <c r="E41" i="11"/>
  <c r="F41" i="11" s="1"/>
  <c r="C75" i="11"/>
  <c r="E65" i="11"/>
  <c r="F65" i="11" s="1"/>
  <c r="F58" i="15"/>
  <c r="E60" i="15"/>
  <c r="C160" i="17"/>
  <c r="E48" i="17"/>
  <c r="C90" i="17"/>
  <c r="F48" i="17"/>
  <c r="C68" i="17"/>
  <c r="D207" i="17"/>
  <c r="D173" i="17"/>
  <c r="C95" i="6"/>
  <c r="F49" i="9"/>
  <c r="F53" i="17"/>
  <c r="F94" i="17"/>
  <c r="D21" i="5"/>
  <c r="E18" i="5"/>
  <c r="F18" i="5" s="1"/>
  <c r="C52" i="6"/>
  <c r="E45" i="6"/>
  <c r="F45" i="6"/>
  <c r="E51" i="6"/>
  <c r="E86" i="6"/>
  <c r="F86" i="6"/>
  <c r="F89" i="6"/>
  <c r="C57" i="8"/>
  <c r="C62" i="8" s="1"/>
  <c r="C43" i="8"/>
  <c r="C49" i="8"/>
  <c r="E101" i="9"/>
  <c r="F101" i="9"/>
  <c r="F35" i="10"/>
  <c r="E35" i="10"/>
  <c r="D126" i="17"/>
  <c r="D91" i="17"/>
  <c r="D285" i="17"/>
  <c r="E285" i="17" s="1"/>
  <c r="F285" i="17" s="1"/>
  <c r="E204" i="17"/>
  <c r="F204" i="17" s="1"/>
  <c r="E61" i="17"/>
  <c r="F61" i="17" s="1"/>
  <c r="E48" i="6"/>
  <c r="F48" i="6" s="1"/>
  <c r="F111" i="6"/>
  <c r="D207" i="9"/>
  <c r="E207" i="9" s="1"/>
  <c r="F207" i="9" s="1"/>
  <c r="C20" i="12"/>
  <c r="E17" i="12"/>
  <c r="F17" i="12" s="1"/>
  <c r="D25" i="13"/>
  <c r="D27" i="13" s="1"/>
  <c r="D15" i="13"/>
  <c r="F60" i="15"/>
  <c r="F17" i="17"/>
  <c r="D139" i="17"/>
  <c r="E139" i="17" s="1"/>
  <c r="F139" i="17" s="1"/>
  <c r="C271" i="17"/>
  <c r="C268" i="17"/>
  <c r="E261" i="17"/>
  <c r="F261" i="17" s="1"/>
  <c r="C291" i="17"/>
  <c r="C62" i="17"/>
  <c r="D284" i="18"/>
  <c r="E284" i="18" s="1"/>
  <c r="E22" i="18"/>
  <c r="F43" i="20"/>
  <c r="E46" i="20"/>
  <c r="F46" i="20" s="1"/>
  <c r="D52" i="6"/>
  <c r="E52" i="6" s="1"/>
  <c r="E42" i="6"/>
  <c r="F42" i="6" s="1"/>
  <c r="E90" i="6"/>
  <c r="F90" i="6"/>
  <c r="E130" i="7"/>
  <c r="F130" i="7"/>
  <c r="C157" i="8"/>
  <c r="C153" i="8"/>
  <c r="C158" i="8" s="1"/>
  <c r="F102" i="9"/>
  <c r="E102" i="9"/>
  <c r="F48" i="5"/>
  <c r="E43" i="6"/>
  <c r="F43" i="6" s="1"/>
  <c r="E49" i="6"/>
  <c r="F49" i="6" s="1"/>
  <c r="D95" i="6"/>
  <c r="E95" i="6" s="1"/>
  <c r="E85" i="6"/>
  <c r="F85" i="6" s="1"/>
  <c r="E91" i="6"/>
  <c r="E94" i="6"/>
  <c r="F166" i="6"/>
  <c r="E24" i="7"/>
  <c r="F76" i="9"/>
  <c r="F21" i="16"/>
  <c r="F58" i="17"/>
  <c r="E180" i="17"/>
  <c r="E46" i="6"/>
  <c r="F46" i="6" s="1"/>
  <c r="E81" i="6"/>
  <c r="F81" i="6" s="1"/>
  <c r="E49" i="9"/>
  <c r="F83" i="10"/>
  <c r="E83" i="10"/>
  <c r="F198" i="17"/>
  <c r="C290" i="17"/>
  <c r="E47" i="6"/>
  <c r="F47" i="6"/>
  <c r="F68" i="6"/>
  <c r="E89" i="6"/>
  <c r="E124" i="6"/>
  <c r="F124" i="6" s="1"/>
  <c r="E153" i="6"/>
  <c r="F153" i="6"/>
  <c r="E153" i="9"/>
  <c r="F200" i="9"/>
  <c r="E116" i="10"/>
  <c r="F73" i="15"/>
  <c r="E75" i="15"/>
  <c r="E130" i="17"/>
  <c r="F130" i="17" s="1"/>
  <c r="F24" i="9"/>
  <c r="E75" i="9"/>
  <c r="F75" i="9" s="1"/>
  <c r="E32" i="12"/>
  <c r="F92" i="15"/>
  <c r="F13" i="16"/>
  <c r="E52" i="17"/>
  <c r="F52" i="17" s="1"/>
  <c r="E67" i="17"/>
  <c r="F67" i="17" s="1"/>
  <c r="F202" i="9"/>
  <c r="E59" i="10"/>
  <c r="E107" i="10"/>
  <c r="E120" i="10"/>
  <c r="E89" i="17"/>
  <c r="F89" i="17" s="1"/>
  <c r="E198" i="17"/>
  <c r="E229" i="17"/>
  <c r="F229" i="17" s="1"/>
  <c r="E127" i="9"/>
  <c r="F127" i="9" s="1"/>
  <c r="F75" i="15"/>
  <c r="D190" i="17"/>
  <c r="E190" i="17" s="1"/>
  <c r="F190" i="17" s="1"/>
  <c r="F230" i="17"/>
  <c r="F128" i="9"/>
  <c r="E154" i="9"/>
  <c r="E180" i="9"/>
  <c r="E118" i="10"/>
  <c r="E107" i="15"/>
  <c r="F107" i="15" s="1"/>
  <c r="F20" i="17"/>
  <c r="F203" i="17"/>
  <c r="E230" i="17"/>
  <c r="E238" i="17"/>
  <c r="F238" i="17" s="1"/>
  <c r="E40" i="20"/>
  <c r="C172" i="17"/>
  <c r="C64" i="19"/>
  <c r="C65" i="19" s="1"/>
  <c r="C114" i="19" s="1"/>
  <c r="C116" i="19" s="1"/>
  <c r="C119" i="19" s="1"/>
  <c r="C123" i="19" s="1"/>
  <c r="D77" i="22"/>
  <c r="D112" i="22" s="1"/>
  <c r="F22" i="20"/>
  <c r="F35" i="20"/>
  <c r="D55" i="18"/>
  <c r="F36" i="20"/>
  <c r="E77" i="22"/>
  <c r="D283" i="18"/>
  <c r="E283" i="18" s="1"/>
  <c r="D65" i="18"/>
  <c r="D175" i="18"/>
  <c r="E175" i="18" s="1"/>
  <c r="F25" i="20"/>
  <c r="F105" i="17" l="1"/>
  <c r="E105" i="17"/>
  <c r="C106" i="17"/>
  <c r="E109" i="22"/>
  <c r="E108" i="22"/>
  <c r="E112" i="22"/>
  <c r="E110" i="22"/>
  <c r="F40" i="20"/>
  <c r="E41" i="20"/>
  <c r="F41" i="20" s="1"/>
  <c r="C63" i="17"/>
  <c r="E62" i="17"/>
  <c r="F62" i="17"/>
  <c r="E21" i="5"/>
  <c r="F21" i="5" s="1"/>
  <c r="D35" i="5"/>
  <c r="D208" i="17"/>
  <c r="E259" i="18"/>
  <c r="D263" i="18"/>
  <c r="E263" i="18" s="1"/>
  <c r="C50" i="5"/>
  <c r="C36" i="14"/>
  <c r="C38" i="14" s="1"/>
  <c r="C40" i="14" s="1"/>
  <c r="I33" i="14"/>
  <c r="I36" i="14" s="1"/>
  <c r="I38" i="14" s="1"/>
  <c r="I40" i="14" s="1"/>
  <c r="H33" i="14"/>
  <c r="H36" i="14" s="1"/>
  <c r="H38" i="14" s="1"/>
  <c r="H40" i="14" s="1"/>
  <c r="F68" i="17"/>
  <c r="D286" i="17"/>
  <c r="E286" i="17" s="1"/>
  <c r="F286" i="17" s="1"/>
  <c r="E283" i="17"/>
  <c r="F283" i="17" s="1"/>
  <c r="D284" i="17"/>
  <c r="E284" i="17" s="1"/>
  <c r="F284" i="17" s="1"/>
  <c r="E124" i="17"/>
  <c r="F124" i="17" s="1"/>
  <c r="D125" i="17"/>
  <c r="E125" i="17" s="1"/>
  <c r="F125" i="17" s="1"/>
  <c r="F188" i="7"/>
  <c r="E188" i="7"/>
  <c r="E215" i="17"/>
  <c r="F215" i="17" s="1"/>
  <c r="D255" i="17"/>
  <c r="E255" i="17" s="1"/>
  <c r="F255" i="17" s="1"/>
  <c r="C90" i="18"/>
  <c r="C141" i="8"/>
  <c r="E55" i="18"/>
  <c r="D235" i="18"/>
  <c r="E235" i="18" s="1"/>
  <c r="F290" i="17"/>
  <c r="D24" i="13"/>
  <c r="D20" i="13" s="1"/>
  <c r="D17" i="13"/>
  <c r="D28" i="13" s="1"/>
  <c r="D70" i="13" s="1"/>
  <c r="D72" i="13" s="1"/>
  <c r="D69" i="13" s="1"/>
  <c r="E141" i="8"/>
  <c r="D95" i="18"/>
  <c r="D87" i="18"/>
  <c r="E87" i="18" s="1"/>
  <c r="D88" i="18"/>
  <c r="E88" i="18" s="1"/>
  <c r="D85" i="18"/>
  <c r="E85" i="18" s="1"/>
  <c r="D86" i="18"/>
  <c r="E86" i="18" s="1"/>
  <c r="D83" i="18"/>
  <c r="D101" i="18"/>
  <c r="E101" i="18" s="1"/>
  <c r="D98" i="18"/>
  <c r="E98" i="18" s="1"/>
  <c r="D258" i="18"/>
  <c r="D99" i="18"/>
  <c r="E99" i="18" s="1"/>
  <c r="D84" i="18"/>
  <c r="D96" i="18"/>
  <c r="E44" i="18"/>
  <c r="D97" i="18"/>
  <c r="E97" i="18" s="1"/>
  <c r="D100" i="18"/>
  <c r="E100" i="18" s="1"/>
  <c r="D89" i="18"/>
  <c r="E89" i="18" s="1"/>
  <c r="D193" i="17"/>
  <c r="E192" i="17"/>
  <c r="F192" i="17" s="1"/>
  <c r="D288" i="17"/>
  <c r="E288" i="17" s="1"/>
  <c r="F288" i="17" s="1"/>
  <c r="E278" i="17"/>
  <c r="F278" i="17" s="1"/>
  <c r="I31" i="14"/>
  <c r="H31" i="14"/>
  <c r="C91" i="18"/>
  <c r="D216" i="17"/>
  <c r="E216" i="17" s="1"/>
  <c r="F216" i="17" s="1"/>
  <c r="E254" i="17"/>
  <c r="F254" i="17" s="1"/>
  <c r="D109" i="22"/>
  <c r="D111" i="22"/>
  <c r="D108" i="22"/>
  <c r="D113" i="22"/>
  <c r="D110" i="22"/>
  <c r="F268" i="17"/>
  <c r="C34" i="12"/>
  <c r="E34" i="12" s="1"/>
  <c r="E43" i="11"/>
  <c r="F43" i="11"/>
  <c r="F181" i="17"/>
  <c r="E181" i="17"/>
  <c r="E223" i="18"/>
  <c r="C247" i="18"/>
  <c r="C113" i="22"/>
  <c r="C48" i="22"/>
  <c r="C38" i="22"/>
  <c r="C56" i="22"/>
  <c r="E56" i="22"/>
  <c r="E38" i="22"/>
  <c r="E113" i="22"/>
  <c r="E48" i="22"/>
  <c r="D21" i="13"/>
  <c r="E75" i="11"/>
  <c r="F75" i="11" s="1"/>
  <c r="C102" i="18"/>
  <c r="C103" i="18" s="1"/>
  <c r="F95" i="6"/>
  <c r="E160" i="17"/>
  <c r="F160" i="17" s="1"/>
  <c r="E20" i="12"/>
  <c r="F20" i="12" s="1"/>
  <c r="D270" i="17"/>
  <c r="E270" i="17" s="1"/>
  <c r="F270" i="17" s="1"/>
  <c r="D271" i="17"/>
  <c r="D268" i="17"/>
  <c r="E268" i="17" s="1"/>
  <c r="E267" i="17"/>
  <c r="F267" i="17" s="1"/>
  <c r="C259" i="18"/>
  <c r="C263" i="18" s="1"/>
  <c r="C77" i="18"/>
  <c r="E76" i="18"/>
  <c r="E272" i="17"/>
  <c r="F272" i="17" s="1"/>
  <c r="C305" i="17"/>
  <c r="E103" i="17"/>
  <c r="C104" i="17"/>
  <c r="F103" i="17"/>
  <c r="D291" i="17"/>
  <c r="E287" i="17"/>
  <c r="F287" i="17" s="1"/>
  <c r="D289" i="17"/>
  <c r="E289" i="17" s="1"/>
  <c r="F289" i="17" s="1"/>
  <c r="E90" i="17"/>
  <c r="F90" i="17" s="1"/>
  <c r="D131" i="18"/>
  <c r="E300" i="17"/>
  <c r="F300" i="17" s="1"/>
  <c r="D141" i="8"/>
  <c r="E111" i="22"/>
  <c r="D66" i="18"/>
  <c r="D294" i="18"/>
  <c r="E294" i="18" s="1"/>
  <c r="D246" i="18"/>
  <c r="E246" i="18" s="1"/>
  <c r="E65" i="18"/>
  <c r="C273" i="17"/>
  <c r="D92" i="17"/>
  <c r="E91" i="17"/>
  <c r="F91" i="17" s="1"/>
  <c r="F52" i="6"/>
  <c r="F172" i="17"/>
  <c r="C173" i="17"/>
  <c r="E172" i="17"/>
  <c r="C207" i="17"/>
  <c r="E126" i="17"/>
  <c r="F126" i="17" s="1"/>
  <c r="D127" i="17"/>
  <c r="E173" i="17"/>
  <c r="D175" i="17"/>
  <c r="D174" i="17"/>
  <c r="E68" i="17"/>
  <c r="D42" i="12"/>
  <c r="E65" i="4"/>
  <c r="F65" i="4" s="1"/>
  <c r="D75" i="4"/>
  <c r="E75" i="4" s="1"/>
  <c r="F75" i="4" s="1"/>
  <c r="C264" i="18"/>
  <c r="C266" i="18" s="1"/>
  <c r="C267" i="18" s="1"/>
  <c r="C269" i="18" l="1"/>
  <c r="C268" i="18"/>
  <c r="C271" i="18" s="1"/>
  <c r="E174" i="17"/>
  <c r="E83" i="18"/>
  <c r="E127" i="17"/>
  <c r="F127" i="17" s="1"/>
  <c r="D148" i="17"/>
  <c r="E148" i="17" s="1"/>
  <c r="F148" i="17" s="1"/>
  <c r="E291" i="17"/>
  <c r="F291" i="17" s="1"/>
  <c r="D305" i="17"/>
  <c r="E96" i="18"/>
  <c r="D102" i="18"/>
  <c r="E102" i="18" s="1"/>
  <c r="D49" i="12"/>
  <c r="E42" i="12"/>
  <c r="C123" i="18"/>
  <c r="E123" i="18" s="1"/>
  <c r="C126" i="18"/>
  <c r="E126" i="18" s="1"/>
  <c r="C113" i="18"/>
  <c r="E113" i="18" s="1"/>
  <c r="C124" i="18"/>
  <c r="E124" i="18" s="1"/>
  <c r="C125" i="18"/>
  <c r="E125" i="18" s="1"/>
  <c r="C110" i="18"/>
  <c r="C111" i="18"/>
  <c r="E111" i="18" s="1"/>
  <c r="C109" i="18"/>
  <c r="C121" i="18"/>
  <c r="C127" i="18"/>
  <c r="E127" i="18" s="1"/>
  <c r="C114" i="18"/>
  <c r="E114" i="18" s="1"/>
  <c r="C122" i="18"/>
  <c r="C115" i="18"/>
  <c r="E115" i="18" s="1"/>
  <c r="E77" i="18"/>
  <c r="C112" i="18"/>
  <c r="E112" i="18" s="1"/>
  <c r="C208" i="17"/>
  <c r="E104" i="17"/>
  <c r="F104" i="17" s="1"/>
  <c r="D210" i="17"/>
  <c r="D209" i="17"/>
  <c r="D266" i="17"/>
  <c r="E193" i="17"/>
  <c r="F193" i="17" s="1"/>
  <c r="D194" i="17"/>
  <c r="D282" i="17"/>
  <c r="E258" i="18"/>
  <c r="D264" i="18"/>
  <c r="E95" i="18"/>
  <c r="D103" i="18"/>
  <c r="E103" i="18" s="1"/>
  <c r="D43" i="5"/>
  <c r="E35" i="5"/>
  <c r="F35" i="5" s="1"/>
  <c r="F173" i="17"/>
  <c r="C174" i="17"/>
  <c r="C175" i="17"/>
  <c r="C105" i="18"/>
  <c r="C309" i="17"/>
  <c r="E66" i="18"/>
  <c r="D295" i="18"/>
  <c r="E295" i="18" s="1"/>
  <c r="D247" i="18"/>
  <c r="E247" i="18" s="1"/>
  <c r="D22" i="13"/>
  <c r="C70" i="17"/>
  <c r="E63" i="17"/>
  <c r="F63" i="17" s="1"/>
  <c r="D176" i="17"/>
  <c r="C113" i="17"/>
  <c r="E106" i="17"/>
  <c r="F106" i="17" s="1"/>
  <c r="C324" i="17"/>
  <c r="D324" i="17"/>
  <c r="D113" i="17"/>
  <c r="E113" i="17" s="1"/>
  <c r="E92" i="17"/>
  <c r="F92" i="17" s="1"/>
  <c r="C42" i="12"/>
  <c r="F34" i="12"/>
  <c r="D304" i="17"/>
  <c r="D273" i="17"/>
  <c r="E273" i="17" s="1"/>
  <c r="E271" i="17"/>
  <c r="F271" i="17" s="1"/>
  <c r="F273" i="17"/>
  <c r="D90" i="18"/>
  <c r="E90" i="18" s="1"/>
  <c r="E84" i="18"/>
  <c r="E207" i="17"/>
  <c r="F207" i="17" s="1"/>
  <c r="F208" i="17" l="1"/>
  <c r="C209" i="17"/>
  <c r="C210" i="17"/>
  <c r="D325" i="17"/>
  <c r="E324" i="17"/>
  <c r="F324" i="17" s="1"/>
  <c r="C310" i="17"/>
  <c r="D211" i="17"/>
  <c r="C116" i="18"/>
  <c r="E116" i="18" s="1"/>
  <c r="E110" i="18"/>
  <c r="C176" i="17"/>
  <c r="F175" i="17"/>
  <c r="E208" i="17"/>
  <c r="E304" i="17"/>
  <c r="F304" i="17" s="1"/>
  <c r="F113" i="17"/>
  <c r="C128" i="18"/>
  <c r="E128" i="18" s="1"/>
  <c r="E122" i="18"/>
  <c r="E282" i="17"/>
  <c r="F282" i="17" s="1"/>
  <c r="D281" i="17"/>
  <c r="E281" i="17" s="1"/>
  <c r="F281" i="17" s="1"/>
  <c r="F42" i="12"/>
  <c r="C49" i="12"/>
  <c r="E175" i="17"/>
  <c r="D196" i="17"/>
  <c r="D195" i="17"/>
  <c r="E195" i="17" s="1"/>
  <c r="F195" i="17" s="1"/>
  <c r="E194" i="17"/>
  <c r="F194" i="17" s="1"/>
  <c r="E176" i="17"/>
  <c r="D323" i="17"/>
  <c r="D183" i="17"/>
  <c r="D50" i="5"/>
  <c r="E50" i="5" s="1"/>
  <c r="F50" i="5" s="1"/>
  <c r="E43" i="5"/>
  <c r="F43" i="5" s="1"/>
  <c r="E121" i="18"/>
  <c r="C129" i="18"/>
  <c r="E129" i="18" s="1"/>
  <c r="E109" i="18"/>
  <c r="E266" i="17"/>
  <c r="F266" i="17" s="1"/>
  <c r="D265" i="17"/>
  <c r="E265" i="17" s="1"/>
  <c r="F265" i="17" s="1"/>
  <c r="D91" i="18"/>
  <c r="E70" i="17"/>
  <c r="F70" i="17" s="1"/>
  <c r="E209" i="17"/>
  <c r="E264" i="18"/>
  <c r="D266" i="18"/>
  <c r="F174" i="17"/>
  <c r="D309" i="17"/>
  <c r="E309" i="17" s="1"/>
  <c r="F309" i="17" s="1"/>
  <c r="E305" i="17"/>
  <c r="F305" i="17" s="1"/>
  <c r="F176" i="17" l="1"/>
  <c r="C211" i="17"/>
  <c r="C183" i="17"/>
  <c r="F183" i="17" s="1"/>
  <c r="C323" i="17"/>
  <c r="E323" i="17" s="1"/>
  <c r="E91" i="18"/>
  <c r="D105" i="18"/>
  <c r="E105" i="18" s="1"/>
  <c r="D197" i="17"/>
  <c r="E197" i="17" s="1"/>
  <c r="F197" i="17" s="1"/>
  <c r="E196" i="17"/>
  <c r="F196" i="17" s="1"/>
  <c r="F209" i="17"/>
  <c r="E210" i="17"/>
  <c r="F210" i="17" s="1"/>
  <c r="E266" i="18"/>
  <c r="D267" i="18"/>
  <c r="D310" i="17"/>
  <c r="E211" i="17"/>
  <c r="C312" i="17"/>
  <c r="E49" i="12"/>
  <c r="F49" i="12" s="1"/>
  <c r="C117" i="18"/>
  <c r="D312" i="17" l="1"/>
  <c r="E310" i="17"/>
  <c r="F310" i="17" s="1"/>
  <c r="C131" i="18"/>
  <c r="E131" i="18" s="1"/>
  <c r="E117" i="18"/>
  <c r="D269" i="18"/>
  <c r="E269" i="18" s="1"/>
  <c r="E267" i="18"/>
  <c r="D268" i="18"/>
  <c r="F211" i="17"/>
  <c r="F323" i="17"/>
  <c r="C325" i="17"/>
  <c r="C313" i="17"/>
  <c r="E183" i="17"/>
  <c r="E268" i="18" l="1"/>
  <c r="D271" i="18"/>
  <c r="E271" i="18" s="1"/>
  <c r="C251" i="17"/>
  <c r="C256" i="17"/>
  <c r="C314" i="17"/>
  <c r="C315" i="17"/>
  <c r="F325" i="17"/>
  <c r="E325" i="17"/>
  <c r="E312" i="17"/>
  <c r="F312" i="17" s="1"/>
  <c r="D313" i="17"/>
  <c r="D315" i="17" l="1"/>
  <c r="E315" i="17" s="1"/>
  <c r="F315" i="17" s="1"/>
  <c r="D314" i="17"/>
  <c r="E313" i="17"/>
  <c r="F313" i="17" s="1"/>
  <c r="D251" i="17"/>
  <c r="E251" i="17" s="1"/>
  <c r="F251" i="17" s="1"/>
  <c r="D256" i="17"/>
  <c r="C318" i="17"/>
  <c r="C257" i="17"/>
  <c r="D257" i="17" l="1"/>
  <c r="E257" i="17" s="1"/>
  <c r="E256" i="17"/>
  <c r="F256" i="17" s="1"/>
  <c r="E314" i="17"/>
  <c r="F314" i="17" s="1"/>
  <c r="D318" i="17"/>
  <c r="E318" i="17" s="1"/>
  <c r="F318" i="17" s="1"/>
  <c r="F257" i="17"/>
</calcChain>
</file>

<file path=xl/sharedStrings.xml><?xml version="1.0" encoding="utf-8"?>
<sst xmlns="http://schemas.openxmlformats.org/spreadsheetml/2006/main" count="2333" uniqueCount="1008">
  <si>
    <t>BRIDGEPORT HOSPITAL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</si>
  <si>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</si>
  <si>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</si>
  <si>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</si>
  <si>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</si>
  <si>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</si>
  <si>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</si>
  <si>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</si>
  <si>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</si>
  <si>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</si>
  <si>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</si>
  <si>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</si>
  <si>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</si>
  <si>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</si>
  <si>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</si>
  <si>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</si>
  <si>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</si>
  <si>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</si>
  <si>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</si>
  <si>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</si>
  <si>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</si>
  <si>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</si>
  <si>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</si>
  <si>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</si>
  <si>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</si>
  <si>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</si>
  <si>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</si>
  <si>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</si>
  <si>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</si>
  <si>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</si>
  <si>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</si>
  <si>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</si>
  <si>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</si>
  <si>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</si>
  <si>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</si>
  <si>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</si>
  <si>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</si>
  <si>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</si>
  <si>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</si>
  <si>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</si>
  <si>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</si>
  <si>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</si>
  <si>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</si>
  <si>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</si>
  <si>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</si>
  <si>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</si>
  <si>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</si>
  <si>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</si>
  <si>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</si>
  <si>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</si>
  <si>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</si>
  <si>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</si>
  <si>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</si>
  <si>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</si>
  <si>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</si>
  <si>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</si>
  <si>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</si>
  <si>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</si>
  <si>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</si>
  <si>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</si>
  <si>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</si>
  <si>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</si>
  <si>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</si>
  <si>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</si>
  <si>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</si>
  <si>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</si>
  <si>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</si>
  <si>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</si>
  <si>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</si>
  <si>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</si>
  <si>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</si>
  <si>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</si>
  <si>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</si>
  <si>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</si>
  <si>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</si>
  <si>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</si>
  <si>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</si>
  <si>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</si>
  <si>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</si>
  <si>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</si>
  <si>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</si>
  <si>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</si>
  <si>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</si>
  <si>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</si>
  <si>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</si>
  <si>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</si>
  <si>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</si>
  <si>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</si>
  <si>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</si>
  <si>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</si>
  <si>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</si>
  <si>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</si>
  <si>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</si>
  <si>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</si>
  <si>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</si>
  <si>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</si>
  <si>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</si>
  <si>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</si>
  <si>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</si>
  <si>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</si>
  <si>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</si>
  <si>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</si>
  <si>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</si>
  <si>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</si>
  <si>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</si>
  <si>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</si>
  <si>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</si>
  <si>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</si>
  <si>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</si>
  <si>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</si>
  <si>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</si>
  <si>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</si>
  <si>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</si>
  <si>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</si>
  <si>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</si>
  <si>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</si>
  <si>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</si>
  <si>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</si>
  <si>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</si>
  <si>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</si>
  <si>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</si>
  <si>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</si>
  <si>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</si>
  <si>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</si>
  <si>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</si>
  <si>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</si>
  <si>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</si>
  <si>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</si>
  <si>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</si>
  <si>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</si>
  <si>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</si>
  <si>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</si>
  <si>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</si>
  <si>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</si>
  <si>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</si>
  <si>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</si>
  <si>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</si>
  <si>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</si>
  <si>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</si>
  <si>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</si>
  <si>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</si>
  <si>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</si>
  <si>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</si>
  <si>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</si>
  <si>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</si>
  <si>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</si>
  <si>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</si>
  <si>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</si>
  <si>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</si>
  <si>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</si>
  <si>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</si>
  <si>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</si>
  <si>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</si>
  <si>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</si>
  <si>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</si>
  <si>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</si>
  <si>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</si>
  <si>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</si>
  <si>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</si>
  <si>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</si>
  <si>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</si>
  <si>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</si>
  <si>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</si>
  <si>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</si>
  <si>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</si>
  <si>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</si>
  <si>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</si>
  <si>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</si>
  <si>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</si>
  <si>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</si>
  <si>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</si>
  <si>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</si>
  <si>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</si>
  <si>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</si>
  <si>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</si>
  <si>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</si>
  <si>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</si>
  <si>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</si>
  <si>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</si>
  <si>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</si>
  <si>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</si>
  <si>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</si>
  <si>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</si>
  <si>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</si>
  <si>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</si>
  <si>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</si>
  <si>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</si>
  <si>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</si>
  <si>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</si>
  <si>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</si>
  <si>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</si>
  <si>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</si>
  <si>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</si>
  <si>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</si>
  <si>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</si>
  <si>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</si>
  <si>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</si>
  <si>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</si>
  <si>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</si>
  <si>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</si>
  <si>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</si>
  <si>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</si>
  <si>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</si>
  <si>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</si>
  <si>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</si>
  <si>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</si>
  <si>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</si>
  <si>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</si>
  <si>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</si>
  <si>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</si>
  <si>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</si>
  <si>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</si>
  <si>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</si>
  <si>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</si>
  <si>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</si>
  <si>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</si>
  <si>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</si>
  <si>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</si>
  <si>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</si>
  <si>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</si>
  <si>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</si>
  <si>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</si>
  <si>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</si>
  <si>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</si>
  <si>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</si>
  <si>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</si>
  <si>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</si>
  <si>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</si>
  <si>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</si>
  <si>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</si>
  <si>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</si>
  <si>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</si>
  <si>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</si>
  <si>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</si>
  <si>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</si>
  <si>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</si>
  <si>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</si>
  <si>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</si>
  <si>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</si>
  <si>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</si>
  <si>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</si>
  <si>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</si>
  <si>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</si>
  <si>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</si>
  <si>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</si>
  <si>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</si>
  <si>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</si>
  <si>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</si>
  <si>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</si>
  <si>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</si>
  <si>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</si>
  <si>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</si>
  <si>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</si>
  <si>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</si>
  <si>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</si>
  <si>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</si>
  <si>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</si>
  <si>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</si>
  <si>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</si>
  <si>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</si>
  <si>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</si>
  <si>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</si>
  <si>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</si>
  <si>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</si>
  <si>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</si>
  <si>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</si>
  <si>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</si>
  <si>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</si>
  <si>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</si>
  <si>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</si>
  <si>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</si>
  <si>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</si>
  <si>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</si>
  <si>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</si>
  <si>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</si>
  <si>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</si>
  <si>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</si>
  <si>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</si>
  <si>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</si>
  <si>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</si>
  <si>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</si>
  <si>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</si>
  <si>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</si>
  <si>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</si>
  <si>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</si>
  <si>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</si>
  <si>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</si>
  <si>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</si>
  <si>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</si>
  <si>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</si>
  <si>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</si>
  <si>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</si>
  <si>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</si>
  <si>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</si>
  <si>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</si>
  <si>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</si>
  <si>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</si>
  <si>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</si>
  <si>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</si>
  <si>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</si>
  <si>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</si>
  <si>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</si>
  <si>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</si>
  <si>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</si>
  <si>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</si>
  <si>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</si>
  <si>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</si>
  <si>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</si>
  <si>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</si>
  <si>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</si>
  <si>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</si>
  <si>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</si>
  <si>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</si>
  <si>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</si>
  <si>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</si>
  <si>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</si>
  <si>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</si>
  <si>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</si>
  <si>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</si>
  <si>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</si>
  <si>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</si>
  <si>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</si>
  <si>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</si>
  <si>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</si>
  <si>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</si>
  <si>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</si>
  <si>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</si>
  <si>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</si>
  <si>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</si>
  <si>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</si>
  <si>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</si>
  <si>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</si>
  <si>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</si>
  <si>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</si>
  <si>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</si>
  <si>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</si>
  <si>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</si>
  <si>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</si>
  <si>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</si>
  <si>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</si>
  <si>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</si>
  <si>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</si>
  <si>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</si>
  <si>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</si>
  <si>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</si>
  <si>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</si>
  <si>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</si>
  <si>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</si>
  <si>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</si>
  <si>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</si>
  <si>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</si>
  <si>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</si>
  <si>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</si>
  <si>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</si>
  <si>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</si>
  <si>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</si>
  <si>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</si>
  <si>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</si>
  <si>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</si>
  <si>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</si>
  <si>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</si>
  <si>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</si>
  <si>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</si>
  <si>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</si>
  <si>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</si>
  <si>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</si>
  <si>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</si>
  <si>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</si>
  <si>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</si>
  <si>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</si>
  <si>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</si>
  <si>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</si>
  <si>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</si>
  <si>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</si>
  <si>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</si>
  <si>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</si>
  <si>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</si>
  <si>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</si>
  <si>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</si>
  <si>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</si>
  <si>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</si>
  <si>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</si>
  <si>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</si>
  <si>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</si>
  <si>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</si>
  <si>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</si>
  <si>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</si>
  <si>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</si>
  <si>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</si>
  <si>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</si>
  <si>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</si>
  <si>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</si>
  <si>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</si>
  <si>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</si>
  <si>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</si>
  <si>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</si>
  <si>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</si>
  <si>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</si>
  <si>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</si>
  <si>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</si>
  <si>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</si>
  <si>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</si>
  <si>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</si>
  <si>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</si>
  <si>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</si>
  <si>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</si>
  <si>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</si>
  <si>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</si>
  <si>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</si>
  <si>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</si>
  <si>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</si>
  <si>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</si>
  <si>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</si>
  <si>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</si>
  <si>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</si>
  <si>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</si>
  <si>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</si>
  <si>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</si>
  <si>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</si>
  <si>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</si>
  <si>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</si>
  <si>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</si>
  <si>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</si>
  <si>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</si>
  <si>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</si>
  <si>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</si>
  <si>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</si>
  <si>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</si>
  <si>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</si>
  <si>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</si>
  <si>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</si>
  <si>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</si>
  <si>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</si>
  <si>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</si>
  <si>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</si>
  <si>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</si>
  <si>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</si>
  <si>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</si>
  <si>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</si>
  <si>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</si>
  <si>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</si>
  <si>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</si>
  <si>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</si>
  <si>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</si>
  <si>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</si>
  <si>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</si>
  <si>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</si>
  <si>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</si>
  <si>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</si>
  <si>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</si>
  <si>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</si>
  <si>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</si>
  <si>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</si>
  <si>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</si>
  <si>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</si>
  <si>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</si>
  <si>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</si>
  <si>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</si>
  <si>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</si>
  <si>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</si>
  <si>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</si>
  <si>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</si>
  <si>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</si>
  <si>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</si>
  <si>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</si>
  <si>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</si>
  <si>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</si>
  <si>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</si>
  <si>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</si>
  <si>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</si>
  <si>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</si>
  <si>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</si>
  <si>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</si>
  <si>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</si>
  <si>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</si>
  <si>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</si>
  <si>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</si>
  <si>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</si>
  <si>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</si>
  <si>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</si>
  <si>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</si>
  <si>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</si>
  <si>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</si>
  <si>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</si>
  <si>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</si>
  <si>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</si>
  <si>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</si>
  <si>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</si>
  <si>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</si>
  <si>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</si>
  <si>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</si>
  <si>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</si>
  <si>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</si>
  <si>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</si>
  <si>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</si>
  <si>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</si>
  <si>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</si>
  <si>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</si>
  <si>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</si>
  <si>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</si>
  <si>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YALE NEW HAVEN HEALTH SERVICES CORPORATION, INC. (YNHHSC)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</si>
  <si>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</si>
  <si>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</si>
  <si>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</si>
  <si>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</si>
  <si>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</si>
  <si>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</si>
  <si>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</si>
  <si>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</si>
  <si>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</si>
  <si>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</si>
  <si>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</si>
  <si>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</si>
  <si>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</si>
  <si>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</si>
  <si>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</si>
  <si>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</si>
  <si>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</si>
  <si>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</si>
  <si>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</si>
  <si>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</si>
  <si>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</si>
  <si>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</si>
  <si>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</si>
  <si>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</si>
  <si>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</si>
  <si>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</si>
  <si>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</si>
  <si>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</si>
  <si>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</si>
  <si>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</si>
  <si>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</si>
  <si>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</si>
  <si>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</si>
  <si>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</si>
  <si>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</si>
  <si>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</si>
  <si>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</si>
  <si>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</si>
  <si>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</si>
  <si>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</si>
  <si>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</si>
  <si>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</si>
  <si>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</si>
  <si>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</si>
  <si>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</si>
  <si>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</si>
  <si>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</si>
  <si>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</si>
  <si>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</si>
  <si>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</si>
  <si>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</si>
  <si>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</si>
  <si>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</si>
  <si>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</si>
  <si>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</si>
  <si>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</si>
  <si>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</si>
  <si>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</si>
  <si>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</si>
  <si>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</si>
  <si>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</si>
  <si>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</si>
  <si>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</si>
  <si>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</si>
  <si>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</si>
  <si>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</si>
  <si>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</si>
  <si>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</si>
  <si>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</si>
  <si>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</si>
  <si>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</si>
  <si>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</si>
  <si>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</si>
  <si>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</si>
  <si>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</si>
  <si>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</si>
  <si>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</si>
  <si>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</si>
  <si>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</si>
  <si>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</si>
  <si>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</si>
  <si>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</si>
  <si>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</si>
  <si>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</si>
  <si>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</si>
  <si>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</si>
  <si>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</si>
  <si>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</si>
  <si>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</si>
  <si>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</si>
  <si>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</si>
  <si>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</si>
  <si>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</si>
  <si>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</si>
  <si>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</si>
  <si>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</si>
  <si>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</si>
  <si>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</si>
  <si>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</si>
  <si>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</si>
  <si>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</si>
  <si>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</si>
  <si>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</si>
  <si>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</si>
  <si>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</si>
  <si>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</si>
  <si>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</si>
  <si>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</si>
  <si>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</si>
  <si>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</si>
  <si>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</si>
  <si>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</si>
  <si>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</si>
  <si>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</si>
  <si>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</si>
  <si>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</si>
  <si>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</si>
  <si>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</si>
  <si>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</si>
  <si>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</si>
  <si>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Bridgeport Hospital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</si>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</sst>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28527000</v>
      </c>
      <c r="D13" s="22">
        <v>25968000</v>
      </c>
      <c r="E13" s="22">
        <f t="shared" ref="E13:E22" si="0">D13-C13</f>
        <v>-2559000</v>
      </c>
      <c r="F13" s="23">
        <f t="shared" ref="F13:F22" si="1">IF(C13=0,0,E13/C13)</f>
        <v>-8.97044904827006E-2</v>
      </c>
    </row>
    <row r="14" spans="1:8" ht="24" customHeight="1" x14ac:dyDescent="0.2">
      <c r="A14" s="20">
        <v>2</v>
      </c>
      <c r="B14" s="21" t="s">
        <v>17</v>
      </c>
      <c r="C14" s="22">
        <v>37860000</v>
      </c>
      <c r="D14" s="22">
        <v>61779000</v>
      </c>
      <c r="E14" s="22">
        <f t="shared" si="0"/>
        <v>23919000</v>
      </c>
      <c r="F14" s="23">
        <f t="shared" si="1"/>
        <v>0.63177496038034864</v>
      </c>
    </row>
    <row r="15" spans="1:8" ht="24" customHeight="1" x14ac:dyDescent="0.2">
      <c r="A15" s="20">
        <v>3</v>
      </c>
      <c r="B15" s="21" t="s">
        <v>18</v>
      </c>
      <c r="C15" s="22">
        <v>49732000</v>
      </c>
      <c r="D15" s="22">
        <v>54662000</v>
      </c>
      <c r="E15" s="22">
        <f t="shared" si="0"/>
        <v>4930000</v>
      </c>
      <c r="F15" s="23">
        <f t="shared" si="1"/>
        <v>9.91313440038607E-2</v>
      </c>
    </row>
    <row r="16" spans="1:8" ht="24" customHeight="1" x14ac:dyDescent="0.2">
      <c r="A16" s="20">
        <v>4</v>
      </c>
      <c r="B16" s="21" t="s">
        <v>19</v>
      </c>
      <c r="C16" s="22">
        <v>247000</v>
      </c>
      <c r="D16" s="22">
        <v>679000</v>
      </c>
      <c r="E16" s="22">
        <f t="shared" si="0"/>
        <v>432000</v>
      </c>
      <c r="F16" s="23">
        <f t="shared" si="1"/>
        <v>1.7489878542510122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4338000</v>
      </c>
      <c r="D19" s="22">
        <v>4349000</v>
      </c>
      <c r="E19" s="22">
        <f t="shared" si="0"/>
        <v>11000</v>
      </c>
      <c r="F19" s="23">
        <f t="shared" si="1"/>
        <v>2.5357307514983865E-3</v>
      </c>
    </row>
    <row r="20" spans="1:11" ht="24" customHeight="1" x14ac:dyDescent="0.2">
      <c r="A20" s="20">
        <v>8</v>
      </c>
      <c r="B20" s="21" t="s">
        <v>23</v>
      </c>
      <c r="C20" s="22">
        <v>8608000</v>
      </c>
      <c r="D20" s="22">
        <v>8021000</v>
      </c>
      <c r="E20" s="22">
        <f t="shared" si="0"/>
        <v>-587000</v>
      </c>
      <c r="F20" s="23">
        <f t="shared" si="1"/>
        <v>-6.8192379182156135E-2</v>
      </c>
    </row>
    <row r="21" spans="1:11" ht="24" customHeight="1" x14ac:dyDescent="0.2">
      <c r="A21" s="20">
        <v>9</v>
      </c>
      <c r="B21" s="21" t="s">
        <v>24</v>
      </c>
      <c r="C21" s="22">
        <v>17489000</v>
      </c>
      <c r="D21" s="22">
        <v>13630000</v>
      </c>
      <c r="E21" s="22">
        <f t="shared" si="0"/>
        <v>-3859000</v>
      </c>
      <c r="F21" s="23">
        <f t="shared" si="1"/>
        <v>-0.220652981874321</v>
      </c>
    </row>
    <row r="22" spans="1:11" ht="24" customHeight="1" x14ac:dyDescent="0.25">
      <c r="A22" s="24"/>
      <c r="B22" s="25" t="s">
        <v>25</v>
      </c>
      <c r="C22" s="26">
        <f>SUM(C13:C21)</f>
        <v>146801000</v>
      </c>
      <c r="D22" s="26">
        <f>SUM(D13:D21)</f>
        <v>169088000</v>
      </c>
      <c r="E22" s="26">
        <f t="shared" si="0"/>
        <v>22287000</v>
      </c>
      <c r="F22" s="27">
        <f t="shared" si="1"/>
        <v>0.15181776690894477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0</v>
      </c>
      <c r="D25" s="22">
        <v>0</v>
      </c>
      <c r="E25" s="22">
        <f>D25-C25</f>
        <v>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3856000</v>
      </c>
      <c r="D28" s="22">
        <v>0</v>
      </c>
      <c r="E28" s="22">
        <f>D28-C28</f>
        <v>-3856000</v>
      </c>
      <c r="F28" s="23">
        <f>IF(C28=0,0,E28/C28)</f>
        <v>-1</v>
      </c>
    </row>
    <row r="29" spans="1:11" ht="24" customHeight="1" x14ac:dyDescent="0.25">
      <c r="A29" s="24"/>
      <c r="B29" s="25" t="s">
        <v>32</v>
      </c>
      <c r="C29" s="26">
        <f>SUM(C25:C28)</f>
        <v>3856000</v>
      </c>
      <c r="D29" s="26">
        <f>SUM(D25:D28)</f>
        <v>0</v>
      </c>
      <c r="E29" s="26">
        <f>D29-C29</f>
        <v>-3856000</v>
      </c>
      <c r="F29" s="27">
        <f>IF(C29=0,0,E29/C29)</f>
        <v>-1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65812000</v>
      </c>
      <c r="D31" s="22">
        <v>69267000</v>
      </c>
      <c r="E31" s="22">
        <f>D31-C31</f>
        <v>3455000</v>
      </c>
      <c r="F31" s="23">
        <f>IF(C31=0,0,E31/C31)</f>
        <v>5.249802467635082E-2</v>
      </c>
    </row>
    <row r="32" spans="1:11" ht="24" customHeight="1" x14ac:dyDescent="0.2">
      <c r="A32" s="20">
        <v>6</v>
      </c>
      <c r="B32" s="21" t="s">
        <v>34</v>
      </c>
      <c r="C32" s="22">
        <v>25131000</v>
      </c>
      <c r="D32" s="22">
        <v>22585000</v>
      </c>
      <c r="E32" s="22">
        <f>D32-C32</f>
        <v>-2546000</v>
      </c>
      <c r="F32" s="23">
        <f>IF(C32=0,0,E32/C32)</f>
        <v>-0.10130914010584537</v>
      </c>
    </row>
    <row r="33" spans="1:8" ht="24" customHeight="1" x14ac:dyDescent="0.2">
      <c r="A33" s="20">
        <v>7</v>
      </c>
      <c r="B33" s="21" t="s">
        <v>35</v>
      </c>
      <c r="C33" s="22">
        <v>65835000</v>
      </c>
      <c r="D33" s="22">
        <v>60406000</v>
      </c>
      <c r="E33" s="22">
        <f>D33-C33</f>
        <v>-5429000</v>
      </c>
      <c r="F33" s="23">
        <f>IF(C33=0,0,E33/C33)</f>
        <v>-8.2463735095314045E-2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431816000</v>
      </c>
      <c r="D36" s="22">
        <v>430427000</v>
      </c>
      <c r="E36" s="22">
        <f>D36-C36</f>
        <v>-1389000</v>
      </c>
      <c r="F36" s="23">
        <f>IF(C36=0,0,E36/C36)</f>
        <v>-3.2166478314837803E-3</v>
      </c>
    </row>
    <row r="37" spans="1:8" ht="24" customHeight="1" x14ac:dyDescent="0.2">
      <c r="A37" s="20">
        <v>2</v>
      </c>
      <c r="B37" s="21" t="s">
        <v>39</v>
      </c>
      <c r="C37" s="22">
        <v>303677000</v>
      </c>
      <c r="D37" s="22">
        <v>289391000</v>
      </c>
      <c r="E37" s="22">
        <f>D37-C37</f>
        <v>-14286000</v>
      </c>
      <c r="F37" s="23">
        <f>IF(C37=0,0,E37/C37)</f>
        <v>-4.7043404670093554E-2</v>
      </c>
    </row>
    <row r="38" spans="1:8" ht="24" customHeight="1" x14ac:dyDescent="0.25">
      <c r="A38" s="24"/>
      <c r="B38" s="25" t="s">
        <v>40</v>
      </c>
      <c r="C38" s="26">
        <f>C36-C37</f>
        <v>128139000</v>
      </c>
      <c r="D38" s="26">
        <f>D36-D37</f>
        <v>141036000</v>
      </c>
      <c r="E38" s="26">
        <f>D38-C38</f>
        <v>12897000</v>
      </c>
      <c r="F38" s="27">
        <f>IF(C38=0,0,E38/C38)</f>
        <v>0.10064851450378105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37001000</v>
      </c>
      <c r="D40" s="22">
        <v>69785000</v>
      </c>
      <c r="E40" s="22">
        <f>D40-C40</f>
        <v>32784000</v>
      </c>
      <c r="F40" s="23">
        <f>IF(C40=0,0,E40/C40)</f>
        <v>0.88603010729439746</v>
      </c>
    </row>
    <row r="41" spans="1:8" ht="24" customHeight="1" x14ac:dyDescent="0.25">
      <c r="A41" s="24"/>
      <c r="B41" s="25" t="s">
        <v>42</v>
      </c>
      <c r="C41" s="26">
        <f>+C38+C40</f>
        <v>165140000</v>
      </c>
      <c r="D41" s="26">
        <f>+D38+D40</f>
        <v>210821000</v>
      </c>
      <c r="E41" s="26">
        <f>D41-C41</f>
        <v>45681000</v>
      </c>
      <c r="F41" s="27">
        <f>IF(C41=0,0,E41/C41)</f>
        <v>0.27661983771345527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472575000</v>
      </c>
      <c r="D43" s="26">
        <f>D22+D29+D31+D32+D33+D41</f>
        <v>532167000</v>
      </c>
      <c r="E43" s="26">
        <f>D43-C43</f>
        <v>59592000</v>
      </c>
      <c r="F43" s="27">
        <f>IF(C43=0,0,E43/C43)</f>
        <v>0.12610061894937311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53516000</v>
      </c>
      <c r="D49" s="22">
        <v>50085000</v>
      </c>
      <c r="E49" s="22">
        <f t="shared" ref="E49:E56" si="2">D49-C49</f>
        <v>-3431000</v>
      </c>
      <c r="F49" s="23">
        <f t="shared" ref="F49:F56" si="3">IF(C49=0,0,E49/C49)</f>
        <v>-6.4111667538680014E-2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15356000</v>
      </c>
      <c r="D50" s="22">
        <v>18777000</v>
      </c>
      <c r="E50" s="22">
        <f t="shared" si="2"/>
        <v>3421000</v>
      </c>
      <c r="F50" s="23">
        <f t="shared" si="3"/>
        <v>0.22277936962750716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0</v>
      </c>
      <c r="D51" s="22">
        <v>0</v>
      </c>
      <c r="E51" s="22">
        <f t="shared" si="2"/>
        <v>0</v>
      </c>
      <c r="F51" s="23">
        <f t="shared" si="3"/>
        <v>0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17535000</v>
      </c>
      <c r="D53" s="22">
        <v>12179000</v>
      </c>
      <c r="E53" s="22">
        <f t="shared" si="2"/>
        <v>-5356000</v>
      </c>
      <c r="F53" s="23">
        <f t="shared" si="3"/>
        <v>-0.30544625035642997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4590000</v>
      </c>
      <c r="D55" s="22">
        <v>15856000</v>
      </c>
      <c r="E55" s="22">
        <f t="shared" si="2"/>
        <v>11266000</v>
      </c>
      <c r="F55" s="23">
        <f t="shared" si="3"/>
        <v>2.454466230936819</v>
      </c>
    </row>
    <row r="56" spans="1:6" ht="24" customHeight="1" x14ac:dyDescent="0.25">
      <c r="A56" s="24"/>
      <c r="B56" s="25" t="s">
        <v>54</v>
      </c>
      <c r="C56" s="26">
        <f>SUM(C49:C55)</f>
        <v>90997000</v>
      </c>
      <c r="D56" s="26">
        <f>SUM(D49:D55)</f>
        <v>96897000</v>
      </c>
      <c r="E56" s="26">
        <f t="shared" si="2"/>
        <v>5900000</v>
      </c>
      <c r="F56" s="27">
        <f t="shared" si="3"/>
        <v>6.4837302328648191E-2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79882000</v>
      </c>
      <c r="D59" s="22">
        <v>73372000</v>
      </c>
      <c r="E59" s="22">
        <f>D59-C59</f>
        <v>-6510000</v>
      </c>
      <c r="F59" s="23">
        <f>IF(C59=0,0,E59/C59)</f>
        <v>-8.1495205428006312E-2</v>
      </c>
    </row>
    <row r="60" spans="1:6" ht="24" customHeight="1" x14ac:dyDescent="0.2">
      <c r="A60" s="20">
        <v>2</v>
      </c>
      <c r="B60" s="21" t="s">
        <v>57</v>
      </c>
      <c r="C60" s="22">
        <v>20160000</v>
      </c>
      <c r="D60" s="22">
        <v>60309000</v>
      </c>
      <c r="E60" s="22">
        <f>D60-C60</f>
        <v>40149000</v>
      </c>
      <c r="F60" s="23">
        <f>IF(C60=0,0,E60/C60)</f>
        <v>1.9915178571428571</v>
      </c>
    </row>
    <row r="61" spans="1:6" ht="24" customHeight="1" x14ac:dyDescent="0.25">
      <c r="A61" s="24"/>
      <c r="B61" s="25" t="s">
        <v>58</v>
      </c>
      <c r="C61" s="26">
        <f>SUM(C59:C60)</f>
        <v>100042000</v>
      </c>
      <c r="D61" s="26">
        <f>SUM(D59:D60)</f>
        <v>133681000</v>
      </c>
      <c r="E61" s="26">
        <f>D61-C61</f>
        <v>33639000</v>
      </c>
      <c r="F61" s="27">
        <f>IF(C61=0,0,E61/C61)</f>
        <v>0.336248775514284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58281000</v>
      </c>
      <c r="D63" s="22">
        <v>68304000</v>
      </c>
      <c r="E63" s="22">
        <f>D63-C63</f>
        <v>10023000</v>
      </c>
      <c r="F63" s="23">
        <f>IF(C63=0,0,E63/C63)</f>
        <v>0.17197714521027435</v>
      </c>
    </row>
    <row r="64" spans="1:6" ht="24" customHeight="1" x14ac:dyDescent="0.2">
      <c r="A64" s="20">
        <v>4</v>
      </c>
      <c r="B64" s="21" t="s">
        <v>60</v>
      </c>
      <c r="C64" s="22">
        <v>67422000</v>
      </c>
      <c r="D64" s="22">
        <v>64721000</v>
      </c>
      <c r="E64" s="22">
        <f>D64-C64</f>
        <v>-2701000</v>
      </c>
      <c r="F64" s="23">
        <f>IF(C64=0,0,E64/C64)</f>
        <v>-4.0061107650321851E-2</v>
      </c>
    </row>
    <row r="65" spans="1:6" ht="24" customHeight="1" x14ac:dyDescent="0.25">
      <c r="A65" s="24"/>
      <c r="B65" s="25" t="s">
        <v>61</v>
      </c>
      <c r="C65" s="26">
        <f>SUM(C61:C64)</f>
        <v>225745000</v>
      </c>
      <c r="D65" s="26">
        <f>SUM(D61:D64)</f>
        <v>266706000</v>
      </c>
      <c r="E65" s="26">
        <f>D65-C65</f>
        <v>40961000</v>
      </c>
      <c r="F65" s="27">
        <f>IF(C65=0,0,E65/C65)</f>
        <v>0.18144809408846266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100811000</v>
      </c>
      <c r="D70" s="22">
        <v>110843000</v>
      </c>
      <c r="E70" s="22">
        <f>D70-C70</f>
        <v>10032000</v>
      </c>
      <c r="F70" s="23">
        <f>IF(C70=0,0,E70/C70)</f>
        <v>9.9512949975697096E-2</v>
      </c>
    </row>
    <row r="71" spans="1:6" ht="24" customHeight="1" x14ac:dyDescent="0.2">
      <c r="A71" s="20">
        <v>2</v>
      </c>
      <c r="B71" s="21" t="s">
        <v>65</v>
      </c>
      <c r="C71" s="22">
        <v>33279000</v>
      </c>
      <c r="D71" s="22">
        <v>34845000</v>
      </c>
      <c r="E71" s="22">
        <f>D71-C71</f>
        <v>1566000</v>
      </c>
      <c r="F71" s="23">
        <f>IF(C71=0,0,E71/C71)</f>
        <v>4.7056702424952676E-2</v>
      </c>
    </row>
    <row r="72" spans="1:6" ht="24" customHeight="1" x14ac:dyDescent="0.2">
      <c r="A72" s="20">
        <v>3</v>
      </c>
      <c r="B72" s="21" t="s">
        <v>66</v>
      </c>
      <c r="C72" s="22">
        <v>21743000</v>
      </c>
      <c r="D72" s="22">
        <v>22876000</v>
      </c>
      <c r="E72" s="22">
        <f>D72-C72</f>
        <v>1133000</v>
      </c>
      <c r="F72" s="23">
        <f>IF(C72=0,0,E72/C72)</f>
        <v>5.2108724647012834E-2</v>
      </c>
    </row>
    <row r="73" spans="1:6" ht="24" customHeight="1" x14ac:dyDescent="0.25">
      <c r="A73" s="20"/>
      <c r="B73" s="25" t="s">
        <v>67</v>
      </c>
      <c r="C73" s="26">
        <f>SUM(C70:C72)</f>
        <v>155833000</v>
      </c>
      <c r="D73" s="26">
        <f>SUM(D70:D72)</f>
        <v>168564000</v>
      </c>
      <c r="E73" s="26">
        <f>D73-C73</f>
        <v>12731000</v>
      </c>
      <c r="F73" s="27">
        <f>IF(C73=0,0,E73/C73)</f>
        <v>8.1696431436216979E-2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472575000</v>
      </c>
      <c r="D75" s="26">
        <f>D56+D65+D67+D73</f>
        <v>532167000</v>
      </c>
      <c r="E75" s="26">
        <f>D75-C75</f>
        <v>59592000</v>
      </c>
      <c r="F75" s="27">
        <f>IF(C75=0,0,E75/C75)</f>
        <v>0.12610061894937311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FILING&amp;RBRIDGEPORT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418827000</v>
      </c>
      <c r="D11" s="76">
        <v>3287692000</v>
      </c>
      <c r="E11" s="76">
        <v>3492685000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26208000</v>
      </c>
      <c r="D12" s="185">
        <v>106994000</v>
      </c>
      <c r="E12" s="185">
        <v>109595000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445035000</v>
      </c>
      <c r="D13" s="76">
        <f>+D11+D12</f>
        <v>3394686000</v>
      </c>
      <c r="E13" s="76">
        <f>+E11+E12</f>
        <v>3602280000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425775000</v>
      </c>
      <c r="D14" s="185">
        <v>3224574000</v>
      </c>
      <c r="E14" s="185">
        <v>3442624000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19260000</v>
      </c>
      <c r="D15" s="76">
        <f>+D13-D14</f>
        <v>170112000</v>
      </c>
      <c r="E15" s="76">
        <f>+E13-E14</f>
        <v>159656000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3969000</v>
      </c>
      <c r="D16" s="185">
        <v>34189000</v>
      </c>
      <c r="E16" s="185">
        <v>-15565000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23229000</v>
      </c>
      <c r="D17" s="76">
        <f>D15+D16</f>
        <v>204301000</v>
      </c>
      <c r="E17" s="76">
        <f>E15+E16</f>
        <v>144091000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4.2894940802309107E-2</v>
      </c>
      <c r="D20" s="189">
        <f>IF(+D27=0,0,+D24/+D27)</f>
        <v>4.9611607305603149E-2</v>
      </c>
      <c r="E20" s="189">
        <f>IF(+E27=0,0,+E24/+E27)</f>
        <v>4.4513154794847097E-2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8.8395649036534189E-3</v>
      </c>
      <c r="D21" s="189">
        <f>IF(+D27=0,0,+D26/+D27)</f>
        <v>9.97090882578105E-3</v>
      </c>
      <c r="E21" s="189">
        <f>IF(+E27=0,0,+E26/+E27)</f>
        <v>-4.3396255347860086E-3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5.1734505705962532E-2</v>
      </c>
      <c r="D22" s="189">
        <f>IF(+D27=0,0,+D28/+D27)</f>
        <v>5.9582516131384197E-2</v>
      </c>
      <c r="E22" s="189">
        <f>IF(+E27=0,0,+E28/+E27)</f>
        <v>4.0173529260061083E-2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19260000</v>
      </c>
      <c r="D24" s="76">
        <f>+D15</f>
        <v>170112000</v>
      </c>
      <c r="E24" s="76">
        <f>+E15</f>
        <v>159656000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445035000</v>
      </c>
      <c r="D25" s="76">
        <f>+D13</f>
        <v>3394686000</v>
      </c>
      <c r="E25" s="76">
        <f>+E13</f>
        <v>3602280000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3969000</v>
      </c>
      <c r="D26" s="76">
        <f>+D16</f>
        <v>34189000</v>
      </c>
      <c r="E26" s="76">
        <f>+E16</f>
        <v>-15565000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449004000</v>
      </c>
      <c r="D27" s="76">
        <f>SUM(D25:D26)</f>
        <v>3428875000</v>
      </c>
      <c r="E27" s="76">
        <f>SUM(E25:E26)</f>
        <v>3586715000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23229000</v>
      </c>
      <c r="D28" s="76">
        <f>+D17</f>
        <v>204301000</v>
      </c>
      <c r="E28" s="76">
        <f>+E17</f>
        <v>144091000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120290000</v>
      </c>
      <c r="D31" s="76">
        <v>1644056000</v>
      </c>
      <c r="E31" s="76">
        <v>1750995000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173111000</v>
      </c>
      <c r="D32" s="76">
        <v>1866624000</v>
      </c>
      <c r="E32" s="76">
        <v>1991919000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52379000</v>
      </c>
      <c r="D33" s="76">
        <f>+D32-C32</f>
        <v>1693513000</v>
      </c>
      <c r="E33" s="76">
        <f>+E32-D32</f>
        <v>125295000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1.4338</v>
      </c>
      <c r="D34" s="193">
        <f>IF(C32=0,0,+D33/C32)</f>
        <v>9.7828156500742303</v>
      </c>
      <c r="E34" s="193">
        <f>IF(D32=0,0,+E33/D32)</f>
        <v>6.7123855688130007E-2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1.5554526593234375</v>
      </c>
      <c r="D38" s="338">
        <f>IF(+D40=0,0,+D39/+D40)</f>
        <v>2.9653532596725967</v>
      </c>
      <c r="E38" s="338">
        <f>IF(+E40=0,0,+E39/+E40)</f>
        <v>2.9362196163702725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174682000</v>
      </c>
      <c r="D39" s="341">
        <v>1683007000</v>
      </c>
      <c r="E39" s="341">
        <v>1890485000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112303000</v>
      </c>
      <c r="D40" s="341">
        <v>567557000</v>
      </c>
      <c r="E40" s="341">
        <v>643850000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86.008272175162631</v>
      </c>
      <c r="D42" s="343">
        <f>IF((D48/365)=0,0,+D45/(D48/365))</f>
        <v>144.66881307910103</v>
      </c>
      <c r="E42" s="343">
        <f>IF((E48/365)=0,0,+E45/(E48/365))</f>
        <v>151.9338221747301</v>
      </c>
    </row>
    <row r="43" spans="1:14" ht="24" customHeight="1" x14ac:dyDescent="0.2">
      <c r="A43" s="339">
        <v>5</v>
      </c>
      <c r="B43" s="344" t="s">
        <v>16</v>
      </c>
      <c r="C43" s="345">
        <v>30636000</v>
      </c>
      <c r="D43" s="345">
        <v>161059000</v>
      </c>
      <c r="E43" s="345">
        <v>194946000</v>
      </c>
    </row>
    <row r="44" spans="1:14" ht="24" customHeight="1" x14ac:dyDescent="0.2">
      <c r="A44" s="339">
        <v>6</v>
      </c>
      <c r="B44" s="346" t="s">
        <v>17</v>
      </c>
      <c r="C44" s="345">
        <v>64307000</v>
      </c>
      <c r="D44" s="345">
        <v>1040882000</v>
      </c>
      <c r="E44" s="345">
        <v>1160670000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94943000</v>
      </c>
      <c r="D45" s="341">
        <f>+D43+D44</f>
        <v>1201941000</v>
      </c>
      <c r="E45" s="341">
        <f>+E43+E44</f>
        <v>1355616000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425775000</v>
      </c>
      <c r="D46" s="341">
        <f>+D14</f>
        <v>3224574000</v>
      </c>
      <c r="E46" s="341">
        <f>+E14</f>
        <v>3442624000</v>
      </c>
    </row>
    <row r="47" spans="1:14" ht="24" customHeight="1" x14ac:dyDescent="0.2">
      <c r="A47" s="339">
        <v>9</v>
      </c>
      <c r="B47" s="340" t="s">
        <v>356</v>
      </c>
      <c r="C47" s="341">
        <v>22858000</v>
      </c>
      <c r="D47" s="341">
        <v>192072000</v>
      </c>
      <c r="E47" s="341">
        <v>185944000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402917000</v>
      </c>
      <c r="D48" s="341">
        <f>+D46-D47</f>
        <v>3032502000</v>
      </c>
      <c r="E48" s="341">
        <f>+E46-E47</f>
        <v>3256680000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44.822038693780492</v>
      </c>
      <c r="D50" s="350">
        <f>IF((D55/365)=0,0,+D54/(D55/365))</f>
        <v>40.893377481832246</v>
      </c>
      <c r="E50" s="350">
        <f>IF((E55/365)=0,0,+E54/(E55/365))</f>
        <v>42.396697669557945</v>
      </c>
    </row>
    <row r="51" spans="1:5" ht="24" customHeight="1" x14ac:dyDescent="0.2">
      <c r="A51" s="339">
        <v>12</v>
      </c>
      <c r="B51" s="344" t="s">
        <v>359</v>
      </c>
      <c r="C51" s="351">
        <v>51432000</v>
      </c>
      <c r="D51" s="351">
        <v>368342000</v>
      </c>
      <c r="E51" s="351">
        <v>405694000</v>
      </c>
    </row>
    <row r="52" spans="1:5" ht="24" customHeight="1" x14ac:dyDescent="0.2">
      <c r="A52" s="339">
        <v>13</v>
      </c>
      <c r="B52" s="344" t="s">
        <v>21</v>
      </c>
      <c r="C52" s="341">
        <v>10552000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10552000</v>
      </c>
      <c r="D53" s="341">
        <v>0</v>
      </c>
      <c r="E53" s="341">
        <v>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51432000</v>
      </c>
      <c r="D54" s="352">
        <f>+D51+D52-D53</f>
        <v>368342000</v>
      </c>
      <c r="E54" s="352">
        <f>+E51+E52-E53</f>
        <v>405694000</v>
      </c>
    </row>
    <row r="55" spans="1:5" ht="24" customHeight="1" x14ac:dyDescent="0.2">
      <c r="A55" s="339">
        <v>16</v>
      </c>
      <c r="B55" s="340" t="s">
        <v>75</v>
      </c>
      <c r="C55" s="341">
        <f>+C11</f>
        <v>418827000</v>
      </c>
      <c r="D55" s="341">
        <f>+D11</f>
        <v>3287692000</v>
      </c>
      <c r="E55" s="341">
        <f>+E11</f>
        <v>3492685000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101.73458801688686</v>
      </c>
      <c r="D57" s="355">
        <f>IF((D61/365)=0,0,+D58/(D61/365))</f>
        <v>68.312668878701487</v>
      </c>
      <c r="E57" s="355">
        <f>IF((E61/365)=0,0,+E58/(E61/365))</f>
        <v>72.160989105469369</v>
      </c>
    </row>
    <row r="58" spans="1:5" ht="24" customHeight="1" x14ac:dyDescent="0.2">
      <c r="A58" s="339">
        <v>18</v>
      </c>
      <c r="B58" s="340" t="s">
        <v>54</v>
      </c>
      <c r="C58" s="353">
        <f>+C40</f>
        <v>112303000</v>
      </c>
      <c r="D58" s="353">
        <f>+D40</f>
        <v>567557000</v>
      </c>
      <c r="E58" s="353">
        <f>+E40</f>
        <v>643850000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425775000</v>
      </c>
      <c r="D59" s="353">
        <f t="shared" si="0"/>
        <v>3224574000</v>
      </c>
      <c r="E59" s="353">
        <f t="shared" si="0"/>
        <v>3442624000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22858000</v>
      </c>
      <c r="D60" s="356">
        <f t="shared" si="0"/>
        <v>192072000</v>
      </c>
      <c r="E60" s="356">
        <f t="shared" si="0"/>
        <v>185944000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402917000</v>
      </c>
      <c r="D61" s="353">
        <f>+D59-D60</f>
        <v>3032502000</v>
      </c>
      <c r="E61" s="353">
        <f>+E59-E60</f>
        <v>3256680000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39.088092775823377</v>
      </c>
      <c r="D65" s="357">
        <f>IF(D67=0,0,(D66/D67)*100)</f>
        <v>44.095108709132646</v>
      </c>
      <c r="E65" s="357">
        <f>IF(E67=0,0,(E66/E67)*100)</f>
        <v>44.414860585849588</v>
      </c>
    </row>
    <row r="66" spans="1:5" ht="24" customHeight="1" x14ac:dyDescent="0.2">
      <c r="A66" s="339">
        <v>2</v>
      </c>
      <c r="B66" s="340" t="s">
        <v>67</v>
      </c>
      <c r="C66" s="353">
        <f>+C32</f>
        <v>173111000</v>
      </c>
      <c r="D66" s="353">
        <f>+D32</f>
        <v>1866624000</v>
      </c>
      <c r="E66" s="353">
        <f>+E32</f>
        <v>1991919000</v>
      </c>
    </row>
    <row r="67" spans="1:5" ht="24" customHeight="1" x14ac:dyDescent="0.2">
      <c r="A67" s="339">
        <v>3</v>
      </c>
      <c r="B67" s="340" t="s">
        <v>43</v>
      </c>
      <c r="C67" s="353">
        <v>442874000</v>
      </c>
      <c r="D67" s="353">
        <v>4233177000</v>
      </c>
      <c r="E67" s="353">
        <v>4484803000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28.535958639051422</v>
      </c>
      <c r="D69" s="357">
        <f>IF(D75=0,0,(D72/D75)*100)</f>
        <v>25.479312397391212</v>
      </c>
      <c r="E69" s="357">
        <f>IF(E75=0,0,(E72/E75)*100)</f>
        <v>19.915711165917092</v>
      </c>
    </row>
    <row r="70" spans="1:5" ht="24" customHeight="1" x14ac:dyDescent="0.2">
      <c r="A70" s="339">
        <v>5</v>
      </c>
      <c r="B70" s="340" t="s">
        <v>366</v>
      </c>
      <c r="C70" s="353">
        <f>+C28</f>
        <v>23229000</v>
      </c>
      <c r="D70" s="353">
        <f>+D28</f>
        <v>204301000</v>
      </c>
      <c r="E70" s="353">
        <f>+E28</f>
        <v>144091000</v>
      </c>
    </row>
    <row r="71" spans="1:5" ht="24" customHeight="1" x14ac:dyDescent="0.2">
      <c r="A71" s="339">
        <v>6</v>
      </c>
      <c r="B71" s="340" t="s">
        <v>356</v>
      </c>
      <c r="C71" s="356">
        <f>+C47</f>
        <v>22858000</v>
      </c>
      <c r="D71" s="356">
        <f>+D47</f>
        <v>192072000</v>
      </c>
      <c r="E71" s="356">
        <f>+E47</f>
        <v>185944000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46087000</v>
      </c>
      <c r="D72" s="353">
        <f>+D70+D71</f>
        <v>396373000</v>
      </c>
      <c r="E72" s="353">
        <f>+E70+E71</f>
        <v>330035000</v>
      </c>
    </row>
    <row r="73" spans="1:5" ht="24" customHeight="1" x14ac:dyDescent="0.2">
      <c r="A73" s="339">
        <v>8</v>
      </c>
      <c r="B73" s="340" t="s">
        <v>54</v>
      </c>
      <c r="C73" s="341">
        <f>+C40</f>
        <v>112303000</v>
      </c>
      <c r="D73" s="341">
        <f>+D40</f>
        <v>567557000</v>
      </c>
      <c r="E73" s="341">
        <f>+E40</f>
        <v>643850000</v>
      </c>
    </row>
    <row r="74" spans="1:5" ht="24" customHeight="1" x14ac:dyDescent="0.2">
      <c r="A74" s="339">
        <v>9</v>
      </c>
      <c r="B74" s="340" t="s">
        <v>58</v>
      </c>
      <c r="C74" s="353">
        <v>49202000</v>
      </c>
      <c r="D74" s="353">
        <v>988109000</v>
      </c>
      <c r="E74" s="353">
        <v>1013309000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161505000</v>
      </c>
      <c r="D75" s="341">
        <f>+D73+D74</f>
        <v>1555666000</v>
      </c>
      <c r="E75" s="341">
        <f>+E73+E74</f>
        <v>1657159000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22.131859135543131</v>
      </c>
      <c r="D77" s="359">
        <f>IF(D80=0,0,(D78/D80)*100)</f>
        <v>34.61300934273013</v>
      </c>
      <c r="E77" s="359">
        <f>IF(E80=0,0,(E78/E80)*100)</f>
        <v>33.718207071144022</v>
      </c>
    </row>
    <row r="78" spans="1:5" ht="24" customHeight="1" x14ac:dyDescent="0.2">
      <c r="A78" s="339">
        <v>12</v>
      </c>
      <c r="B78" s="340" t="s">
        <v>58</v>
      </c>
      <c r="C78" s="341">
        <f>+C74</f>
        <v>49202000</v>
      </c>
      <c r="D78" s="341">
        <f>+D74</f>
        <v>988109000</v>
      </c>
      <c r="E78" s="341">
        <f>+E74</f>
        <v>1013309000</v>
      </c>
    </row>
    <row r="79" spans="1:5" ht="24" customHeight="1" x14ac:dyDescent="0.2">
      <c r="A79" s="339">
        <v>13</v>
      </c>
      <c r="B79" s="340" t="s">
        <v>67</v>
      </c>
      <c r="C79" s="341">
        <f>+C32</f>
        <v>173111000</v>
      </c>
      <c r="D79" s="341">
        <f>+D32</f>
        <v>1866624000</v>
      </c>
      <c r="E79" s="341">
        <f>+E32</f>
        <v>1991919000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222313000</v>
      </c>
      <c r="D80" s="341">
        <f>+D78+D79</f>
        <v>2854733000</v>
      </c>
      <c r="E80" s="341">
        <f>+E78+E79</f>
        <v>3005228000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FILING&amp;R&amp;8YALE NEW HAVEN HEALTH SERVICES CORPORATION, INC. (YNHHSC)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72199</v>
      </c>
      <c r="D11" s="376">
        <v>13490</v>
      </c>
      <c r="E11" s="376">
        <v>13497</v>
      </c>
      <c r="F11" s="377">
        <v>198</v>
      </c>
      <c r="G11" s="377">
        <v>231</v>
      </c>
      <c r="H11" s="378">
        <f>IF(F11=0,0,$C11/(F11*365))</f>
        <v>0.99901757299017568</v>
      </c>
      <c r="I11" s="378">
        <f>IF(G11=0,0,$C11/(G11*365))</f>
        <v>0.85630077684872208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7570</v>
      </c>
      <c r="D13" s="376">
        <v>370</v>
      </c>
      <c r="E13" s="376">
        <v>0</v>
      </c>
      <c r="F13" s="377">
        <v>21</v>
      </c>
      <c r="G13" s="377">
        <v>32</v>
      </c>
      <c r="H13" s="378">
        <f>IF(F13=0,0,$C13/(F13*365))</f>
        <v>0.98760600130463139</v>
      </c>
      <c r="I13" s="378">
        <f>IF(G13=0,0,$C13/(G13*365))</f>
        <v>0.64811643835616439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10326</v>
      </c>
      <c r="D16" s="376">
        <v>997</v>
      </c>
      <c r="E16" s="376">
        <v>887</v>
      </c>
      <c r="F16" s="377">
        <v>29</v>
      </c>
      <c r="G16" s="377">
        <v>39</v>
      </c>
      <c r="H16" s="378">
        <f t="shared" si="0"/>
        <v>0.97553141237600383</v>
      </c>
      <c r="I16" s="378">
        <f t="shared" si="0"/>
        <v>0.72539515279241307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10326</v>
      </c>
      <c r="D17" s="381">
        <f>SUM(D15:D16)</f>
        <v>997</v>
      </c>
      <c r="E17" s="381">
        <f>SUM(E15:E16)</f>
        <v>887</v>
      </c>
      <c r="F17" s="381">
        <f>SUM(F15:F16)</f>
        <v>29</v>
      </c>
      <c r="G17" s="381">
        <f>SUM(G15:G16)</f>
        <v>39</v>
      </c>
      <c r="H17" s="382">
        <f t="shared" si="0"/>
        <v>0.97553141237600383</v>
      </c>
      <c r="I17" s="382">
        <f t="shared" si="0"/>
        <v>0.72539515279241307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5274</v>
      </c>
      <c r="D19" s="376">
        <v>336</v>
      </c>
      <c r="E19" s="376">
        <v>341</v>
      </c>
      <c r="F19" s="377">
        <v>15</v>
      </c>
      <c r="G19" s="377">
        <v>18</v>
      </c>
      <c r="H19" s="378">
        <f>IF(F19=0,0,$C19/(F19*365))</f>
        <v>0.96328767123287673</v>
      </c>
      <c r="I19" s="378">
        <f>IF(G19=0,0,$C19/(G19*365))</f>
        <v>0.80273972602739729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8688</v>
      </c>
      <c r="D21" s="376">
        <v>2968</v>
      </c>
      <c r="E21" s="376">
        <v>2786</v>
      </c>
      <c r="F21" s="377">
        <v>24</v>
      </c>
      <c r="G21" s="377">
        <v>39</v>
      </c>
      <c r="H21" s="378">
        <f>IF(F21=0,0,$C21/(F21*365))</f>
        <v>0.99178082191780825</v>
      </c>
      <c r="I21" s="378">
        <f>IF(G21=0,0,$C21/(G21*365))</f>
        <v>0.61032665964172816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5415</v>
      </c>
      <c r="D23" s="376">
        <v>2024</v>
      </c>
      <c r="E23" s="376">
        <v>2299</v>
      </c>
      <c r="F23" s="377">
        <v>15</v>
      </c>
      <c r="G23" s="377">
        <v>24</v>
      </c>
      <c r="H23" s="378">
        <f>IF(F23=0,0,$C23/(F23*365))</f>
        <v>0.989041095890411</v>
      </c>
      <c r="I23" s="378">
        <f>IF(G23=0,0,$C23/(G23*365))</f>
        <v>0.61815068493150682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104057</v>
      </c>
      <c r="D31" s="384">
        <f>SUM(D10:D29)-D13-D17-D23</f>
        <v>17791</v>
      </c>
      <c r="E31" s="384">
        <f>SUM(E10:E29)-E17-E23</f>
        <v>17511</v>
      </c>
      <c r="F31" s="384">
        <f>SUM(F10:F29)-F17-F23</f>
        <v>287</v>
      </c>
      <c r="G31" s="384">
        <f>SUM(G10:G29)-G17-G23</f>
        <v>359</v>
      </c>
      <c r="H31" s="385">
        <f>IF(F31=0,0,$C31/(F31*365))</f>
        <v>0.99333683356403035</v>
      </c>
      <c r="I31" s="385">
        <f>IF(G31=0,0,$C31/(G31*365))</f>
        <v>0.79411607585759525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109472</v>
      </c>
      <c r="D33" s="384">
        <f>SUM(D10:D29)-D13-D17</f>
        <v>19815</v>
      </c>
      <c r="E33" s="384">
        <f>SUM(E10:E29)-E17</f>
        <v>19810</v>
      </c>
      <c r="F33" s="384">
        <f>SUM(F10:F29)-F17</f>
        <v>302</v>
      </c>
      <c r="G33" s="384">
        <f>SUM(G10:G29)-G17</f>
        <v>383</v>
      </c>
      <c r="H33" s="385">
        <f>IF(F33=0,0,$C33/(F33*365))</f>
        <v>0.99312346911004268</v>
      </c>
      <c r="I33" s="385">
        <f>IF(G33=0,0,$C33/(G33*365))</f>
        <v>0.7830895239457778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109472</v>
      </c>
      <c r="D36" s="384">
        <f t="shared" si="1"/>
        <v>19815</v>
      </c>
      <c r="E36" s="384">
        <f t="shared" si="1"/>
        <v>19810</v>
      </c>
      <c r="F36" s="384">
        <f t="shared" si="1"/>
        <v>302</v>
      </c>
      <c r="G36" s="384">
        <f t="shared" si="1"/>
        <v>383</v>
      </c>
      <c r="H36" s="387">
        <f t="shared" si="1"/>
        <v>0.99312346911004268</v>
      </c>
      <c r="I36" s="387">
        <f t="shared" si="1"/>
        <v>0.7830895239457778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101235</v>
      </c>
      <c r="D37" s="384">
        <v>18207</v>
      </c>
      <c r="E37" s="384">
        <v>18207</v>
      </c>
      <c r="F37" s="386">
        <v>281</v>
      </c>
      <c r="G37" s="386">
        <v>368</v>
      </c>
      <c r="H37" s="385">
        <f>IF(F37=0,0,$C37/(F37*365))</f>
        <v>0.98703261346463222</v>
      </c>
      <c r="I37" s="385">
        <f>IF(G37=0,0,$C37/(G37*365))</f>
        <v>0.75368522930315662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8237</v>
      </c>
      <c r="D38" s="384">
        <f t="shared" si="2"/>
        <v>1608</v>
      </c>
      <c r="E38" s="384">
        <f t="shared" si="2"/>
        <v>1603</v>
      </c>
      <c r="F38" s="384">
        <f t="shared" si="2"/>
        <v>21</v>
      </c>
      <c r="G38" s="384">
        <f t="shared" si="2"/>
        <v>15</v>
      </c>
      <c r="H38" s="387">
        <f t="shared" si="2"/>
        <v>6.0908556454104534E-3</v>
      </c>
      <c r="I38" s="387">
        <f t="shared" si="2"/>
        <v>2.9404294642621176E-2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8.1365140514644149E-2</v>
      </c>
      <c r="D40" s="389">
        <f t="shared" si="3"/>
        <v>8.8317680013181743E-2</v>
      </c>
      <c r="E40" s="389">
        <f t="shared" si="3"/>
        <v>8.8043060361399458E-2</v>
      </c>
      <c r="F40" s="389">
        <f t="shared" si="3"/>
        <v>7.4733096085409248E-2</v>
      </c>
      <c r="G40" s="389">
        <f t="shared" si="3"/>
        <v>4.0760869565217392E-2</v>
      </c>
      <c r="H40" s="389">
        <f t="shared" si="3"/>
        <v>6.1708757768708759E-3</v>
      </c>
      <c r="I40" s="389">
        <f t="shared" si="3"/>
        <v>3.9014025350885329E-2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383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FILING&amp;RBRIDGEPORT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10054</v>
      </c>
      <c r="D12" s="409">
        <v>11258</v>
      </c>
      <c r="E12" s="409">
        <f>+D12-C12</f>
        <v>1204</v>
      </c>
      <c r="F12" s="410">
        <f>IF(C12=0,0,+E12/C12)</f>
        <v>0.11975333200716133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7900</v>
      </c>
      <c r="D13" s="409">
        <v>7245</v>
      </c>
      <c r="E13" s="409">
        <f>+D13-C13</f>
        <v>-655</v>
      </c>
      <c r="F13" s="410">
        <f>IF(C13=0,0,+E13/C13)</f>
        <v>-8.2911392405063289E-2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8849</v>
      </c>
      <c r="D14" s="409">
        <v>8601</v>
      </c>
      <c r="E14" s="409">
        <f>+D14-C14</f>
        <v>-248</v>
      </c>
      <c r="F14" s="410">
        <f>IF(C14=0,0,+E14/C14)</f>
        <v>-2.8025765623234264E-2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26803</v>
      </c>
      <c r="D16" s="401">
        <f>SUM(D12:D15)</f>
        <v>27104</v>
      </c>
      <c r="E16" s="401">
        <f>+D16-C16</f>
        <v>301</v>
      </c>
      <c r="F16" s="402">
        <f>IF(C16=0,0,+E16/C16)</f>
        <v>1.1230086184382345E-2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1412</v>
      </c>
      <c r="D19" s="409">
        <v>1759</v>
      </c>
      <c r="E19" s="409">
        <f>+D19-C19</f>
        <v>347</v>
      </c>
      <c r="F19" s="410">
        <f>IF(C19=0,0,+E19/C19)</f>
        <v>0.24575070821529746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3299</v>
      </c>
      <c r="D20" s="409">
        <v>3806</v>
      </c>
      <c r="E20" s="409">
        <f>+D20-C20</f>
        <v>507</v>
      </c>
      <c r="F20" s="410">
        <f>IF(C20=0,0,+E20/C20)</f>
        <v>0.15368293422249166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292</v>
      </c>
      <c r="D21" s="409">
        <v>237</v>
      </c>
      <c r="E21" s="409">
        <f>+D21-C21</f>
        <v>-55</v>
      </c>
      <c r="F21" s="410">
        <f>IF(C21=0,0,+E21/C21)</f>
        <v>-0.18835616438356165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5003</v>
      </c>
      <c r="D23" s="401">
        <f>SUM(D19:D22)</f>
        <v>5802</v>
      </c>
      <c r="E23" s="401">
        <f>+D23-C23</f>
        <v>799</v>
      </c>
      <c r="F23" s="402">
        <f>IF(C23=0,0,+E23/C23)</f>
        <v>0.15970417749350391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3</v>
      </c>
      <c r="E33" s="409">
        <f>+D33-C33</f>
        <v>3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313</v>
      </c>
      <c r="D34" s="409">
        <v>406</v>
      </c>
      <c r="E34" s="409">
        <f>+D34-C34</f>
        <v>93</v>
      </c>
      <c r="F34" s="410">
        <f>IF(C34=0,0,+E34/C34)</f>
        <v>0.29712460063897761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1</v>
      </c>
      <c r="D35" s="409">
        <v>0</v>
      </c>
      <c r="E35" s="409">
        <f>+D35-C35</f>
        <v>-1</v>
      </c>
      <c r="F35" s="410">
        <f>IF(C35=0,0,+E35/C35)</f>
        <v>-1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314</v>
      </c>
      <c r="D37" s="401">
        <f>SUM(D33:D36)</f>
        <v>409</v>
      </c>
      <c r="E37" s="401">
        <f>+D37-C37</f>
        <v>95</v>
      </c>
      <c r="F37" s="402">
        <f>IF(C37=0,0,+E37/C37)</f>
        <v>0.30254777070063693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189</v>
      </c>
      <c r="D43" s="409">
        <v>244</v>
      </c>
      <c r="E43" s="409">
        <f>+D43-C43</f>
        <v>55</v>
      </c>
      <c r="F43" s="410">
        <f>IF(C43=0,0,+E43/C43)</f>
        <v>0.29100529100529099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11004</v>
      </c>
      <c r="D44" s="409">
        <v>11349</v>
      </c>
      <c r="E44" s="409">
        <f>+D44-C44</f>
        <v>345</v>
      </c>
      <c r="F44" s="410">
        <f>IF(C44=0,0,+E44/C44)</f>
        <v>3.1352235550708832E-2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11193</v>
      </c>
      <c r="D45" s="401">
        <f>SUM(D43:D44)</f>
        <v>11593</v>
      </c>
      <c r="E45" s="401">
        <f>+D45-C45</f>
        <v>400</v>
      </c>
      <c r="F45" s="402">
        <f>IF(C45=0,0,+E45/C45)</f>
        <v>3.5736621102474761E-2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390</v>
      </c>
      <c r="D48" s="409">
        <v>442</v>
      </c>
      <c r="E48" s="409">
        <f>+D48-C48</f>
        <v>52</v>
      </c>
      <c r="F48" s="410">
        <f>IF(C48=0,0,+E48/C48)</f>
        <v>0.13333333333333333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292</v>
      </c>
      <c r="D49" s="409">
        <v>497</v>
      </c>
      <c r="E49" s="409">
        <f>+D49-C49</f>
        <v>205</v>
      </c>
      <c r="F49" s="410">
        <f>IF(C49=0,0,+E49/C49)</f>
        <v>0.70205479452054798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682</v>
      </c>
      <c r="D50" s="401">
        <f>SUM(D48:D49)</f>
        <v>939</v>
      </c>
      <c r="E50" s="401">
        <f>+D50-C50</f>
        <v>257</v>
      </c>
      <c r="F50" s="402">
        <f>IF(C50=0,0,+E50/C50)</f>
        <v>0.37683284457478006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169</v>
      </c>
      <c r="D53" s="409">
        <v>174</v>
      </c>
      <c r="E53" s="409">
        <f>+D53-C53</f>
        <v>5</v>
      </c>
      <c r="F53" s="410">
        <f>IF(C53=0,0,+E53/C53)</f>
        <v>2.9585798816568046E-2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228</v>
      </c>
      <c r="D54" s="409">
        <v>254</v>
      </c>
      <c r="E54" s="409">
        <f>+D54-C54</f>
        <v>26</v>
      </c>
      <c r="F54" s="410">
        <f>IF(C54=0,0,+E54/C54)</f>
        <v>0.11403508771929824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397</v>
      </c>
      <c r="D55" s="401">
        <f>SUM(D53:D54)</f>
        <v>428</v>
      </c>
      <c r="E55" s="401">
        <f>+D55-C55</f>
        <v>31</v>
      </c>
      <c r="F55" s="402">
        <f>IF(C55=0,0,+E55/C55)</f>
        <v>7.8085642317380355E-2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128</v>
      </c>
      <c r="D58" s="409">
        <v>124</v>
      </c>
      <c r="E58" s="409">
        <f>+D58-C58</f>
        <v>-4</v>
      </c>
      <c r="F58" s="410">
        <f>IF(C58=0,0,+E58/C58)</f>
        <v>-3.125E-2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262</v>
      </c>
      <c r="D59" s="409">
        <v>359</v>
      </c>
      <c r="E59" s="409">
        <f>+D59-C59</f>
        <v>97</v>
      </c>
      <c r="F59" s="410">
        <f>IF(C59=0,0,+E59/C59)</f>
        <v>0.37022900763358779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390</v>
      </c>
      <c r="D60" s="401">
        <f>SUM(D58:D59)</f>
        <v>483</v>
      </c>
      <c r="E60" s="401">
        <f>SUM(E58:E59)</f>
        <v>93</v>
      </c>
      <c r="F60" s="402">
        <f>IF(C60=0,0,+E60/C60)</f>
        <v>0.23846153846153847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4079</v>
      </c>
      <c r="D63" s="409">
        <v>3852</v>
      </c>
      <c r="E63" s="409">
        <f>+D63-C63</f>
        <v>-227</v>
      </c>
      <c r="F63" s="410">
        <f>IF(C63=0,0,+E63/C63)</f>
        <v>-5.5650894827163518E-2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9494</v>
      </c>
      <c r="D64" s="409">
        <v>8900</v>
      </c>
      <c r="E64" s="409">
        <f>+D64-C64</f>
        <v>-594</v>
      </c>
      <c r="F64" s="410">
        <f>IF(C64=0,0,+E64/C64)</f>
        <v>-6.2565831051190221E-2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13573</v>
      </c>
      <c r="D65" s="401">
        <f>SUM(D63:D64)</f>
        <v>12752</v>
      </c>
      <c r="E65" s="401">
        <f>+D65-C65</f>
        <v>-821</v>
      </c>
      <c r="F65" s="402">
        <f>IF(C65=0,0,+E65/C65)</f>
        <v>-6.0487732999336921E-2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300</v>
      </c>
      <c r="D68" s="409">
        <v>362</v>
      </c>
      <c r="E68" s="409">
        <f>+D68-C68</f>
        <v>62</v>
      </c>
      <c r="F68" s="410">
        <f>IF(C68=0,0,+E68/C68)</f>
        <v>0.20666666666666667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4278</v>
      </c>
      <c r="D69" s="409">
        <v>4145</v>
      </c>
      <c r="E69" s="409">
        <f>+D69-C69</f>
        <v>-133</v>
      </c>
      <c r="F69" s="412">
        <f>IF(C69=0,0,+E69/C69)</f>
        <v>-3.1089294062646097E-2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4578</v>
      </c>
      <c r="D70" s="401">
        <f>SUM(D68:D69)</f>
        <v>4507</v>
      </c>
      <c r="E70" s="401">
        <f>+D70-C70</f>
        <v>-71</v>
      </c>
      <c r="F70" s="402">
        <f>IF(C70=0,0,+E70/C70)</f>
        <v>-1.5508955875928354E-2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13334</v>
      </c>
      <c r="D73" s="376">
        <v>15012</v>
      </c>
      <c r="E73" s="409">
        <f>+D73-C73</f>
        <v>1678</v>
      </c>
      <c r="F73" s="410">
        <f>IF(C73=0,0,+E73/C73)</f>
        <v>0.12584370781460927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73906</v>
      </c>
      <c r="D74" s="376">
        <v>76274</v>
      </c>
      <c r="E74" s="409">
        <f>+D74-C74</f>
        <v>2368</v>
      </c>
      <c r="F74" s="410">
        <f>IF(C74=0,0,+E74/C74)</f>
        <v>3.2040700349092087E-2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87240</v>
      </c>
      <c r="D75" s="401">
        <f>SUM(D73:D74)</f>
        <v>91286</v>
      </c>
      <c r="E75" s="401">
        <f>SUM(E73:E74)</f>
        <v>4046</v>
      </c>
      <c r="F75" s="402">
        <f>IF(C75=0,0,+E75/C75)</f>
        <v>4.6377808344795962E-2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2</v>
      </c>
      <c r="E83" s="409">
        <f t="shared" si="0"/>
        <v>2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18911</v>
      </c>
      <c r="D86" s="376">
        <v>19056</v>
      </c>
      <c r="E86" s="409">
        <f t="shared" si="0"/>
        <v>145</v>
      </c>
      <c r="F86" s="410">
        <f t="shared" si="1"/>
        <v>7.667495108666913E-3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7845</v>
      </c>
      <c r="D90" s="376">
        <v>8406</v>
      </c>
      <c r="E90" s="409">
        <f t="shared" si="0"/>
        <v>561</v>
      </c>
      <c r="F90" s="410">
        <f t="shared" si="1"/>
        <v>7.1510516252390063E-2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2424</v>
      </c>
      <c r="D91" s="376">
        <v>2905</v>
      </c>
      <c r="E91" s="409">
        <f t="shared" si="0"/>
        <v>481</v>
      </c>
      <c r="F91" s="410">
        <f t="shared" si="1"/>
        <v>0.19843234323432343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29180</v>
      </c>
      <c r="D92" s="381">
        <f>SUM(D79:D91)</f>
        <v>30369</v>
      </c>
      <c r="E92" s="401">
        <f t="shared" si="0"/>
        <v>1189</v>
      </c>
      <c r="F92" s="402">
        <f t="shared" si="1"/>
        <v>4.0747087045921865E-2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102417</v>
      </c>
      <c r="D95" s="414">
        <v>80298</v>
      </c>
      <c r="E95" s="415">
        <f t="shared" ref="E95:E100" si="2">+D95-C95</f>
        <v>-22119</v>
      </c>
      <c r="F95" s="412">
        <f t="shared" ref="F95:F100" si="3">IF(C95=0,0,+E95/C95)</f>
        <v>-0.21597000497964206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3172</v>
      </c>
      <c r="D96" s="414">
        <v>4202</v>
      </c>
      <c r="E96" s="409">
        <f t="shared" si="2"/>
        <v>1030</v>
      </c>
      <c r="F96" s="410">
        <f t="shared" si="3"/>
        <v>0.32471626733921816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2610</v>
      </c>
      <c r="D97" s="414">
        <v>1478</v>
      </c>
      <c r="E97" s="409">
        <f t="shared" si="2"/>
        <v>-1132</v>
      </c>
      <c r="F97" s="410">
        <f t="shared" si="3"/>
        <v>-0.43371647509578543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6862</v>
      </c>
      <c r="D98" s="414">
        <v>7062</v>
      </c>
      <c r="E98" s="409">
        <f t="shared" si="2"/>
        <v>200</v>
      </c>
      <c r="F98" s="410">
        <f t="shared" si="3"/>
        <v>2.9146021568055961E-2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58895</v>
      </c>
      <c r="D99" s="414">
        <v>88394</v>
      </c>
      <c r="E99" s="409">
        <f t="shared" si="2"/>
        <v>29499</v>
      </c>
      <c r="F99" s="410">
        <f t="shared" si="3"/>
        <v>0.50087443755836658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173956</v>
      </c>
      <c r="D100" s="381">
        <f>SUM(D95:D99)</f>
        <v>181434</v>
      </c>
      <c r="E100" s="401">
        <f t="shared" si="2"/>
        <v>7478</v>
      </c>
      <c r="F100" s="402">
        <f t="shared" si="3"/>
        <v>4.2987881993147695E-2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616.4</v>
      </c>
      <c r="D104" s="416">
        <v>666.6</v>
      </c>
      <c r="E104" s="417">
        <f>+D104-C104</f>
        <v>50.200000000000045</v>
      </c>
      <c r="F104" s="410">
        <f>IF(C104=0,0,+E104/C104)</f>
        <v>8.1440622972096116E-2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117</v>
      </c>
      <c r="D105" s="416">
        <v>122.4</v>
      </c>
      <c r="E105" s="417">
        <f>+D105-C105</f>
        <v>5.4000000000000057</v>
      </c>
      <c r="F105" s="410">
        <f>IF(C105=0,0,+E105/C105)</f>
        <v>4.6153846153846205E-2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1417.6</v>
      </c>
      <c r="D106" s="416">
        <v>1348.9</v>
      </c>
      <c r="E106" s="417">
        <f>+D106-C106</f>
        <v>-68.699999999999818</v>
      </c>
      <c r="F106" s="410">
        <f>IF(C106=0,0,+E106/C106)</f>
        <v>-4.8462189616252697E-2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2151</v>
      </c>
      <c r="D107" s="418">
        <f>SUM(D104:D106)</f>
        <v>2137.9</v>
      </c>
      <c r="E107" s="418">
        <f>+D107-C107</f>
        <v>-13.099999999999909</v>
      </c>
      <c r="F107" s="402">
        <f>IF(C107=0,0,+E107/C107)</f>
        <v>-6.0901906090190189E-3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FILING&amp;RBRIDGEPORT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9494</v>
      </c>
      <c r="D12" s="409">
        <v>8900</v>
      </c>
      <c r="E12" s="409">
        <f>+D12-C12</f>
        <v>-594</v>
      </c>
      <c r="F12" s="410">
        <f>IF(C12=0,0,+E12/C12)</f>
        <v>-6.2565831051190221E-2</v>
      </c>
    </row>
    <row r="13" spans="1:6" ht="15.75" customHeight="1" x14ac:dyDescent="0.25">
      <c r="A13" s="374"/>
      <c r="B13" s="399" t="s">
        <v>622</v>
      </c>
      <c r="C13" s="401">
        <f>SUM(C11:C12)</f>
        <v>9494</v>
      </c>
      <c r="D13" s="401">
        <f>SUM(D11:D12)</f>
        <v>8900</v>
      </c>
      <c r="E13" s="401">
        <f>+D13-C13</f>
        <v>-594</v>
      </c>
      <c r="F13" s="402">
        <f>IF(C13=0,0,+E13/C13)</f>
        <v>-6.2565831051190221E-2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4278</v>
      </c>
      <c r="D16" s="409">
        <v>4145</v>
      </c>
      <c r="E16" s="409">
        <f>+D16-C16</f>
        <v>-133</v>
      </c>
      <c r="F16" s="410">
        <f>IF(C16=0,0,+E16/C16)</f>
        <v>-3.1089294062646097E-2</v>
      </c>
    </row>
    <row r="17" spans="1:6" ht="15.75" customHeight="1" x14ac:dyDescent="0.25">
      <c r="A17" s="374"/>
      <c r="B17" s="399" t="s">
        <v>623</v>
      </c>
      <c r="C17" s="401">
        <f>SUM(C15:C16)</f>
        <v>4278</v>
      </c>
      <c r="D17" s="401">
        <f>SUM(D15:D16)</f>
        <v>4145</v>
      </c>
      <c r="E17" s="401">
        <f>+D17-C17</f>
        <v>-133</v>
      </c>
      <c r="F17" s="402">
        <f>IF(C17=0,0,+E17/C17)</f>
        <v>-3.1089294062646097E-2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73906</v>
      </c>
      <c r="D20" s="409">
        <v>76274</v>
      </c>
      <c r="E20" s="409">
        <f>+D20-C20</f>
        <v>2368</v>
      </c>
      <c r="F20" s="410">
        <f>IF(C20=0,0,+E20/C20)</f>
        <v>3.2040700349092087E-2</v>
      </c>
    </row>
    <row r="21" spans="1:6" ht="15.75" customHeight="1" x14ac:dyDescent="0.25">
      <c r="A21" s="374"/>
      <c r="B21" s="399" t="s">
        <v>625</v>
      </c>
      <c r="C21" s="401">
        <f>SUM(C19:C20)</f>
        <v>73906</v>
      </c>
      <c r="D21" s="401">
        <f>SUM(D19:D20)</f>
        <v>76274</v>
      </c>
      <c r="E21" s="401">
        <f>+D21-C21</f>
        <v>2368</v>
      </c>
      <c r="F21" s="402">
        <f>IF(C21=0,0,+E21/C21)</f>
        <v>3.2040700349092087E-2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626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627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628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FILING&amp;RBRIDGEPORT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637</v>
      </c>
      <c r="C15" s="448">
        <v>395362847</v>
      </c>
      <c r="D15" s="448">
        <v>438394231</v>
      </c>
      <c r="E15" s="448">
        <f t="shared" ref="E15:E24" si="0">D15-C15</f>
        <v>43031384</v>
      </c>
      <c r="F15" s="449">
        <f t="shared" ref="F15:F24" si="1">IF(C15=0,0,E15/C15)</f>
        <v>0.10884023202109327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638</v>
      </c>
      <c r="C16" s="448">
        <v>122306782</v>
      </c>
      <c r="D16" s="448">
        <v>141330892</v>
      </c>
      <c r="E16" s="448">
        <f t="shared" si="0"/>
        <v>19024110</v>
      </c>
      <c r="F16" s="449">
        <f t="shared" si="1"/>
        <v>0.1555441954150997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639</v>
      </c>
      <c r="C17" s="453">
        <f>IF(C15=0,0,C16/C15)</f>
        <v>0.30935325088854393</v>
      </c>
      <c r="D17" s="453">
        <f>IF(LN_IA1=0,0,LN_IA2/LN_IA1)</f>
        <v>0.32238310179770591</v>
      </c>
      <c r="E17" s="454">
        <f t="shared" si="0"/>
        <v>1.3029850909161977E-2</v>
      </c>
      <c r="F17" s="449">
        <f t="shared" si="1"/>
        <v>4.2119650825510377E-2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6958</v>
      </c>
      <c r="D18" s="456">
        <v>7920</v>
      </c>
      <c r="E18" s="456">
        <f t="shared" si="0"/>
        <v>962</v>
      </c>
      <c r="F18" s="449">
        <f t="shared" si="1"/>
        <v>0.13825812014946823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640</v>
      </c>
      <c r="C19" s="459">
        <v>1.59206</v>
      </c>
      <c r="D19" s="459">
        <v>1.6468</v>
      </c>
      <c r="E19" s="460">
        <f t="shared" si="0"/>
        <v>5.4740000000000011E-2</v>
      </c>
      <c r="F19" s="449">
        <f t="shared" si="1"/>
        <v>3.4383126264085531E-2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641</v>
      </c>
      <c r="C20" s="463">
        <f>C18*C19</f>
        <v>11077.55348</v>
      </c>
      <c r="D20" s="463">
        <f>LN_IA4*LN_IA5</f>
        <v>13042.656000000001</v>
      </c>
      <c r="E20" s="463">
        <f t="shared" si="0"/>
        <v>1965.1025200000004</v>
      </c>
      <c r="F20" s="449">
        <f t="shared" si="1"/>
        <v>0.17739499281568807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642</v>
      </c>
      <c r="C21" s="465">
        <f>IF(C20=0,0,C16/C20)</f>
        <v>11040.956129963093</v>
      </c>
      <c r="D21" s="465">
        <f>IF(LN_IA6=0,0,LN_IA2/LN_IA6)</f>
        <v>10836.05149135268</v>
      </c>
      <c r="E21" s="465">
        <f t="shared" si="0"/>
        <v>-204.9046386104128</v>
      </c>
      <c r="F21" s="449">
        <f t="shared" si="1"/>
        <v>-1.8558595487427023E-2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50222</v>
      </c>
      <c r="D22" s="456">
        <v>56895</v>
      </c>
      <c r="E22" s="456">
        <f t="shared" si="0"/>
        <v>6673</v>
      </c>
      <c r="F22" s="449">
        <f t="shared" si="1"/>
        <v>0.13287005694715465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643</v>
      </c>
      <c r="C23" s="465">
        <f>IF(C22=0,0,C16/C22)</f>
        <v>2435.3228067380828</v>
      </c>
      <c r="D23" s="465">
        <f>IF(LN_IA8=0,0,LN_IA2/LN_IA8)</f>
        <v>2484.0652429914753</v>
      </c>
      <c r="E23" s="465">
        <f t="shared" si="0"/>
        <v>48.742436253392498</v>
      </c>
      <c r="F23" s="449">
        <f t="shared" si="1"/>
        <v>2.0014774270799458E-2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644</v>
      </c>
      <c r="C24" s="466">
        <f>IF(C18=0,0,C22/C18)</f>
        <v>7.217878700776085</v>
      </c>
      <c r="D24" s="466">
        <f>IF(LN_IA4=0,0,LN_IA8/LN_IA4)</f>
        <v>7.1837121212121211</v>
      </c>
      <c r="E24" s="466">
        <f t="shared" si="0"/>
        <v>-3.416657956396385E-2</v>
      </c>
      <c r="F24" s="449">
        <f t="shared" si="1"/>
        <v>-4.7336040103154089E-3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646</v>
      </c>
      <c r="C27" s="448">
        <v>233806171</v>
      </c>
      <c r="D27" s="448">
        <v>241849912</v>
      </c>
      <c r="E27" s="448">
        <f t="shared" ref="E27:E32" si="2">D27-C27</f>
        <v>8043741</v>
      </c>
      <c r="F27" s="449">
        <f t="shared" ref="F27:F32" si="3">IF(C27=0,0,E27/C27)</f>
        <v>3.4403458923246297E-2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647</v>
      </c>
      <c r="C28" s="448">
        <v>37180232</v>
      </c>
      <c r="D28" s="448">
        <v>39619572</v>
      </c>
      <c r="E28" s="448">
        <f t="shared" si="2"/>
        <v>2439340</v>
      </c>
      <c r="F28" s="449">
        <f t="shared" si="3"/>
        <v>6.5608520140487556E-2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648</v>
      </c>
      <c r="C29" s="453">
        <f>IF(C27=0,0,C28/C27)</f>
        <v>0.15902160255641842</v>
      </c>
      <c r="D29" s="453">
        <f>IF(LN_IA11=0,0,LN_IA12/LN_IA11)</f>
        <v>0.16381883984311724</v>
      </c>
      <c r="E29" s="454">
        <f t="shared" si="2"/>
        <v>4.7972372866988133E-3</v>
      </c>
      <c r="F29" s="449">
        <f t="shared" si="3"/>
        <v>3.0167205018556062E-2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649</v>
      </c>
      <c r="C30" s="453">
        <f>IF(C15=0,0,C27/C15)</f>
        <v>0.591371123448026</v>
      </c>
      <c r="D30" s="453">
        <f>IF(LN_IA1=0,0,LN_IA11/LN_IA1)</f>
        <v>0.55167220482880852</v>
      </c>
      <c r="E30" s="454">
        <f t="shared" si="2"/>
        <v>-3.9698918619217483E-2</v>
      </c>
      <c r="F30" s="449">
        <f t="shared" si="3"/>
        <v>-6.7130296095200714E-2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650</v>
      </c>
      <c r="C31" s="463">
        <f>C30*C18</f>
        <v>4114.7602769513651</v>
      </c>
      <c r="D31" s="463">
        <f>LN_IA14*LN_IA4</f>
        <v>4369.2438622441632</v>
      </c>
      <c r="E31" s="463">
        <f t="shared" si="2"/>
        <v>254.48358529279813</v>
      </c>
      <c r="F31" s="449">
        <f t="shared" si="3"/>
        <v>6.1846515511067776E-2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651</v>
      </c>
      <c r="C32" s="465">
        <f>IF(C31=0,0,C28/C31)</f>
        <v>9035.8197069859234</v>
      </c>
      <c r="D32" s="465">
        <f>IF(LN_IA15=0,0,LN_IA12/LN_IA15)</f>
        <v>9067.8326156989333</v>
      </c>
      <c r="E32" s="465">
        <f t="shared" si="2"/>
        <v>32.012908713009892</v>
      </c>
      <c r="F32" s="449">
        <f t="shared" si="3"/>
        <v>3.5428892730406674E-3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653</v>
      </c>
      <c r="C35" s="448">
        <f>C15+C27</f>
        <v>629169018</v>
      </c>
      <c r="D35" s="448">
        <f>LN_IA1+LN_IA11</f>
        <v>680244143</v>
      </c>
      <c r="E35" s="448">
        <f>D35-C35</f>
        <v>51075125</v>
      </c>
      <c r="F35" s="449">
        <f>IF(C35=0,0,E35/C35)</f>
        <v>8.1178703239961514E-2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654</v>
      </c>
      <c r="C36" s="448">
        <f>C16+C28</f>
        <v>159487014</v>
      </c>
      <c r="D36" s="448">
        <f>LN_IA2+LN_IA12</f>
        <v>180950464</v>
      </c>
      <c r="E36" s="448">
        <f>D36-C36</f>
        <v>21463450</v>
      </c>
      <c r="F36" s="449">
        <f>IF(C36=0,0,E36/C36)</f>
        <v>0.13457804157020584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655</v>
      </c>
      <c r="C37" s="448">
        <f>C35-C36</f>
        <v>469682004</v>
      </c>
      <c r="D37" s="448">
        <f>LN_IA17-LN_IA18</f>
        <v>499293679</v>
      </c>
      <c r="E37" s="448">
        <f>D37-C37</f>
        <v>29611675</v>
      </c>
      <c r="F37" s="449">
        <f>IF(C37=0,0,E37/C37)</f>
        <v>6.3046220097459818E-2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637</v>
      </c>
      <c r="C42" s="448">
        <v>203888134</v>
      </c>
      <c r="D42" s="448">
        <v>214836674</v>
      </c>
      <c r="E42" s="448">
        <f t="shared" ref="E42:E53" si="4">D42-C42</f>
        <v>10948540</v>
      </c>
      <c r="F42" s="449">
        <f t="shared" ref="F42:F53" si="5">IF(C42=0,0,E42/C42)</f>
        <v>5.3698760125000702E-2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638</v>
      </c>
      <c r="C43" s="448">
        <v>85266636</v>
      </c>
      <c r="D43" s="448">
        <v>103455045</v>
      </c>
      <c r="E43" s="448">
        <f t="shared" si="4"/>
        <v>18188409</v>
      </c>
      <c r="F43" s="449">
        <f t="shared" si="5"/>
        <v>0.21331214474088084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639</v>
      </c>
      <c r="C44" s="453">
        <f>IF(C42=0,0,C43/C42)</f>
        <v>0.4182030328454524</v>
      </c>
      <c r="D44" s="453">
        <f>IF(LN_IB1=0,0,LN_IB2/LN_IB1)</f>
        <v>0.48155206964337943</v>
      </c>
      <c r="E44" s="454">
        <f t="shared" si="4"/>
        <v>6.3349036797927027E-2</v>
      </c>
      <c r="F44" s="449">
        <f t="shared" si="5"/>
        <v>0.15147914247991062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5161</v>
      </c>
      <c r="D45" s="456">
        <v>5639</v>
      </c>
      <c r="E45" s="456">
        <f t="shared" si="4"/>
        <v>478</v>
      </c>
      <c r="F45" s="449">
        <f t="shared" si="5"/>
        <v>9.2617709746173227E-2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640</v>
      </c>
      <c r="C46" s="459">
        <v>1.2794000000000001</v>
      </c>
      <c r="D46" s="459">
        <v>1.28301</v>
      </c>
      <c r="E46" s="460">
        <f t="shared" si="4"/>
        <v>3.6099999999998911E-3</v>
      </c>
      <c r="F46" s="449">
        <f t="shared" si="5"/>
        <v>2.8216351414724799E-3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641</v>
      </c>
      <c r="C47" s="463">
        <f>C45*C46</f>
        <v>6602.9834000000001</v>
      </c>
      <c r="D47" s="463">
        <f>LN_IB4*LN_IB5</f>
        <v>7234.8933900000002</v>
      </c>
      <c r="E47" s="463">
        <f t="shared" si="4"/>
        <v>631.90999000000011</v>
      </c>
      <c r="F47" s="449">
        <f t="shared" si="5"/>
        <v>9.5700678272188311E-2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642</v>
      </c>
      <c r="C48" s="465">
        <f>IF(C47=0,0,C43/C47)</f>
        <v>12913.350047192303</v>
      </c>
      <c r="D48" s="465">
        <f>IF(LN_IB6=0,0,LN_IB2/LN_IB6)</f>
        <v>14299.456733252568</v>
      </c>
      <c r="E48" s="465">
        <f t="shared" si="4"/>
        <v>1386.1066860602641</v>
      </c>
      <c r="F48" s="449">
        <f t="shared" si="5"/>
        <v>0.10733904687743205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658</v>
      </c>
      <c r="C49" s="465">
        <f>C21-C48</f>
        <v>-1872.3939172292103</v>
      </c>
      <c r="D49" s="465">
        <f>LN_IA7-LN_IB7</f>
        <v>-3463.4052418998872</v>
      </c>
      <c r="E49" s="465">
        <f t="shared" si="4"/>
        <v>-1591.0113246706769</v>
      </c>
      <c r="F49" s="449">
        <f t="shared" si="5"/>
        <v>0.84972040874020438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659</v>
      </c>
      <c r="C50" s="479">
        <f>C49*C47</f>
        <v>-12363385.95372545</v>
      </c>
      <c r="D50" s="479">
        <f>LN_IB8*LN_IB6</f>
        <v>-25057367.691512845</v>
      </c>
      <c r="E50" s="479">
        <f t="shared" si="4"/>
        <v>-12693981.737787396</v>
      </c>
      <c r="F50" s="449">
        <f t="shared" si="5"/>
        <v>1.0267399064705514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21689</v>
      </c>
      <c r="D51" s="456">
        <v>24080</v>
      </c>
      <c r="E51" s="456">
        <f t="shared" si="4"/>
        <v>2391</v>
      </c>
      <c r="F51" s="449">
        <f t="shared" si="5"/>
        <v>0.11024021393333026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643</v>
      </c>
      <c r="C52" s="465">
        <f>IF(C51=0,0,C43/C51)</f>
        <v>3931.3309050670846</v>
      </c>
      <c r="D52" s="465">
        <f>IF(LN_IB10=0,0,LN_IB2/LN_IB10)</f>
        <v>4296.3058554817271</v>
      </c>
      <c r="E52" s="465">
        <f t="shared" si="4"/>
        <v>364.97495041464254</v>
      </c>
      <c r="F52" s="449">
        <f t="shared" si="5"/>
        <v>9.2837504455355574E-2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644</v>
      </c>
      <c r="C53" s="466">
        <f>IF(C45=0,0,C51/C45)</f>
        <v>4.2024801395078475</v>
      </c>
      <c r="D53" s="466">
        <f>IF(LN_IB4=0,0,LN_IB10/LN_IB4)</f>
        <v>4.270260684518532</v>
      </c>
      <c r="E53" s="466">
        <f t="shared" si="4"/>
        <v>6.7780545010684534E-2</v>
      </c>
      <c r="F53" s="449">
        <f t="shared" si="5"/>
        <v>1.6128700852973528E-2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646</v>
      </c>
      <c r="C56" s="448">
        <v>340964989</v>
      </c>
      <c r="D56" s="448">
        <v>333257720</v>
      </c>
      <c r="E56" s="448">
        <f t="shared" ref="E56:E63" si="6">D56-C56</f>
        <v>-7707269</v>
      </c>
      <c r="F56" s="449">
        <f t="shared" ref="F56:F63" si="7">IF(C56=0,0,E56/C56)</f>
        <v>-2.260428269366976E-2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647</v>
      </c>
      <c r="C57" s="448">
        <v>112735268</v>
      </c>
      <c r="D57" s="448">
        <v>124025751</v>
      </c>
      <c r="E57" s="448">
        <f t="shared" si="6"/>
        <v>11290483</v>
      </c>
      <c r="F57" s="449">
        <f t="shared" si="7"/>
        <v>0.10015040723547133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648</v>
      </c>
      <c r="C58" s="453">
        <f>IF(C56=0,0,C57/C56)</f>
        <v>0.33063590584662639</v>
      </c>
      <c r="D58" s="453">
        <f>IF(LN_IB13=0,0,LN_IB14/LN_IB13)</f>
        <v>0.37216167415416512</v>
      </c>
      <c r="E58" s="454">
        <f t="shared" si="6"/>
        <v>4.1525768307538735E-2</v>
      </c>
      <c r="F58" s="449">
        <f t="shared" si="7"/>
        <v>0.12559364416640667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649</v>
      </c>
      <c r="C59" s="453">
        <f>IF(C42=0,0,C56/C42)</f>
        <v>1.6723140396193925</v>
      </c>
      <c r="D59" s="453">
        <f>IF(LN_IB1=0,0,LN_IB13/LN_IB1)</f>
        <v>1.5512142959353392</v>
      </c>
      <c r="E59" s="454">
        <f t="shared" si="6"/>
        <v>-0.1210997436840533</v>
      </c>
      <c r="F59" s="449">
        <f t="shared" si="7"/>
        <v>-7.2414475280979398E-2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650</v>
      </c>
      <c r="C60" s="463">
        <f>C59*C45</f>
        <v>8630.8127584756839</v>
      </c>
      <c r="D60" s="463">
        <f>LN_IB16*LN_IB4</f>
        <v>8747.2974147793775</v>
      </c>
      <c r="E60" s="463">
        <f t="shared" si="6"/>
        <v>116.48465630369355</v>
      </c>
      <c r="F60" s="449">
        <f t="shared" si="7"/>
        <v>1.3496371612198698E-2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651</v>
      </c>
      <c r="C61" s="465">
        <f>IF(C60=0,0,C57/C60)</f>
        <v>13061.952698405028</v>
      </c>
      <c r="D61" s="465">
        <f>IF(LN_IB17=0,0,LN_IB14/LN_IB17)</f>
        <v>14178.750889440078</v>
      </c>
      <c r="E61" s="465">
        <f t="shared" si="6"/>
        <v>1116.79819103505</v>
      </c>
      <c r="F61" s="449">
        <f t="shared" si="7"/>
        <v>8.5500094574023397E-2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661</v>
      </c>
      <c r="C62" s="465">
        <f>C32-C61</f>
        <v>-4026.1329914191047</v>
      </c>
      <c r="D62" s="465">
        <f>LN_IA16-LN_IB18</f>
        <v>-5110.9182737411447</v>
      </c>
      <c r="E62" s="465">
        <f t="shared" si="6"/>
        <v>-1084.7852823220401</v>
      </c>
      <c r="F62" s="449">
        <f t="shared" si="7"/>
        <v>0.26943602822709595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662</v>
      </c>
      <c r="C63" s="448">
        <f>C62*C60</f>
        <v>-34748799.989659883</v>
      </c>
      <c r="D63" s="448">
        <f>LN_IB19*LN_IB17</f>
        <v>-44706722.203044593</v>
      </c>
      <c r="E63" s="448">
        <f t="shared" si="6"/>
        <v>-9957922.2133847103</v>
      </c>
      <c r="F63" s="449">
        <f t="shared" si="7"/>
        <v>0.28656880860196221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653</v>
      </c>
      <c r="C66" s="448">
        <f>C42+C56</f>
        <v>544853123</v>
      </c>
      <c r="D66" s="448">
        <f>LN_IB1+LN_IB13</f>
        <v>548094394</v>
      </c>
      <c r="E66" s="448">
        <f>D66-C66</f>
        <v>3241271</v>
      </c>
      <c r="F66" s="449">
        <f>IF(C66=0,0,E66/C66)</f>
        <v>5.9488894587835552E-3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654</v>
      </c>
      <c r="C67" s="448">
        <f>C43+C57</f>
        <v>198001904</v>
      </c>
      <c r="D67" s="448">
        <f>LN_IB2+LN_IB14</f>
        <v>227480796</v>
      </c>
      <c r="E67" s="448">
        <f>D67-C67</f>
        <v>29478892</v>
      </c>
      <c r="F67" s="449">
        <f>IF(C67=0,0,E67/C67)</f>
        <v>0.14888186125725336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655</v>
      </c>
      <c r="C68" s="448">
        <f>C66-C67</f>
        <v>346851219</v>
      </c>
      <c r="D68" s="448">
        <f>LN_IB21-LN_IB22</f>
        <v>320613598</v>
      </c>
      <c r="E68" s="448">
        <f>D68-C68</f>
        <v>-26237621</v>
      </c>
      <c r="F68" s="449">
        <f>IF(C68=0,0,E68/C68)</f>
        <v>-7.5645174538077661E-2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664</v>
      </c>
      <c r="C70" s="441">
        <f>C50+C63</f>
        <v>-47112185.943385333</v>
      </c>
      <c r="D70" s="441">
        <f>LN_IB9+LN_IB20</f>
        <v>-69764089.894557446</v>
      </c>
      <c r="E70" s="448">
        <f>D70-C70</f>
        <v>-22651903.951172113</v>
      </c>
      <c r="F70" s="449">
        <f>IF(C70=0,0,E70/C70)</f>
        <v>0.480807746394805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666</v>
      </c>
      <c r="C73" s="488">
        <v>485798950</v>
      </c>
      <c r="D73" s="488">
        <v>481291196</v>
      </c>
      <c r="E73" s="488">
        <f>D73-C73</f>
        <v>-4507754</v>
      </c>
      <c r="F73" s="489">
        <f>IF(C73=0,0,E73/C73)</f>
        <v>-9.2790525792614421E-3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667</v>
      </c>
      <c r="C74" s="488">
        <v>308406459</v>
      </c>
      <c r="D74" s="488">
        <v>287018071</v>
      </c>
      <c r="E74" s="488">
        <f>D74-C74</f>
        <v>-21388388</v>
      </c>
      <c r="F74" s="489">
        <f>IF(C74=0,0,E74/C74)</f>
        <v>-6.9351297211320731E-2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669</v>
      </c>
      <c r="C76" s="441">
        <f>C73-C74</f>
        <v>177392491</v>
      </c>
      <c r="D76" s="441">
        <f>LN_IB32-LN_IB33</f>
        <v>194273125</v>
      </c>
      <c r="E76" s="488">
        <f>D76-C76</f>
        <v>16880634</v>
      </c>
      <c r="F76" s="489">
        <f>IF(E76=0,0,E76/C76)</f>
        <v>9.515980019695422E-2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670</v>
      </c>
      <c r="C77" s="453">
        <f>IF(C73=0,0,C76/C73)</f>
        <v>0.36515618446684578</v>
      </c>
      <c r="D77" s="453">
        <f>IF(LN_IB32=0,0,LN_IB34/LN_IB32)</f>
        <v>0.40364986231744826</v>
      </c>
      <c r="E77" s="493">
        <f>D77-C77</f>
        <v>3.8493677850602481E-2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637</v>
      </c>
      <c r="C83" s="448">
        <v>8164273</v>
      </c>
      <c r="D83" s="448">
        <v>20207327</v>
      </c>
      <c r="E83" s="448">
        <f t="shared" ref="E83:E95" si="8">D83-C83</f>
        <v>12043054</v>
      </c>
      <c r="F83" s="449">
        <f t="shared" ref="F83:F95" si="9">IF(C83=0,0,E83/C83)</f>
        <v>1.4750920259525864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638</v>
      </c>
      <c r="C84" s="448">
        <v>1903873</v>
      </c>
      <c r="D84" s="448">
        <v>10449109</v>
      </c>
      <c r="E84" s="448">
        <f t="shared" si="8"/>
        <v>8545236</v>
      </c>
      <c r="F84" s="449">
        <f t="shared" si="9"/>
        <v>4.4883434977017904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639</v>
      </c>
      <c r="C85" s="453">
        <f>IF(C83=0,0,C84/C83)</f>
        <v>0.23319565624520394</v>
      </c>
      <c r="D85" s="453">
        <f>IF(LN_IC1=0,0,LN_IC2/LN_IC1)</f>
        <v>0.51709506160809893</v>
      </c>
      <c r="E85" s="454">
        <f t="shared" si="8"/>
        <v>0.28389940536289499</v>
      </c>
      <c r="F85" s="449">
        <f t="shared" si="9"/>
        <v>1.2174300753886098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215</v>
      </c>
      <c r="D86" s="456">
        <v>785</v>
      </c>
      <c r="E86" s="456">
        <f t="shared" si="8"/>
        <v>570</v>
      </c>
      <c r="F86" s="449">
        <f t="shared" si="9"/>
        <v>2.6511627906976742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640</v>
      </c>
      <c r="C87" s="459">
        <v>1.18129</v>
      </c>
      <c r="D87" s="459">
        <v>1.03671</v>
      </c>
      <c r="E87" s="460">
        <f t="shared" si="8"/>
        <v>-0.14457999999999993</v>
      </c>
      <c r="F87" s="449">
        <f t="shared" si="9"/>
        <v>-0.12239162271753755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641</v>
      </c>
      <c r="C88" s="463">
        <f>C86*C87</f>
        <v>253.97735</v>
      </c>
      <c r="D88" s="463">
        <f>LN_IC4*LN_IC5</f>
        <v>813.81735000000003</v>
      </c>
      <c r="E88" s="463">
        <f t="shared" si="8"/>
        <v>559.84</v>
      </c>
      <c r="F88" s="449">
        <f t="shared" si="9"/>
        <v>2.2042910519382932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642</v>
      </c>
      <c r="C89" s="465">
        <f>IF(C88=0,0,C84/C88)</f>
        <v>7496.231455285284</v>
      </c>
      <c r="D89" s="465">
        <f>IF(LN_IC6=0,0,LN_IC2/LN_IC6)</f>
        <v>12839.624271957337</v>
      </c>
      <c r="E89" s="465">
        <f t="shared" si="8"/>
        <v>5343.3928166720525</v>
      </c>
      <c r="F89" s="449">
        <f t="shared" si="9"/>
        <v>0.71281054334370186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673</v>
      </c>
      <c r="C90" s="465">
        <f>C48-C89</f>
        <v>5417.1185919070194</v>
      </c>
      <c r="D90" s="465">
        <f>LN_IB7-LN_IC7</f>
        <v>1459.832461295231</v>
      </c>
      <c r="E90" s="465">
        <f t="shared" si="8"/>
        <v>-3957.2861306117884</v>
      </c>
      <c r="F90" s="449">
        <f t="shared" si="9"/>
        <v>-0.73051495245532039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674</v>
      </c>
      <c r="C91" s="465">
        <f>C21-C89</f>
        <v>3544.7246746778092</v>
      </c>
      <c r="D91" s="465">
        <f>LN_IA7-LN_IC7</f>
        <v>-2003.5727806046561</v>
      </c>
      <c r="E91" s="465">
        <f t="shared" si="8"/>
        <v>-5548.2974552824653</v>
      </c>
      <c r="F91" s="449">
        <f t="shared" si="9"/>
        <v>-1.5652266295651769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659</v>
      </c>
      <c r="C92" s="441">
        <f>C91*C88</f>
        <v>900279.77935428207</v>
      </c>
      <c r="D92" s="441">
        <f>LN_IC9*LN_IC6</f>
        <v>-1630542.2908438127</v>
      </c>
      <c r="E92" s="441">
        <f t="shared" si="8"/>
        <v>-2530822.0701980949</v>
      </c>
      <c r="F92" s="449">
        <f t="shared" si="9"/>
        <v>-2.8111506314329366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881</v>
      </c>
      <c r="D93" s="456">
        <v>3075</v>
      </c>
      <c r="E93" s="456">
        <f t="shared" si="8"/>
        <v>2194</v>
      </c>
      <c r="F93" s="449">
        <f t="shared" si="9"/>
        <v>2.4903518728717366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643</v>
      </c>
      <c r="C94" s="499">
        <f>IF(C93=0,0,C84/C93)</f>
        <v>2161.0363223609534</v>
      </c>
      <c r="D94" s="499">
        <f>IF(LN_IC11=0,0,LN_IC2/LN_IC11)</f>
        <v>3398.0842276422763</v>
      </c>
      <c r="E94" s="499">
        <f t="shared" si="8"/>
        <v>1237.047905281323</v>
      </c>
      <c r="F94" s="449">
        <f t="shared" si="9"/>
        <v>0.57243272243098442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644</v>
      </c>
      <c r="C95" s="466">
        <f>IF(C86=0,0,C93/C86)</f>
        <v>4.097674418604651</v>
      </c>
      <c r="D95" s="466">
        <f>IF(LN_IC4=0,0,LN_IC11/LN_IC4)</f>
        <v>3.9171974522292992</v>
      </c>
      <c r="E95" s="466">
        <f t="shared" si="8"/>
        <v>-0.18047696637535182</v>
      </c>
      <c r="F95" s="449">
        <f t="shared" si="9"/>
        <v>-4.4043754563791879E-2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646</v>
      </c>
      <c r="C98" s="448">
        <v>37791733</v>
      </c>
      <c r="D98" s="448">
        <v>33171524</v>
      </c>
      <c r="E98" s="448">
        <f t="shared" ref="E98:E106" si="10">D98-C98</f>
        <v>-4620209</v>
      </c>
      <c r="F98" s="449">
        <f t="shared" ref="F98:F106" si="11">IF(C98=0,0,E98/C98)</f>
        <v>-0.12225448883225334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647</v>
      </c>
      <c r="C99" s="448">
        <v>11963371</v>
      </c>
      <c r="D99" s="448">
        <v>16413766</v>
      </c>
      <c r="E99" s="448">
        <f t="shared" si="10"/>
        <v>4450395</v>
      </c>
      <c r="F99" s="449">
        <f t="shared" si="11"/>
        <v>0.37200175435502253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648</v>
      </c>
      <c r="C100" s="453">
        <f>IF(C98=0,0,C99/C98)</f>
        <v>0.31656052925649109</v>
      </c>
      <c r="D100" s="453">
        <f>IF(LN_IC14=0,0,LN_IC15/LN_IC14)</f>
        <v>0.49481495031702494</v>
      </c>
      <c r="E100" s="454">
        <f t="shared" si="10"/>
        <v>0.17825442106053385</v>
      </c>
      <c r="F100" s="449">
        <f t="shared" si="11"/>
        <v>0.56309743188514949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649</v>
      </c>
      <c r="C101" s="453">
        <f>IF(C83=0,0,C98/C83)</f>
        <v>4.6289158875505514</v>
      </c>
      <c r="D101" s="453">
        <f>IF(LN_IC1=0,0,LN_IC14/LN_IC1)</f>
        <v>1.6415592225532847</v>
      </c>
      <c r="E101" s="454">
        <f t="shared" si="10"/>
        <v>-2.9873566649972667</v>
      </c>
      <c r="F101" s="449">
        <f t="shared" si="11"/>
        <v>-0.64536853500227753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650</v>
      </c>
      <c r="C102" s="463">
        <f>C101*C86</f>
        <v>995.21691582336859</v>
      </c>
      <c r="D102" s="463">
        <f>LN_IC17*LN_IC4</f>
        <v>1288.6239897043286</v>
      </c>
      <c r="E102" s="463">
        <f t="shared" si="10"/>
        <v>293.40707388095996</v>
      </c>
      <c r="F102" s="449">
        <f t="shared" si="11"/>
        <v>0.29481720941028894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651</v>
      </c>
      <c r="C103" s="465">
        <f>IF(C102=0,0,C99/C102)</f>
        <v>12020.867822672</v>
      </c>
      <c r="D103" s="465">
        <f>IF(LN_IC18=0,0,LN_IC15/LN_IC18)</f>
        <v>12737.436312796021</v>
      </c>
      <c r="E103" s="465">
        <f t="shared" si="10"/>
        <v>716.56849012402017</v>
      </c>
      <c r="F103" s="449">
        <f t="shared" si="11"/>
        <v>5.9610379274991583E-2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676</v>
      </c>
      <c r="C104" s="465">
        <f>C61-C103</f>
        <v>1041.0848757330277</v>
      </c>
      <c r="D104" s="465">
        <f>LN_IB18-LN_IC19</f>
        <v>1441.3145766440575</v>
      </c>
      <c r="E104" s="465">
        <f t="shared" si="10"/>
        <v>400.22970091102979</v>
      </c>
      <c r="F104" s="449">
        <f t="shared" si="11"/>
        <v>0.38443522736724817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677</v>
      </c>
      <c r="C105" s="465">
        <f>C32-C103</f>
        <v>-2985.0481156860769</v>
      </c>
      <c r="D105" s="465">
        <f>LN_IA16-LN_IC19</f>
        <v>-3669.6036970970872</v>
      </c>
      <c r="E105" s="465">
        <f t="shared" si="10"/>
        <v>-684.55558141101028</v>
      </c>
      <c r="F105" s="449">
        <f t="shared" si="11"/>
        <v>0.22932815649226931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662</v>
      </c>
      <c r="C106" s="448">
        <f>C105*C102</f>
        <v>-2970770.3792774556</v>
      </c>
      <c r="D106" s="448">
        <f>LN_IC21*LN_IC18</f>
        <v>-4728739.3567870026</v>
      </c>
      <c r="E106" s="448">
        <f t="shared" si="10"/>
        <v>-1757968.977509547</v>
      </c>
      <c r="F106" s="449">
        <f t="shared" si="11"/>
        <v>0.59175525303881493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653</v>
      </c>
      <c r="C109" s="448">
        <f>C83+C98</f>
        <v>45956006</v>
      </c>
      <c r="D109" s="448">
        <f>LN_IC1+LN_IC14</f>
        <v>53378851</v>
      </c>
      <c r="E109" s="448">
        <f>D109-C109</f>
        <v>7422845</v>
      </c>
      <c r="F109" s="449">
        <f>IF(C109=0,0,E109/C109)</f>
        <v>0.16152067261893907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654</v>
      </c>
      <c r="C110" s="448">
        <f>C84+C99</f>
        <v>13867244</v>
      </c>
      <c r="D110" s="448">
        <f>LN_IC2+LN_IC15</f>
        <v>26862875</v>
      </c>
      <c r="E110" s="448">
        <f>D110-C110</f>
        <v>12995631</v>
      </c>
      <c r="F110" s="449">
        <f>IF(C110=0,0,E110/C110)</f>
        <v>0.93714591017508597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655</v>
      </c>
      <c r="C111" s="448">
        <f>C109-C110</f>
        <v>32088762</v>
      </c>
      <c r="D111" s="448">
        <f>LN_IC23-LN_IC24</f>
        <v>26515976</v>
      </c>
      <c r="E111" s="448">
        <f>D111-C111</f>
        <v>-5572786</v>
      </c>
      <c r="F111" s="449">
        <f>IF(C111=0,0,E111/C111)</f>
        <v>-0.17366784047324729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664</v>
      </c>
      <c r="C113" s="448">
        <f>C92+C106</f>
        <v>-2070490.5999231734</v>
      </c>
      <c r="D113" s="448">
        <f>LN_IC10+LN_IC22</f>
        <v>-6359281.6476308154</v>
      </c>
      <c r="E113" s="448">
        <f>D113-C113</f>
        <v>-4288791.0477076415</v>
      </c>
      <c r="F113" s="449">
        <f>IF(C113=0,0,E113/C113)</f>
        <v>2.0713888041156907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637</v>
      </c>
      <c r="C118" s="448">
        <v>230209572</v>
      </c>
      <c r="D118" s="448">
        <v>222828904</v>
      </c>
      <c r="E118" s="448">
        <f t="shared" ref="E118:E130" si="12">D118-C118</f>
        <v>-7380668</v>
      </c>
      <c r="F118" s="449">
        <f t="shared" ref="F118:F130" si="13">IF(C118=0,0,E118/C118)</f>
        <v>-3.2060647764898323E-2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638</v>
      </c>
      <c r="C119" s="448">
        <v>49876097</v>
      </c>
      <c r="D119" s="448">
        <v>40320958</v>
      </c>
      <c r="E119" s="448">
        <f t="shared" si="12"/>
        <v>-9555139</v>
      </c>
      <c r="F119" s="449">
        <f t="shared" si="13"/>
        <v>-0.19157752059067493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639</v>
      </c>
      <c r="C120" s="453">
        <f>IF(C118=0,0,C119/C118)</f>
        <v>0.21665518321714269</v>
      </c>
      <c r="D120" s="453">
        <f>IF(LN_ID1=0,0,LN_1D2/LN_ID1)</f>
        <v>0.18095030436446433</v>
      </c>
      <c r="E120" s="454">
        <f t="shared" si="12"/>
        <v>-3.5704878852678368E-2</v>
      </c>
      <c r="F120" s="449">
        <f t="shared" si="13"/>
        <v>-0.16480048306480233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6057</v>
      </c>
      <c r="D121" s="456">
        <v>6240</v>
      </c>
      <c r="E121" s="456">
        <f t="shared" si="12"/>
        <v>183</v>
      </c>
      <c r="F121" s="449">
        <f t="shared" si="13"/>
        <v>3.0212976721149084E-2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640</v>
      </c>
      <c r="C122" s="459">
        <v>1.0716300000000001</v>
      </c>
      <c r="D122" s="459">
        <v>1.0688200000000001</v>
      </c>
      <c r="E122" s="460">
        <f t="shared" si="12"/>
        <v>-2.8099999999999792E-3</v>
      </c>
      <c r="F122" s="449">
        <f t="shared" si="13"/>
        <v>-2.622173698011421E-3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641</v>
      </c>
      <c r="C123" s="463">
        <f>C121*C122</f>
        <v>6490.8629100000007</v>
      </c>
      <c r="D123" s="463">
        <f>LN_ID4*LN_ID5</f>
        <v>6669.4368000000004</v>
      </c>
      <c r="E123" s="463">
        <f t="shared" si="12"/>
        <v>178.57388999999966</v>
      </c>
      <c r="F123" s="449">
        <f t="shared" si="13"/>
        <v>2.7511579350240758E-2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642</v>
      </c>
      <c r="C124" s="465">
        <f>IF(C123=0,0,C119/C123)</f>
        <v>7684.0472047498524</v>
      </c>
      <c r="D124" s="465">
        <f>IF(LN_ID6=0,0,LN_1D2/LN_ID6)</f>
        <v>6045.6316191496107</v>
      </c>
      <c r="E124" s="465">
        <f t="shared" si="12"/>
        <v>-1638.4155856002417</v>
      </c>
      <c r="F124" s="449">
        <f t="shared" si="13"/>
        <v>-0.21322299849842982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681</v>
      </c>
      <c r="C125" s="465">
        <f>C48-C124</f>
        <v>5229.302842442451</v>
      </c>
      <c r="D125" s="465">
        <f>LN_IB7-LN_ID7</f>
        <v>8253.8251141029577</v>
      </c>
      <c r="E125" s="465">
        <f t="shared" si="12"/>
        <v>3024.5222716605067</v>
      </c>
      <c r="F125" s="449">
        <f t="shared" si="13"/>
        <v>0.57837963544827764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682</v>
      </c>
      <c r="C126" s="465">
        <f>C21-C124</f>
        <v>3356.9089252132408</v>
      </c>
      <c r="D126" s="465">
        <f>LN_IA7-LN_ID7</f>
        <v>4790.4198722030696</v>
      </c>
      <c r="E126" s="465">
        <f t="shared" si="12"/>
        <v>1433.5109469898289</v>
      </c>
      <c r="F126" s="449">
        <f t="shared" si="13"/>
        <v>0.42703301725672166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659</v>
      </c>
      <c r="C127" s="479">
        <f>C126*C123</f>
        <v>21789235.634914592</v>
      </c>
      <c r="D127" s="479">
        <f>LN_ID9*LN_ID6</f>
        <v>31949402.583122451</v>
      </c>
      <c r="E127" s="479">
        <f t="shared" si="12"/>
        <v>10160166.948207859</v>
      </c>
      <c r="F127" s="449">
        <f t="shared" si="13"/>
        <v>0.46629294934639337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29184</v>
      </c>
      <c r="D128" s="456">
        <v>28455</v>
      </c>
      <c r="E128" s="456">
        <f t="shared" si="12"/>
        <v>-729</v>
      </c>
      <c r="F128" s="449">
        <f t="shared" si="13"/>
        <v>-2.4979440789473683E-2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643</v>
      </c>
      <c r="C129" s="465">
        <f>IF(C128=0,0,C119/C128)</f>
        <v>1709.0219640899122</v>
      </c>
      <c r="D129" s="465">
        <f>IF(LN_ID11=0,0,LN_1D2/LN_ID11)</f>
        <v>1417.0078369355122</v>
      </c>
      <c r="E129" s="465">
        <f t="shared" si="12"/>
        <v>-292.01412715440006</v>
      </c>
      <c r="F129" s="449">
        <f t="shared" si="13"/>
        <v>-0.17086622248878078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644</v>
      </c>
      <c r="C130" s="466">
        <f>IF(C121=0,0,C128/C121)</f>
        <v>4.8182268449727585</v>
      </c>
      <c r="D130" s="466">
        <f>IF(LN_ID4=0,0,LN_ID11/LN_ID4)</f>
        <v>4.5600961538461542</v>
      </c>
      <c r="E130" s="466">
        <f t="shared" si="12"/>
        <v>-0.25813069112660436</v>
      </c>
      <c r="F130" s="449">
        <f t="shared" si="13"/>
        <v>-5.3573793727859191E-2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646</v>
      </c>
      <c r="C133" s="448">
        <v>286369150</v>
      </c>
      <c r="D133" s="448">
        <v>307573351</v>
      </c>
      <c r="E133" s="448">
        <f t="shared" ref="E133:E141" si="14">D133-C133</f>
        <v>21204201</v>
      </c>
      <c r="F133" s="449">
        <f t="shared" ref="F133:F141" si="15">IF(C133=0,0,E133/C133)</f>
        <v>7.4044990530579155E-2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647</v>
      </c>
      <c r="C134" s="448">
        <v>42640833</v>
      </c>
      <c r="D134" s="448">
        <v>43186014</v>
      </c>
      <c r="E134" s="448">
        <f t="shared" si="14"/>
        <v>545181</v>
      </c>
      <c r="F134" s="449">
        <f t="shared" si="15"/>
        <v>1.2785420960233117E-2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648</v>
      </c>
      <c r="C135" s="453">
        <f>IF(C133=0,0,C134/C133)</f>
        <v>0.14890162924323377</v>
      </c>
      <c r="D135" s="453">
        <f>IF(LN_ID14=0,0,LN_ID15/LN_ID14)</f>
        <v>0.14040882885201586</v>
      </c>
      <c r="E135" s="454">
        <f t="shared" si="14"/>
        <v>-8.492800391217914E-3</v>
      </c>
      <c r="F135" s="449">
        <f t="shared" si="15"/>
        <v>-5.7036316085868718E-2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649</v>
      </c>
      <c r="C136" s="453">
        <f>IF(C118=0,0,C133/C118)</f>
        <v>1.2439497954498608</v>
      </c>
      <c r="D136" s="453">
        <f>IF(LN_ID1=0,0,LN_ID14/LN_ID1)</f>
        <v>1.3803117346033349</v>
      </c>
      <c r="E136" s="454">
        <f t="shared" si="14"/>
        <v>0.13636193915347405</v>
      </c>
      <c r="F136" s="449">
        <f t="shared" si="15"/>
        <v>0.10962013069358659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650</v>
      </c>
      <c r="C137" s="463">
        <f>C136*C121</f>
        <v>7534.6039110398069</v>
      </c>
      <c r="D137" s="463">
        <f>LN_ID17*LN_ID4</f>
        <v>8613.1452239248101</v>
      </c>
      <c r="E137" s="463">
        <f t="shared" si="14"/>
        <v>1078.5413128850032</v>
      </c>
      <c r="F137" s="449">
        <f t="shared" si="15"/>
        <v>0.14314505787155041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651</v>
      </c>
      <c r="C138" s="465">
        <f>IF(C137=0,0,C134/C137)</f>
        <v>5659.3330589710304</v>
      </c>
      <c r="D138" s="465">
        <f>IF(LN_ID18=0,0,LN_ID15/LN_ID18)</f>
        <v>5013.9656161888252</v>
      </c>
      <c r="E138" s="465">
        <f t="shared" si="14"/>
        <v>-645.36744278220522</v>
      </c>
      <c r="F138" s="449">
        <f t="shared" si="15"/>
        <v>-0.11403595371705244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684</v>
      </c>
      <c r="C139" s="465">
        <f>C61-C138</f>
        <v>7402.6196394339977</v>
      </c>
      <c r="D139" s="465">
        <f>LN_IB18-LN_ID19</f>
        <v>9164.7852732512529</v>
      </c>
      <c r="E139" s="465">
        <f t="shared" si="14"/>
        <v>1762.1656338172552</v>
      </c>
      <c r="F139" s="449">
        <f t="shared" si="15"/>
        <v>0.23804622142547227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685</v>
      </c>
      <c r="C140" s="465">
        <f>C32-C138</f>
        <v>3376.486648014893</v>
      </c>
      <c r="D140" s="465">
        <f>LN_IA16-LN_ID19</f>
        <v>4053.8669995101081</v>
      </c>
      <c r="E140" s="465">
        <f t="shared" si="14"/>
        <v>677.38035149521511</v>
      </c>
      <c r="F140" s="449">
        <f t="shared" si="15"/>
        <v>0.200616919925764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662</v>
      </c>
      <c r="C141" s="441">
        <f>C140*C137</f>
        <v>25440489.503706701</v>
      </c>
      <c r="D141" s="441">
        <f>LN_ID21*LN_ID18</f>
        <v>34916545.185256891</v>
      </c>
      <c r="E141" s="441">
        <f t="shared" si="14"/>
        <v>9476055.6815501899</v>
      </c>
      <c r="F141" s="449">
        <f t="shared" si="15"/>
        <v>0.37247929841010019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653</v>
      </c>
      <c r="C144" s="448">
        <f>C118+C133</f>
        <v>516578722</v>
      </c>
      <c r="D144" s="448">
        <f>LN_ID1+LN_ID14</f>
        <v>530402255</v>
      </c>
      <c r="E144" s="448">
        <f>D144-C144</f>
        <v>13823533</v>
      </c>
      <c r="F144" s="449">
        <f>IF(C144=0,0,E144/C144)</f>
        <v>2.6759780090206658E-2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654</v>
      </c>
      <c r="C145" s="448">
        <f>C119+C134</f>
        <v>92516930</v>
      </c>
      <c r="D145" s="448">
        <f>LN_1D2+LN_ID15</f>
        <v>83506972</v>
      </c>
      <c r="E145" s="448">
        <f>D145-C145</f>
        <v>-9009958</v>
      </c>
      <c r="F145" s="449">
        <f>IF(C145=0,0,E145/C145)</f>
        <v>-9.7387126875048705E-2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655</v>
      </c>
      <c r="C146" s="448">
        <f>C144-C145</f>
        <v>424061792</v>
      </c>
      <c r="D146" s="448">
        <f>LN_ID23-LN_ID24</f>
        <v>446895283</v>
      </c>
      <c r="E146" s="448">
        <f>D146-C146</f>
        <v>22833491</v>
      </c>
      <c r="F146" s="449">
        <f>IF(C146=0,0,E146/C146)</f>
        <v>5.3844726006345794E-2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664</v>
      </c>
      <c r="C148" s="448">
        <f>C127+C141</f>
        <v>47229725.138621293</v>
      </c>
      <c r="D148" s="448">
        <f>LN_ID10+LN_ID22</f>
        <v>66865947.768379346</v>
      </c>
      <c r="E148" s="448">
        <f>D148-C148</f>
        <v>19636222.629758053</v>
      </c>
      <c r="F148" s="503">
        <f>IF(C148=0,0,E148/C148)</f>
        <v>0.41575983286214108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637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638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639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640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641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642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689</v>
      </c>
      <c r="C160" s="465">
        <f>C48-C159</f>
        <v>12913.350047192303</v>
      </c>
      <c r="D160" s="465">
        <f>LN_IB7-LN_IE7</f>
        <v>14299.456733252568</v>
      </c>
      <c r="E160" s="465">
        <f t="shared" si="16"/>
        <v>1386.1066860602641</v>
      </c>
      <c r="F160" s="449">
        <f t="shared" si="17"/>
        <v>0.10733904687743205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690</v>
      </c>
      <c r="C161" s="465">
        <f>C21-C159</f>
        <v>11040.956129963093</v>
      </c>
      <c r="D161" s="465">
        <f>LN_IA7-LN_IE7</f>
        <v>10836.05149135268</v>
      </c>
      <c r="E161" s="465">
        <f t="shared" si="16"/>
        <v>-204.9046386104128</v>
      </c>
      <c r="F161" s="449">
        <f t="shared" si="17"/>
        <v>-1.8558595487427023E-2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659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643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644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646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647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648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649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650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651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692</v>
      </c>
      <c r="C174" s="465">
        <f>C61-C173</f>
        <v>13061.952698405028</v>
      </c>
      <c r="D174" s="465">
        <f>LN_IB18-LN_IE19</f>
        <v>14178.750889440078</v>
      </c>
      <c r="E174" s="465">
        <f t="shared" si="18"/>
        <v>1116.79819103505</v>
      </c>
      <c r="F174" s="449">
        <f t="shared" si="19"/>
        <v>8.5500094574023397E-2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693</v>
      </c>
      <c r="C175" s="465">
        <f>C32-C173</f>
        <v>9035.8197069859234</v>
      </c>
      <c r="D175" s="465">
        <f>LN_IA16-LN_IE19</f>
        <v>9067.8326156989333</v>
      </c>
      <c r="E175" s="465">
        <f t="shared" si="18"/>
        <v>32.012908713009892</v>
      </c>
      <c r="F175" s="449">
        <f t="shared" si="19"/>
        <v>3.5428892730406674E-3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662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653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654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655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695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637</v>
      </c>
      <c r="C188" s="448">
        <f>C118+C153</f>
        <v>230209572</v>
      </c>
      <c r="D188" s="448">
        <f>LN_ID1+LN_IE1</f>
        <v>222828904</v>
      </c>
      <c r="E188" s="448">
        <f t="shared" ref="E188:E200" si="20">D188-C188</f>
        <v>-7380668</v>
      </c>
      <c r="F188" s="449">
        <f t="shared" ref="F188:F200" si="21">IF(C188=0,0,E188/C188)</f>
        <v>-3.2060647764898323E-2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638</v>
      </c>
      <c r="C189" s="448">
        <f>C119+C154</f>
        <v>49876097</v>
      </c>
      <c r="D189" s="448">
        <f>LN_1D2+LN_IE2</f>
        <v>40320958</v>
      </c>
      <c r="E189" s="448">
        <f t="shared" si="20"/>
        <v>-9555139</v>
      </c>
      <c r="F189" s="449">
        <f t="shared" si="21"/>
        <v>-0.19157752059067493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639</v>
      </c>
      <c r="C190" s="453">
        <f>IF(C188=0,0,C189/C188)</f>
        <v>0.21665518321714269</v>
      </c>
      <c r="D190" s="453">
        <f>IF(LN_IF1=0,0,LN_IF2/LN_IF1)</f>
        <v>0.18095030436446433</v>
      </c>
      <c r="E190" s="454">
        <f t="shared" si="20"/>
        <v>-3.5704878852678368E-2</v>
      </c>
      <c r="F190" s="449">
        <f t="shared" si="21"/>
        <v>-0.16480048306480233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6057</v>
      </c>
      <c r="D191" s="456">
        <f>LN_ID4+LN_IE4</f>
        <v>6240</v>
      </c>
      <c r="E191" s="456">
        <f t="shared" si="20"/>
        <v>183</v>
      </c>
      <c r="F191" s="449">
        <f t="shared" si="21"/>
        <v>3.0212976721149084E-2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640</v>
      </c>
      <c r="C192" s="459">
        <f>IF((C121+C156)=0,0,(C123+C158)/(C121+C156))</f>
        <v>1.0716300000000001</v>
      </c>
      <c r="D192" s="459">
        <f>IF((LN_ID4+LN_IE4)=0,0,(LN_ID6+LN_IE6)/(LN_ID4+LN_IE4))</f>
        <v>1.0688200000000001</v>
      </c>
      <c r="E192" s="460">
        <f t="shared" si="20"/>
        <v>-2.8099999999999792E-3</v>
      </c>
      <c r="F192" s="449">
        <f t="shared" si="21"/>
        <v>-2.622173698011421E-3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641</v>
      </c>
      <c r="C193" s="463">
        <f>C123+C158</f>
        <v>6490.8629100000007</v>
      </c>
      <c r="D193" s="463">
        <f>LN_IF4*LN_IF5</f>
        <v>6669.4368000000004</v>
      </c>
      <c r="E193" s="463">
        <f t="shared" si="20"/>
        <v>178.57388999999966</v>
      </c>
      <c r="F193" s="449">
        <f t="shared" si="21"/>
        <v>2.7511579350240758E-2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642</v>
      </c>
      <c r="C194" s="465">
        <f>IF(C193=0,0,C189/C193)</f>
        <v>7684.0472047498524</v>
      </c>
      <c r="D194" s="465">
        <f>IF(LN_IF6=0,0,LN_IF2/LN_IF6)</f>
        <v>6045.6316191496107</v>
      </c>
      <c r="E194" s="465">
        <f t="shared" si="20"/>
        <v>-1638.4155856002417</v>
      </c>
      <c r="F194" s="449">
        <f t="shared" si="21"/>
        <v>-0.21322299849842982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698</v>
      </c>
      <c r="C195" s="465">
        <f>C48-C194</f>
        <v>5229.302842442451</v>
      </c>
      <c r="D195" s="465">
        <f>LN_IB7-LN_IF7</f>
        <v>8253.8251141029577</v>
      </c>
      <c r="E195" s="465">
        <f t="shared" si="20"/>
        <v>3024.5222716605067</v>
      </c>
      <c r="F195" s="449">
        <f t="shared" si="21"/>
        <v>0.57837963544827764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699</v>
      </c>
      <c r="C196" s="465">
        <f>C21-C194</f>
        <v>3356.9089252132408</v>
      </c>
      <c r="D196" s="465">
        <f>LN_IA7-LN_IF7</f>
        <v>4790.4198722030696</v>
      </c>
      <c r="E196" s="465">
        <f t="shared" si="20"/>
        <v>1433.5109469898289</v>
      </c>
      <c r="F196" s="449">
        <f t="shared" si="21"/>
        <v>0.42703301725672166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659</v>
      </c>
      <c r="C197" s="479">
        <f>C127+C162</f>
        <v>21789235.634914592</v>
      </c>
      <c r="D197" s="479">
        <f>LN_IF9*LN_IF6</f>
        <v>31949402.583122451</v>
      </c>
      <c r="E197" s="479">
        <f t="shared" si="20"/>
        <v>10160166.948207859</v>
      </c>
      <c r="F197" s="449">
        <f t="shared" si="21"/>
        <v>0.46629294934639337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29184</v>
      </c>
      <c r="D198" s="456">
        <f>LN_ID11+LN_IE11</f>
        <v>28455</v>
      </c>
      <c r="E198" s="456">
        <f t="shared" si="20"/>
        <v>-729</v>
      </c>
      <c r="F198" s="449">
        <f t="shared" si="21"/>
        <v>-2.4979440789473683E-2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643</v>
      </c>
      <c r="C199" s="519">
        <f>IF(C198=0,0,C189/C198)</f>
        <v>1709.0219640899122</v>
      </c>
      <c r="D199" s="519">
        <f>IF(LN_IF11=0,0,LN_IF2/LN_IF11)</f>
        <v>1417.0078369355122</v>
      </c>
      <c r="E199" s="519">
        <f t="shared" si="20"/>
        <v>-292.01412715440006</v>
      </c>
      <c r="F199" s="449">
        <f t="shared" si="21"/>
        <v>-0.17086622248878078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644</v>
      </c>
      <c r="C200" s="466">
        <f>IF(C191=0,0,C198/C191)</f>
        <v>4.8182268449727585</v>
      </c>
      <c r="D200" s="466">
        <f>IF(LN_IF4=0,0,LN_IF11/LN_IF4)</f>
        <v>4.5600961538461542</v>
      </c>
      <c r="E200" s="466">
        <f t="shared" si="20"/>
        <v>-0.25813069112660436</v>
      </c>
      <c r="F200" s="449">
        <f t="shared" si="21"/>
        <v>-5.3573793727859191E-2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646</v>
      </c>
      <c r="C203" s="448">
        <f>C133+C168</f>
        <v>286369150</v>
      </c>
      <c r="D203" s="448">
        <f>LN_ID14+LN_IE14</f>
        <v>307573351</v>
      </c>
      <c r="E203" s="448">
        <f t="shared" ref="E203:E211" si="22">D203-C203</f>
        <v>21204201</v>
      </c>
      <c r="F203" s="449">
        <f t="shared" ref="F203:F211" si="23">IF(C203=0,0,E203/C203)</f>
        <v>7.4044990530579155E-2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647</v>
      </c>
      <c r="C204" s="448">
        <f>C134+C169</f>
        <v>42640833</v>
      </c>
      <c r="D204" s="448">
        <f>LN_ID15+LN_IE15</f>
        <v>43186014</v>
      </c>
      <c r="E204" s="448">
        <f t="shared" si="22"/>
        <v>545181</v>
      </c>
      <c r="F204" s="449">
        <f t="shared" si="23"/>
        <v>1.2785420960233117E-2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648</v>
      </c>
      <c r="C205" s="453">
        <f>IF(C203=0,0,C204/C203)</f>
        <v>0.14890162924323377</v>
      </c>
      <c r="D205" s="453">
        <f>IF(LN_IF14=0,0,LN_IF15/LN_IF14)</f>
        <v>0.14040882885201586</v>
      </c>
      <c r="E205" s="454">
        <f t="shared" si="22"/>
        <v>-8.492800391217914E-3</v>
      </c>
      <c r="F205" s="449">
        <f t="shared" si="23"/>
        <v>-5.7036316085868718E-2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649</v>
      </c>
      <c r="C206" s="453">
        <f>IF(C188=0,0,C203/C188)</f>
        <v>1.2439497954498608</v>
      </c>
      <c r="D206" s="453">
        <f>IF(LN_IF1=0,0,LN_IF14/LN_IF1)</f>
        <v>1.3803117346033349</v>
      </c>
      <c r="E206" s="454">
        <f t="shared" si="22"/>
        <v>0.13636193915347405</v>
      </c>
      <c r="F206" s="449">
        <f t="shared" si="23"/>
        <v>0.10962013069358659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650</v>
      </c>
      <c r="C207" s="463">
        <f>C137+C172</f>
        <v>7534.6039110398069</v>
      </c>
      <c r="D207" s="463">
        <f>LN_ID18+LN_IE18</f>
        <v>8613.1452239248101</v>
      </c>
      <c r="E207" s="463">
        <f t="shared" si="22"/>
        <v>1078.5413128850032</v>
      </c>
      <c r="F207" s="449">
        <f t="shared" si="23"/>
        <v>0.14314505787155041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651</v>
      </c>
      <c r="C208" s="465">
        <f>IF(C207=0,0,C204/C207)</f>
        <v>5659.3330589710304</v>
      </c>
      <c r="D208" s="465">
        <f>IF(LN_IF18=0,0,LN_IF15/LN_IF18)</f>
        <v>5013.9656161888252</v>
      </c>
      <c r="E208" s="465">
        <f t="shared" si="22"/>
        <v>-645.36744278220522</v>
      </c>
      <c r="F208" s="449">
        <f t="shared" si="23"/>
        <v>-0.11403595371705244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701</v>
      </c>
      <c r="C209" s="465">
        <f>C61-C208</f>
        <v>7402.6196394339977</v>
      </c>
      <c r="D209" s="465">
        <f>LN_IB18-LN_IF19</f>
        <v>9164.7852732512529</v>
      </c>
      <c r="E209" s="465">
        <f t="shared" si="22"/>
        <v>1762.1656338172552</v>
      </c>
      <c r="F209" s="449">
        <f t="shared" si="23"/>
        <v>0.23804622142547227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702</v>
      </c>
      <c r="C210" s="465">
        <f>C32-C208</f>
        <v>3376.486648014893</v>
      </c>
      <c r="D210" s="465">
        <f>LN_IA16-LN_IF19</f>
        <v>4053.8669995101081</v>
      </c>
      <c r="E210" s="465">
        <f t="shared" si="22"/>
        <v>677.38035149521511</v>
      </c>
      <c r="F210" s="449">
        <f t="shared" si="23"/>
        <v>0.200616919925764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662</v>
      </c>
      <c r="C211" s="479">
        <f>C141+C176</f>
        <v>25440489.503706701</v>
      </c>
      <c r="D211" s="441">
        <f>LN_IF21*LN_IF18</f>
        <v>34916545.185256891</v>
      </c>
      <c r="E211" s="441">
        <f t="shared" si="22"/>
        <v>9476055.6815501899</v>
      </c>
      <c r="F211" s="449">
        <f t="shared" si="23"/>
        <v>0.37247929841010019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653</v>
      </c>
      <c r="C214" s="448">
        <f>C188+C203</f>
        <v>516578722</v>
      </c>
      <c r="D214" s="448">
        <f>LN_IF1+LN_IF14</f>
        <v>530402255</v>
      </c>
      <c r="E214" s="448">
        <f>D214-C214</f>
        <v>13823533</v>
      </c>
      <c r="F214" s="449">
        <f>IF(C214=0,0,E214/C214)</f>
        <v>2.6759780090206658E-2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654</v>
      </c>
      <c r="C215" s="448">
        <f>C189+C204</f>
        <v>92516930</v>
      </c>
      <c r="D215" s="448">
        <f>LN_IF2+LN_IF15</f>
        <v>83506972</v>
      </c>
      <c r="E215" s="448">
        <f>D215-C215</f>
        <v>-9009958</v>
      </c>
      <c r="F215" s="449">
        <f>IF(C215=0,0,E215/C215)</f>
        <v>-9.7387126875048705E-2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655</v>
      </c>
      <c r="C216" s="448">
        <f>C214-C215</f>
        <v>424061792</v>
      </c>
      <c r="D216" s="448">
        <f>LN_IF23-LN_IF24</f>
        <v>446895283</v>
      </c>
      <c r="E216" s="448">
        <f>D216-C216</f>
        <v>22833491</v>
      </c>
      <c r="F216" s="449">
        <f>IF(C216=0,0,E216/C216)</f>
        <v>5.3844726006345794E-2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637</v>
      </c>
      <c r="C221" s="448">
        <v>1194141</v>
      </c>
      <c r="D221" s="448">
        <v>410349</v>
      </c>
      <c r="E221" s="448">
        <f t="shared" ref="E221:E230" si="24">D221-C221</f>
        <v>-783792</v>
      </c>
      <c r="F221" s="449">
        <f t="shared" ref="F221:F230" si="25">IF(C221=0,0,E221/C221)</f>
        <v>-0.65636470065092811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638</v>
      </c>
      <c r="C222" s="448">
        <v>184899</v>
      </c>
      <c r="D222" s="448">
        <v>91862</v>
      </c>
      <c r="E222" s="448">
        <f t="shared" si="24"/>
        <v>-93037</v>
      </c>
      <c r="F222" s="449">
        <f t="shared" si="25"/>
        <v>-0.50317741036998576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639</v>
      </c>
      <c r="C223" s="453">
        <f>IF(C221=0,0,C222/C221)</f>
        <v>0.15483849897122701</v>
      </c>
      <c r="D223" s="453">
        <f>IF(LN_IG1=0,0,LN_IG2/LN_IG1)</f>
        <v>0.2238631018961908</v>
      </c>
      <c r="E223" s="454">
        <f t="shared" si="24"/>
        <v>6.902460292496379E-2</v>
      </c>
      <c r="F223" s="449">
        <f t="shared" si="25"/>
        <v>0.44578450051876534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31</v>
      </c>
      <c r="D224" s="456">
        <v>16</v>
      </c>
      <c r="E224" s="456">
        <f t="shared" si="24"/>
        <v>-15</v>
      </c>
      <c r="F224" s="449">
        <f t="shared" si="25"/>
        <v>-0.4838709677419355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640</v>
      </c>
      <c r="C225" s="459">
        <v>1.1305099999999999</v>
      </c>
      <c r="D225" s="459">
        <v>0.86004999999999998</v>
      </c>
      <c r="E225" s="460">
        <f t="shared" si="24"/>
        <v>-0.27045999999999992</v>
      </c>
      <c r="F225" s="449">
        <f t="shared" si="25"/>
        <v>-0.23923715845061075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641</v>
      </c>
      <c r="C226" s="463">
        <f>C224*C225</f>
        <v>35.045809999999996</v>
      </c>
      <c r="D226" s="463">
        <f>LN_IG3*LN_IG4</f>
        <v>13.7608</v>
      </c>
      <c r="E226" s="463">
        <f t="shared" si="24"/>
        <v>-21.285009999999996</v>
      </c>
      <c r="F226" s="449">
        <f t="shared" si="25"/>
        <v>-0.60734821081321844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642</v>
      </c>
      <c r="C227" s="465">
        <f>IF(C226=0,0,C222/C226)</f>
        <v>5275.9231417393412</v>
      </c>
      <c r="D227" s="465">
        <f>IF(LN_IG5=0,0,LN_IG2/LN_IG5)</f>
        <v>6675.6293238765193</v>
      </c>
      <c r="E227" s="465">
        <f t="shared" si="24"/>
        <v>1399.7061821371781</v>
      </c>
      <c r="F227" s="449">
        <f t="shared" si="25"/>
        <v>0.26530071506608977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140</v>
      </c>
      <c r="D228" s="456">
        <v>42</v>
      </c>
      <c r="E228" s="456">
        <f t="shared" si="24"/>
        <v>-98</v>
      </c>
      <c r="F228" s="449">
        <f t="shared" si="25"/>
        <v>-0.7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643</v>
      </c>
      <c r="C229" s="465">
        <f>IF(C228=0,0,C222/C228)</f>
        <v>1320.7071428571428</v>
      </c>
      <c r="D229" s="465">
        <f>IF(LN_IG6=0,0,LN_IG2/LN_IG6)</f>
        <v>2187.1904761904761</v>
      </c>
      <c r="E229" s="465">
        <f t="shared" si="24"/>
        <v>866.48333333333335</v>
      </c>
      <c r="F229" s="449">
        <f t="shared" si="25"/>
        <v>0.65607529876671411</v>
      </c>
      <c r="Q229" s="421"/>
      <c r="U229" s="462"/>
    </row>
    <row r="230" spans="1:21" ht="15.75" customHeight="1" x14ac:dyDescent="0.2">
      <c r="A230" s="451">
        <v>10</v>
      </c>
      <c r="B230" s="447" t="s">
        <v>644</v>
      </c>
      <c r="C230" s="466">
        <f>IF(C224=0,0,C228/C224)</f>
        <v>4.5161290322580649</v>
      </c>
      <c r="D230" s="466">
        <f>IF(LN_IG3=0,0,LN_IG6/LN_IG3)</f>
        <v>2.625</v>
      </c>
      <c r="E230" s="466">
        <f t="shared" si="24"/>
        <v>-1.8911290322580649</v>
      </c>
      <c r="F230" s="449">
        <f t="shared" si="25"/>
        <v>-0.41875000000000007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646</v>
      </c>
      <c r="C233" s="448">
        <v>1284733</v>
      </c>
      <c r="D233" s="448">
        <v>836199</v>
      </c>
      <c r="E233" s="448">
        <f>D233-C233</f>
        <v>-448534</v>
      </c>
      <c r="F233" s="449">
        <f>IF(C233=0,0,E233/C233)</f>
        <v>-0.34912623868150033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647</v>
      </c>
      <c r="C234" s="448">
        <v>546488</v>
      </c>
      <c r="D234" s="448">
        <v>181050</v>
      </c>
      <c r="E234" s="448">
        <f>D234-C234</f>
        <v>-365438</v>
      </c>
      <c r="F234" s="449">
        <f>IF(C234=0,0,E234/C234)</f>
        <v>-0.66870269795494142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653</v>
      </c>
      <c r="C237" s="448">
        <f>C221+C233</f>
        <v>2478874</v>
      </c>
      <c r="D237" s="448">
        <f>LN_IG1+LN_IG9</f>
        <v>1246548</v>
      </c>
      <c r="E237" s="448">
        <f>D237-C237</f>
        <v>-1232326</v>
      </c>
      <c r="F237" s="449">
        <f>IF(C237=0,0,E237/C237)</f>
        <v>-0.49713135883469672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654</v>
      </c>
      <c r="C238" s="448">
        <f>C222+C234</f>
        <v>731387</v>
      </c>
      <c r="D238" s="448">
        <f>LN_IG2+LN_IG10</f>
        <v>272912</v>
      </c>
      <c r="E238" s="448">
        <f>D238-C238</f>
        <v>-458475</v>
      </c>
      <c r="F238" s="449">
        <f>IF(C238=0,0,E238/C238)</f>
        <v>-0.62685691706305968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655</v>
      </c>
      <c r="C239" s="448">
        <f>C237-C238</f>
        <v>1747487</v>
      </c>
      <c r="D239" s="448">
        <f>LN_IG13-LN_IG14</f>
        <v>973636</v>
      </c>
      <c r="E239" s="448">
        <f>D239-C239</f>
        <v>-773851</v>
      </c>
      <c r="F239" s="449">
        <f>IF(C239=0,0,E239/C239)</f>
        <v>-0.44283648462048647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709</v>
      </c>
      <c r="C243" s="448">
        <v>5236454</v>
      </c>
      <c r="D243" s="448">
        <v>6414248</v>
      </c>
      <c r="E243" s="441">
        <f>D243-C243</f>
        <v>1177794</v>
      </c>
      <c r="F243" s="503">
        <f>IF(C243=0,0,E243/C243)</f>
        <v>0.2249220560325747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710</v>
      </c>
      <c r="C244" s="448">
        <v>426496000</v>
      </c>
      <c r="D244" s="448">
        <v>443456000</v>
      </c>
      <c r="E244" s="441">
        <f>D244-C244</f>
        <v>16960000</v>
      </c>
      <c r="F244" s="503">
        <f>IF(C244=0,0,E244/C244)</f>
        <v>3.9765906362545018E-2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713</v>
      </c>
      <c r="C248" s="441">
        <v>13389500</v>
      </c>
      <c r="D248" s="441">
        <v>13728345</v>
      </c>
      <c r="E248" s="441">
        <f>D248-C248</f>
        <v>338845</v>
      </c>
      <c r="F248" s="449">
        <f>IF(C248=0,0,E248/C248)</f>
        <v>2.5306770230404421E-2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714</v>
      </c>
      <c r="C249" s="441">
        <v>55466000</v>
      </c>
      <c r="D249" s="441">
        <v>36400755</v>
      </c>
      <c r="E249" s="441">
        <f>D249-C249</f>
        <v>-19065245</v>
      </c>
      <c r="F249" s="449">
        <f>IF(C249=0,0,E249/C249)</f>
        <v>-0.3437285003425522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715</v>
      </c>
      <c r="C250" s="441">
        <f>C248+C249</f>
        <v>68855500</v>
      </c>
      <c r="D250" s="441">
        <f>LN_IH4+LN_IH5</f>
        <v>50129100</v>
      </c>
      <c r="E250" s="441">
        <f>D250-C250</f>
        <v>-18726400</v>
      </c>
      <c r="F250" s="449">
        <f>IF(C250=0,0,E250/C250)</f>
        <v>-0.2719666548060794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716</v>
      </c>
      <c r="C251" s="441">
        <f>C250*C313</f>
        <v>22422348.115372017</v>
      </c>
      <c r="D251" s="441">
        <f>LN_IH6*LN_III10</f>
        <v>16190178.502616217</v>
      </c>
      <c r="E251" s="441">
        <f>D251-C251</f>
        <v>-6232169.6127557997</v>
      </c>
      <c r="F251" s="449">
        <f>IF(C251=0,0,E251/C251)</f>
        <v>-0.27794455695223247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653</v>
      </c>
      <c r="C254" s="441">
        <f>C188+C203</f>
        <v>516578722</v>
      </c>
      <c r="D254" s="441">
        <f>LN_IF23</f>
        <v>530402255</v>
      </c>
      <c r="E254" s="441">
        <f>D254-C254</f>
        <v>13823533</v>
      </c>
      <c r="F254" s="449">
        <f>IF(C254=0,0,E254/C254)</f>
        <v>2.6759780090206658E-2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654</v>
      </c>
      <c r="C255" s="441">
        <f>C189+C204</f>
        <v>92516930</v>
      </c>
      <c r="D255" s="441">
        <f>LN_IF24</f>
        <v>83506972</v>
      </c>
      <c r="E255" s="441">
        <f>D255-C255</f>
        <v>-9009958</v>
      </c>
      <c r="F255" s="449">
        <f>IF(C255=0,0,E255/C255)</f>
        <v>-9.7387126875048705E-2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718</v>
      </c>
      <c r="C256" s="441">
        <f>C254*C313</f>
        <v>168220518.82097995</v>
      </c>
      <c r="D256" s="441">
        <f>LN_IH8*LN_III10</f>
        <v>171303837.22508812</v>
      </c>
      <c r="E256" s="441">
        <f>D256-C256</f>
        <v>3083318.4041081667</v>
      </c>
      <c r="F256" s="449">
        <f>IF(C256=0,0,E256/C256)</f>
        <v>1.8329026837620385E-2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719</v>
      </c>
      <c r="C257" s="441">
        <f>C256-C255</f>
        <v>75703588.820979953</v>
      </c>
      <c r="D257" s="441">
        <f>LN_IH10-LN_IH9</f>
        <v>87796865.22508812</v>
      </c>
      <c r="E257" s="441">
        <f>D257-C257</f>
        <v>12093276.404108167</v>
      </c>
      <c r="F257" s="449">
        <f>IF(C257=0,0,E257/C257)</f>
        <v>0.15974508728649231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830654694</v>
      </c>
      <c r="D261" s="448">
        <f>LN_IA1+LN_IB1+LN_IF1+LN_IG1</f>
        <v>876470158</v>
      </c>
      <c r="E261" s="448">
        <f t="shared" ref="E261:E274" si="26">D261-C261</f>
        <v>45815464</v>
      </c>
      <c r="F261" s="503">
        <f t="shared" ref="F261:F274" si="27">IF(C261=0,0,E261/C261)</f>
        <v>5.5155847948533954E-2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257634414</v>
      </c>
      <c r="D262" s="448">
        <f>+LN_IA2+LN_IB2+LN_IF2+LN_IG2</f>
        <v>285198757</v>
      </c>
      <c r="E262" s="448">
        <f t="shared" si="26"/>
        <v>27564343</v>
      </c>
      <c r="F262" s="503">
        <f t="shared" si="27"/>
        <v>0.10699014379344524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722</v>
      </c>
      <c r="C263" s="453">
        <f>IF(C261=0,0,C262/C261)</f>
        <v>0.31015825933561753</v>
      </c>
      <c r="D263" s="453">
        <f>IF(LN_IIA1=0,0,LN_IIA2/LN_IIA1)</f>
        <v>0.32539471469375458</v>
      </c>
      <c r="E263" s="454">
        <f t="shared" si="26"/>
        <v>1.5236455358137058E-2</v>
      </c>
      <c r="F263" s="458">
        <f t="shared" si="27"/>
        <v>4.9124777108224361E-2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18207</v>
      </c>
      <c r="D264" s="456">
        <f>LN_IA4+LN_IB4+LN_IF4+LN_IG3</f>
        <v>19815</v>
      </c>
      <c r="E264" s="456">
        <f t="shared" si="26"/>
        <v>1608</v>
      </c>
      <c r="F264" s="503">
        <f t="shared" si="27"/>
        <v>8.8317680013181743E-2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723</v>
      </c>
      <c r="C265" s="525">
        <f>IF(C264=0,0,C266/C264)</f>
        <v>1.3295131323117482</v>
      </c>
      <c r="D265" s="525">
        <f>IF(LN_IIA4=0,0,LN_IIA6/LN_IIA4)</f>
        <v>1.3606231132980064</v>
      </c>
      <c r="E265" s="525">
        <f t="shared" si="26"/>
        <v>3.1109980986258279E-2</v>
      </c>
      <c r="F265" s="503">
        <f t="shared" si="27"/>
        <v>2.3399528917901292E-2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724</v>
      </c>
      <c r="C266" s="463">
        <f>C20+C47+C193+C226</f>
        <v>24206.445599999999</v>
      </c>
      <c r="D266" s="463">
        <f>LN_IA6+LN_IB6+LN_IF6+LN_IG5</f>
        <v>26960.74699</v>
      </c>
      <c r="E266" s="463">
        <f t="shared" si="26"/>
        <v>2754.3013900000005</v>
      </c>
      <c r="F266" s="503">
        <f t="shared" si="27"/>
        <v>0.1137838010385135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862425043</v>
      </c>
      <c r="D267" s="448">
        <f>LN_IA11+LN_IB13+LN_IF14+LN_IG9</f>
        <v>883517182</v>
      </c>
      <c r="E267" s="448">
        <f t="shared" si="26"/>
        <v>21092139</v>
      </c>
      <c r="F267" s="503">
        <f t="shared" si="27"/>
        <v>2.4456779370215946E-2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649</v>
      </c>
      <c r="C268" s="453">
        <f>IF(C261=0,0,C267/C261)</f>
        <v>1.0382473598590174</v>
      </c>
      <c r="D268" s="453">
        <f>IF(LN_IIA1=0,0,LN_IIA7/LN_IIA1)</f>
        <v>1.0080402326715612</v>
      </c>
      <c r="E268" s="454">
        <f t="shared" si="26"/>
        <v>-3.0207127187456217E-2</v>
      </c>
      <c r="F268" s="458">
        <f t="shared" si="27"/>
        <v>-2.9094345293165989E-2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193102821</v>
      </c>
      <c r="D269" s="448">
        <f>LN_IA12+LN_IB14+LN_IF15+LN_IG10</f>
        <v>207012387</v>
      </c>
      <c r="E269" s="448">
        <f t="shared" si="26"/>
        <v>13909566</v>
      </c>
      <c r="F269" s="503">
        <f t="shared" si="27"/>
        <v>7.2031915059386942E-2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648</v>
      </c>
      <c r="C270" s="453">
        <f>IF(C267=0,0,C269/C267)</f>
        <v>0.2239067876882142</v>
      </c>
      <c r="D270" s="453">
        <f>IF(LN_IIA7=0,0,LN_IIA9/LN_IIA7)</f>
        <v>0.23430487965314975</v>
      </c>
      <c r="E270" s="454">
        <f t="shared" si="26"/>
        <v>1.0398091964935546E-2</v>
      </c>
      <c r="F270" s="458">
        <f t="shared" si="27"/>
        <v>4.6439378065727441E-2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725</v>
      </c>
      <c r="C271" s="441">
        <f>C261+C267</f>
        <v>1693079737</v>
      </c>
      <c r="D271" s="441">
        <f>LN_IIA1+LN_IIA7</f>
        <v>1759987340</v>
      </c>
      <c r="E271" s="441">
        <f t="shared" si="26"/>
        <v>66907603</v>
      </c>
      <c r="F271" s="503">
        <f t="shared" si="27"/>
        <v>3.951828229812427E-2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726</v>
      </c>
      <c r="C272" s="441">
        <f>C262+C269</f>
        <v>450737235</v>
      </c>
      <c r="D272" s="441">
        <f>LN_IIA2+LN_IIA9</f>
        <v>492211144</v>
      </c>
      <c r="E272" s="441">
        <f t="shared" si="26"/>
        <v>41473909</v>
      </c>
      <c r="F272" s="503">
        <f t="shared" si="27"/>
        <v>9.2013496510888429E-2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727</v>
      </c>
      <c r="C273" s="453">
        <f>IF(C271=0,0,C272/C271)</f>
        <v>0.26622327652368566</v>
      </c>
      <c r="D273" s="453">
        <f>IF(LN_IIA11=0,0,LN_IIA12/LN_IIA11)</f>
        <v>0.27966743442597719</v>
      </c>
      <c r="E273" s="454">
        <f t="shared" si="26"/>
        <v>1.3444157902291531E-2</v>
      </c>
      <c r="F273" s="458">
        <f t="shared" si="27"/>
        <v>5.049955840767896E-2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101235</v>
      </c>
      <c r="D274" s="508">
        <f>LN_IA8+LN_IB10+LN_IF11+LN_IG6</f>
        <v>109472</v>
      </c>
      <c r="E274" s="528">
        <f t="shared" si="26"/>
        <v>8237</v>
      </c>
      <c r="F274" s="458">
        <f t="shared" si="27"/>
        <v>8.1365140514644149E-2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729</v>
      </c>
      <c r="C277" s="448">
        <f>C15+C188+C221</f>
        <v>626766560</v>
      </c>
      <c r="D277" s="448">
        <f>LN_IA1+LN_IF1+LN_IG1</f>
        <v>661633484</v>
      </c>
      <c r="E277" s="448">
        <f t="shared" ref="E277:E291" si="28">D277-C277</f>
        <v>34866924</v>
      </c>
      <c r="F277" s="503">
        <f t="shared" ref="F277:F291" si="29">IF(C277=0,0,E277/C277)</f>
        <v>5.5629840877279735E-2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730</v>
      </c>
      <c r="C278" s="448">
        <f>C16+C189+C222</f>
        <v>172367778</v>
      </c>
      <c r="D278" s="448">
        <f>LN_IA2+LN_IF2+LN_IG2</f>
        <v>181743712</v>
      </c>
      <c r="E278" s="448">
        <f t="shared" si="28"/>
        <v>9375934</v>
      </c>
      <c r="F278" s="503">
        <f t="shared" si="29"/>
        <v>5.439493453352981E-2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731</v>
      </c>
      <c r="C279" s="453">
        <f>IF(C277=0,0,C278/C277)</f>
        <v>0.27501112694972113</v>
      </c>
      <c r="D279" s="453">
        <f>IF(D277=0,0,LN_IIB2/D277)</f>
        <v>0.27468941097303956</v>
      </c>
      <c r="E279" s="454">
        <f t="shared" si="28"/>
        <v>-3.2171597668156915E-4</v>
      </c>
      <c r="F279" s="458">
        <f t="shared" si="29"/>
        <v>-1.1698289456498494E-3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732</v>
      </c>
      <c r="C280" s="456">
        <f>C18+C191+C224</f>
        <v>13046</v>
      </c>
      <c r="D280" s="456">
        <f>LN_IA4+LN_IF4+LN_IG3</f>
        <v>14176</v>
      </c>
      <c r="E280" s="456">
        <f t="shared" si="28"/>
        <v>1130</v>
      </c>
      <c r="F280" s="503">
        <f t="shared" si="29"/>
        <v>8.6616587459757782E-2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733</v>
      </c>
      <c r="C281" s="525">
        <f>IF(C280=0,0,C282/C280)</f>
        <v>1.3493378966733101</v>
      </c>
      <c r="D281" s="525">
        <f>IF(LN_IIB4=0,0,LN_IIB6/LN_IIB4)</f>
        <v>1.3914964446952598</v>
      </c>
      <c r="E281" s="525">
        <f t="shared" si="28"/>
        <v>4.2158548021949738E-2</v>
      </c>
      <c r="F281" s="503">
        <f t="shared" si="29"/>
        <v>3.1243877553493778E-2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734</v>
      </c>
      <c r="C282" s="463">
        <f>C20+C193+C226</f>
        <v>17603.462200000002</v>
      </c>
      <c r="D282" s="463">
        <f>LN_IA6+LN_IF6+LN_IG5</f>
        <v>19725.853600000002</v>
      </c>
      <c r="E282" s="463">
        <f t="shared" si="28"/>
        <v>2122.3914000000004</v>
      </c>
      <c r="F282" s="503">
        <f t="shared" si="29"/>
        <v>0.12056670306594576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735</v>
      </c>
      <c r="C283" s="448">
        <f>C27+C203+C233</f>
        <v>521460054</v>
      </c>
      <c r="D283" s="448">
        <f>LN_IA11+LN_IF14+LN_IG9</f>
        <v>550259462</v>
      </c>
      <c r="E283" s="448">
        <f t="shared" si="28"/>
        <v>28799408</v>
      </c>
      <c r="F283" s="503">
        <f t="shared" si="29"/>
        <v>5.5228406814839169E-2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736</v>
      </c>
      <c r="C284" s="453">
        <f>IF(C277=0,0,C283/C277)</f>
        <v>0.8319844855794476</v>
      </c>
      <c r="D284" s="453">
        <f>IF(D277=0,0,LN_IIB7/D277)</f>
        <v>0.83166809919190854</v>
      </c>
      <c r="E284" s="454">
        <f t="shared" si="28"/>
        <v>-3.1638638753905823E-4</v>
      </c>
      <c r="F284" s="458">
        <f t="shared" si="29"/>
        <v>-3.8027919152687847E-4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737</v>
      </c>
      <c r="C285" s="448">
        <f>C28+C204+C234</f>
        <v>80367553</v>
      </c>
      <c r="D285" s="448">
        <f>LN_IA12+LN_IF15+LN_IG10</f>
        <v>82986636</v>
      </c>
      <c r="E285" s="448">
        <f t="shared" si="28"/>
        <v>2619083</v>
      </c>
      <c r="F285" s="503">
        <f t="shared" si="29"/>
        <v>3.2588811059109886E-2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738</v>
      </c>
      <c r="C286" s="453">
        <f>IF(C283=0,0,C285/C283)</f>
        <v>0.15412024829806042</v>
      </c>
      <c r="D286" s="453">
        <f>IF(LN_IIB7=0,0,LN_IIB9/LN_IIB7)</f>
        <v>0.1508136465266271</v>
      </c>
      <c r="E286" s="454">
        <f t="shared" si="28"/>
        <v>-3.3066017714333262E-3</v>
      </c>
      <c r="F286" s="458">
        <f t="shared" si="29"/>
        <v>-2.1454687543965883E-2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739</v>
      </c>
      <c r="C287" s="441">
        <f>C277+C283</f>
        <v>1148226614</v>
      </c>
      <c r="D287" s="441">
        <f>D277+LN_IIB7</f>
        <v>1211892946</v>
      </c>
      <c r="E287" s="441">
        <f t="shared" si="28"/>
        <v>63666332</v>
      </c>
      <c r="F287" s="503">
        <f t="shared" si="29"/>
        <v>5.5447532067045432E-2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740</v>
      </c>
      <c r="C288" s="441">
        <f>C278+C285</f>
        <v>252735331</v>
      </c>
      <c r="D288" s="441">
        <f>LN_IIB2+LN_IIB9</f>
        <v>264730348</v>
      </c>
      <c r="E288" s="441">
        <f t="shared" si="28"/>
        <v>11995017</v>
      </c>
      <c r="F288" s="503">
        <f t="shared" si="29"/>
        <v>4.746078418296016E-2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741</v>
      </c>
      <c r="C289" s="453">
        <f>IF(C287=0,0,C288/C287)</f>
        <v>0.2201092780105165</v>
      </c>
      <c r="D289" s="453">
        <f>IF(LN_IIB11=0,0,LN_IIB12/LN_IIB11)</f>
        <v>0.21844367431444725</v>
      </c>
      <c r="E289" s="454">
        <f t="shared" si="28"/>
        <v>-1.6656036960692455E-3</v>
      </c>
      <c r="F289" s="458">
        <f t="shared" si="29"/>
        <v>-7.5671671413581462E-3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79546</v>
      </c>
      <c r="D290" s="508">
        <f>LN_IA8+LN_IF11+LN_IG6</f>
        <v>85392</v>
      </c>
      <c r="E290" s="528">
        <f t="shared" si="28"/>
        <v>5846</v>
      </c>
      <c r="F290" s="458">
        <f t="shared" si="29"/>
        <v>7.3492067482965828E-2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742</v>
      </c>
      <c r="C291" s="448">
        <f>C287-C288</f>
        <v>895491283</v>
      </c>
      <c r="D291" s="516">
        <f>LN_IIB11-LN_IIB12</f>
        <v>947162598</v>
      </c>
      <c r="E291" s="441">
        <f t="shared" si="28"/>
        <v>51671315</v>
      </c>
      <c r="F291" s="503">
        <f t="shared" si="29"/>
        <v>5.7701639291110773E-2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635</v>
      </c>
      <c r="C294" s="466">
        <f>IF(C18=0,0,C22/C18)</f>
        <v>7.217878700776085</v>
      </c>
      <c r="D294" s="466">
        <f>IF(LN_IA4=0,0,LN_IA8/LN_IA4)</f>
        <v>7.1837121212121211</v>
      </c>
      <c r="E294" s="466">
        <f t="shared" ref="E294:E300" si="30">D294-C294</f>
        <v>-3.416657956396385E-2</v>
      </c>
      <c r="F294" s="503">
        <f t="shared" ref="F294:F300" si="31">IF(C294=0,0,E294/C294)</f>
        <v>-4.7336040103154089E-3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656</v>
      </c>
      <c r="C295" s="466">
        <f>IF(C45=0,0,C51/C45)</f>
        <v>4.2024801395078475</v>
      </c>
      <c r="D295" s="466">
        <f>IF(LN_IB4=0,0,(LN_IB10)/(LN_IB4))</f>
        <v>4.270260684518532</v>
      </c>
      <c r="E295" s="466">
        <f t="shared" si="30"/>
        <v>6.7780545010684534E-2</v>
      </c>
      <c r="F295" s="503">
        <f t="shared" si="31"/>
        <v>1.6128700852973528E-2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671</v>
      </c>
      <c r="C296" s="466">
        <f>IF(C86=0,0,C93/C86)</f>
        <v>4.097674418604651</v>
      </c>
      <c r="D296" s="466">
        <f>IF(LN_IC4=0,0,LN_IC11/LN_IC4)</f>
        <v>3.9171974522292992</v>
      </c>
      <c r="E296" s="466">
        <f t="shared" si="30"/>
        <v>-0.18047696637535182</v>
      </c>
      <c r="F296" s="503">
        <f t="shared" si="31"/>
        <v>-4.4043754563791879E-2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4.8182268449727585</v>
      </c>
      <c r="D297" s="466">
        <f>IF(LN_ID4=0,0,LN_ID11/LN_ID4)</f>
        <v>4.5600961538461542</v>
      </c>
      <c r="E297" s="466">
        <f t="shared" si="30"/>
        <v>-0.25813069112660436</v>
      </c>
      <c r="F297" s="503">
        <f t="shared" si="31"/>
        <v>-5.3573793727859191E-2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743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4.5161290322580649</v>
      </c>
      <c r="D299" s="466">
        <f>IF(LN_IG3=0,0,LN_IG6/LN_IG3)</f>
        <v>2.625</v>
      </c>
      <c r="E299" s="466">
        <f t="shared" si="30"/>
        <v>-1.8911290322580649</v>
      </c>
      <c r="F299" s="503">
        <f t="shared" si="31"/>
        <v>-0.41875000000000007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744</v>
      </c>
      <c r="C300" s="466">
        <f>IF(C264=0,0,C274/C264)</f>
        <v>5.5602240896358541</v>
      </c>
      <c r="D300" s="466">
        <f>IF(LN_IIA4=0,0,LN_IIA14/LN_IIA4)</f>
        <v>5.5247035074438555</v>
      </c>
      <c r="E300" s="466">
        <f t="shared" si="30"/>
        <v>-3.5520582191998606E-2</v>
      </c>
      <c r="F300" s="503">
        <f t="shared" si="31"/>
        <v>-6.3883364446062985E-3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739</v>
      </c>
      <c r="C304" s="441">
        <f>C35+C66+C214+C221+C233</f>
        <v>1693079737</v>
      </c>
      <c r="D304" s="441">
        <f>LN_IIA11</f>
        <v>1759987340</v>
      </c>
      <c r="E304" s="441">
        <f t="shared" ref="E304:E316" si="32">D304-C304</f>
        <v>66907603</v>
      </c>
      <c r="F304" s="449">
        <f>IF(C304=0,0,E304/C304)</f>
        <v>3.951828229812427E-2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742</v>
      </c>
      <c r="C305" s="441">
        <f>C291</f>
        <v>895491283</v>
      </c>
      <c r="D305" s="441">
        <f>LN_IIB14</f>
        <v>947162598</v>
      </c>
      <c r="E305" s="441">
        <f t="shared" si="32"/>
        <v>51671315</v>
      </c>
      <c r="F305" s="449">
        <f>IF(C305=0,0,E305/C305)</f>
        <v>5.7701639291110773E-2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746</v>
      </c>
      <c r="C306" s="441">
        <f>C250</f>
        <v>68855500</v>
      </c>
      <c r="D306" s="441">
        <f>LN_IH6</f>
        <v>50129100</v>
      </c>
      <c r="E306" s="441">
        <f t="shared" si="32"/>
        <v>-18726400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747</v>
      </c>
      <c r="C307" s="441">
        <f>C73-C74</f>
        <v>177392491</v>
      </c>
      <c r="D307" s="441">
        <f>LN_IB32-LN_IB33</f>
        <v>194273125</v>
      </c>
      <c r="E307" s="441">
        <f t="shared" si="32"/>
        <v>16880634</v>
      </c>
      <c r="F307" s="449">
        <f t="shared" ref="F307:F316" si="33">IF(C307=0,0,E307/C307)</f>
        <v>9.515980019695422E-2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748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749</v>
      </c>
      <c r="C309" s="441">
        <f>C305+C307+C308+C306</f>
        <v>1141739274</v>
      </c>
      <c r="D309" s="441">
        <f>LN_III2+LN_III3+LN_III4+LN_III5</f>
        <v>1191564823</v>
      </c>
      <c r="E309" s="441">
        <f t="shared" si="32"/>
        <v>49825549</v>
      </c>
      <c r="F309" s="449">
        <f t="shared" si="33"/>
        <v>4.3640041237645998E-2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750</v>
      </c>
      <c r="C310" s="441">
        <f>C304-C309</f>
        <v>551340463</v>
      </c>
      <c r="D310" s="441">
        <f>LN_III1-LN_III6</f>
        <v>568422517</v>
      </c>
      <c r="E310" s="441">
        <f t="shared" si="32"/>
        <v>17082054</v>
      </c>
      <c r="F310" s="449">
        <f t="shared" si="33"/>
        <v>3.0982768627304612E-2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752</v>
      </c>
      <c r="C312" s="441">
        <f>C310+C311</f>
        <v>551340463</v>
      </c>
      <c r="D312" s="441">
        <f>LN_III7+LN_III8</f>
        <v>568422517</v>
      </c>
      <c r="E312" s="441">
        <f t="shared" si="32"/>
        <v>17082054</v>
      </c>
      <c r="F312" s="449">
        <f t="shared" si="33"/>
        <v>3.0982768627304612E-2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753</v>
      </c>
      <c r="C313" s="532">
        <f>IF(C304=0,0,C312/C304)</f>
        <v>0.32564353051494821</v>
      </c>
      <c r="D313" s="532">
        <f>IF(LN_III1=0,0,LN_III9/LN_III1)</f>
        <v>0.32296966238404873</v>
      </c>
      <c r="E313" s="532">
        <f t="shared" si="32"/>
        <v>-2.6738681308994816E-3</v>
      </c>
      <c r="F313" s="449">
        <f t="shared" si="33"/>
        <v>-8.2110279503210988E-3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716</v>
      </c>
      <c r="C314" s="441">
        <f>C306*C313</f>
        <v>22422348.115372017</v>
      </c>
      <c r="D314" s="441">
        <f>D313*LN_III5</f>
        <v>16190178.502616217</v>
      </c>
      <c r="E314" s="441">
        <f t="shared" si="32"/>
        <v>-6232169.6127557997</v>
      </c>
      <c r="F314" s="449">
        <f t="shared" si="33"/>
        <v>-0.27794455695223247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719</v>
      </c>
      <c r="C315" s="441">
        <f>(C214*C313)-C215</f>
        <v>75703588.820979953</v>
      </c>
      <c r="D315" s="441">
        <f>D313*LN_IH8-LN_IH9</f>
        <v>87796865.22508812</v>
      </c>
      <c r="E315" s="441">
        <f t="shared" si="32"/>
        <v>12093276.404108167</v>
      </c>
      <c r="F315" s="449">
        <f t="shared" si="33"/>
        <v>0.15974508728649231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756</v>
      </c>
      <c r="C318" s="441">
        <f>C314+C315+C316</f>
        <v>98125936.93635197</v>
      </c>
      <c r="D318" s="441">
        <f>D314+D315+D316</f>
        <v>103987043.72770433</v>
      </c>
      <c r="E318" s="441">
        <f>D318-C318</f>
        <v>5861106.7913523614</v>
      </c>
      <c r="F318" s="449">
        <f>IF(C318=0,0,E318/C318)</f>
        <v>5.973045429521949E-2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25440489.503706701</v>
      </c>
      <c r="D322" s="441">
        <f>LN_ID22</f>
        <v>34916545.185256891</v>
      </c>
      <c r="E322" s="441">
        <f>LN_IV2-C322</f>
        <v>9476055.6815501899</v>
      </c>
      <c r="F322" s="449">
        <f>IF(C322=0,0,E322/C322)</f>
        <v>0.37247929841010019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743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758</v>
      </c>
      <c r="C324" s="441">
        <f>C92+C106</f>
        <v>-2070490.5999231734</v>
      </c>
      <c r="D324" s="441">
        <f>LN_IC10+LN_IC22</f>
        <v>-6359281.6476308154</v>
      </c>
      <c r="E324" s="441">
        <f>LN_IV1-C324</f>
        <v>-4288791.0477076415</v>
      </c>
      <c r="F324" s="449">
        <f>IF(C324=0,0,E324/C324)</f>
        <v>2.0713888041156907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759</v>
      </c>
      <c r="C325" s="516">
        <f>C324+C322+C323</f>
        <v>23369998.903783526</v>
      </c>
      <c r="D325" s="516">
        <f>LN_IV1+LN_IV2+LN_IV3</f>
        <v>28557263.537626076</v>
      </c>
      <c r="E325" s="441">
        <f>LN_IV4-C325</f>
        <v>5187264.6338425502</v>
      </c>
      <c r="F325" s="449">
        <f>IF(C325=0,0,E325/C325)</f>
        <v>0.22196255357986983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760</v>
      </c>
      <c r="B327" s="530" t="s">
        <v>761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762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763</v>
      </c>
      <c r="C330" s="516">
        <v>-11362275</v>
      </c>
      <c r="D330" s="516">
        <v>-26136895</v>
      </c>
      <c r="E330" s="518">
        <f t="shared" si="34"/>
        <v>-14774620</v>
      </c>
      <c r="F330" s="543">
        <f t="shared" si="35"/>
        <v>1.3003223386161662</v>
      </c>
    </row>
    <row r="331" spans="1:22" s="420" customFormat="1" ht="15.75" customHeight="1" x14ac:dyDescent="0.2">
      <c r="A331" s="427">
        <v>3</v>
      </c>
      <c r="B331" s="447" t="s">
        <v>764</v>
      </c>
      <c r="C331" s="516">
        <v>439374962</v>
      </c>
      <c r="D331" s="516">
        <v>466074249</v>
      </c>
      <c r="E331" s="518">
        <f t="shared" si="34"/>
        <v>26699287</v>
      </c>
      <c r="F331" s="542">
        <f t="shared" si="35"/>
        <v>6.0766519053491265E-2</v>
      </c>
    </row>
    <row r="332" spans="1:22" s="420" customFormat="1" ht="27" customHeight="1" x14ac:dyDescent="0.2">
      <c r="A332" s="451">
        <v>4</v>
      </c>
      <c r="B332" s="447" t="s">
        <v>765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766</v>
      </c>
      <c r="C333" s="516">
        <v>1693079737</v>
      </c>
      <c r="D333" s="516">
        <v>1759987341</v>
      </c>
      <c r="E333" s="518">
        <f t="shared" si="34"/>
        <v>66907604</v>
      </c>
      <c r="F333" s="542">
        <f t="shared" si="35"/>
        <v>3.9518282888763911E-2</v>
      </c>
    </row>
    <row r="334" spans="1:22" s="420" customFormat="1" ht="15.75" customHeight="1" x14ac:dyDescent="0.2">
      <c r="A334" s="427">
        <v>6</v>
      </c>
      <c r="B334" s="447" t="s">
        <v>767</v>
      </c>
      <c r="C334" s="516">
        <v>687500</v>
      </c>
      <c r="D334" s="516">
        <v>750000</v>
      </c>
      <c r="E334" s="516">
        <f t="shared" si="34"/>
        <v>62500</v>
      </c>
      <c r="F334" s="543">
        <f t="shared" si="35"/>
        <v>9.0909090909090912E-2</v>
      </c>
    </row>
    <row r="335" spans="1:22" s="420" customFormat="1" ht="15.75" customHeight="1" x14ac:dyDescent="0.2">
      <c r="A335" s="451">
        <v>7</v>
      </c>
      <c r="B335" s="447" t="s">
        <v>768</v>
      </c>
      <c r="C335" s="516">
        <v>69543000</v>
      </c>
      <c r="D335" s="516">
        <v>50879100</v>
      </c>
      <c r="E335" s="516">
        <f t="shared" si="34"/>
        <v>-18663900</v>
      </c>
      <c r="F335" s="542">
        <f t="shared" si="35"/>
        <v>-0.26837927613131446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FILING&amp;RBRIDGEPORT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629</v>
      </c>
      <c r="B3" s="820"/>
      <c r="C3" s="820"/>
      <c r="D3" s="820"/>
      <c r="E3" s="820"/>
    </row>
    <row r="4" spans="1:5" s="428" customFormat="1" ht="15.75" customHeight="1" x14ac:dyDescent="0.25">
      <c r="A4" s="820" t="s">
        <v>769</v>
      </c>
      <c r="B4" s="820"/>
      <c r="C4" s="820"/>
      <c r="D4" s="820"/>
      <c r="E4" s="820"/>
    </row>
    <row r="5" spans="1:5" s="428" customFormat="1" ht="15.75" customHeight="1" x14ac:dyDescent="0.25">
      <c r="A5" s="820" t="s">
        <v>770</v>
      </c>
      <c r="B5" s="820"/>
      <c r="C5" s="820"/>
      <c r="D5" s="820"/>
      <c r="E5" s="820"/>
    </row>
    <row r="6" spans="1:5" s="428" customFormat="1" ht="15.75" customHeight="1" x14ac:dyDescent="0.25">
      <c r="A6" s="820" t="s">
        <v>771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656</v>
      </c>
      <c r="C14" s="589">
        <v>203888134</v>
      </c>
      <c r="D14" s="589">
        <v>214836674</v>
      </c>
      <c r="E14" s="590">
        <f t="shared" ref="E14:E22" si="0">D14-C14</f>
        <v>10948540</v>
      </c>
    </row>
    <row r="15" spans="1:5" s="421" customFormat="1" x14ac:dyDescent="0.2">
      <c r="A15" s="588">
        <v>2</v>
      </c>
      <c r="B15" s="587" t="s">
        <v>635</v>
      </c>
      <c r="C15" s="589">
        <v>395362847</v>
      </c>
      <c r="D15" s="591">
        <v>438394231</v>
      </c>
      <c r="E15" s="590">
        <f t="shared" si="0"/>
        <v>43031384</v>
      </c>
    </row>
    <row r="16" spans="1:5" s="421" customFormat="1" x14ac:dyDescent="0.2">
      <c r="A16" s="588">
        <v>3</v>
      </c>
      <c r="B16" s="587" t="s">
        <v>777</v>
      </c>
      <c r="C16" s="589">
        <v>230209572</v>
      </c>
      <c r="D16" s="591">
        <v>222828904</v>
      </c>
      <c r="E16" s="590">
        <f t="shared" si="0"/>
        <v>-7380668</v>
      </c>
    </row>
    <row r="17" spans="1:5" s="421" customFormat="1" x14ac:dyDescent="0.2">
      <c r="A17" s="588">
        <v>4</v>
      </c>
      <c r="B17" s="587" t="s">
        <v>115</v>
      </c>
      <c r="C17" s="589">
        <v>230209572</v>
      </c>
      <c r="D17" s="591">
        <v>222828904</v>
      </c>
      <c r="E17" s="590">
        <f t="shared" si="0"/>
        <v>-7380668</v>
      </c>
    </row>
    <row r="18" spans="1:5" s="421" customFormat="1" x14ac:dyDescent="0.2">
      <c r="A18" s="588">
        <v>5</v>
      </c>
      <c r="B18" s="587" t="s">
        <v>743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1194141</v>
      </c>
      <c r="D19" s="591">
        <v>410349</v>
      </c>
      <c r="E19" s="590">
        <f t="shared" si="0"/>
        <v>-783792</v>
      </c>
    </row>
    <row r="20" spans="1:5" s="421" customFormat="1" x14ac:dyDescent="0.2">
      <c r="A20" s="588">
        <v>7</v>
      </c>
      <c r="B20" s="587" t="s">
        <v>758</v>
      </c>
      <c r="C20" s="589">
        <v>8164273</v>
      </c>
      <c r="D20" s="591">
        <v>20207327</v>
      </c>
      <c r="E20" s="590">
        <f t="shared" si="0"/>
        <v>12043054</v>
      </c>
    </row>
    <row r="21" spans="1:5" s="421" customFormat="1" x14ac:dyDescent="0.2">
      <c r="A21" s="588"/>
      <c r="B21" s="592" t="s">
        <v>778</v>
      </c>
      <c r="C21" s="593">
        <f>SUM(C15+C16+C19)</f>
        <v>626766560</v>
      </c>
      <c r="D21" s="593">
        <f>SUM(D15+D16+D19)</f>
        <v>661633484</v>
      </c>
      <c r="E21" s="593">
        <f t="shared" si="0"/>
        <v>34866924</v>
      </c>
    </row>
    <row r="22" spans="1:5" s="421" customFormat="1" x14ac:dyDescent="0.2">
      <c r="A22" s="588"/>
      <c r="B22" s="592" t="s">
        <v>465</v>
      </c>
      <c r="C22" s="593">
        <f>SUM(C14+C21)</f>
        <v>830654694</v>
      </c>
      <c r="D22" s="593">
        <f>SUM(D14+D21)</f>
        <v>876470158</v>
      </c>
      <c r="E22" s="593">
        <f t="shared" si="0"/>
        <v>45815464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656</v>
      </c>
      <c r="C25" s="589">
        <v>340964989</v>
      </c>
      <c r="D25" s="589">
        <v>333257720</v>
      </c>
      <c r="E25" s="590">
        <f t="shared" ref="E25:E33" si="1">D25-C25</f>
        <v>-7707269</v>
      </c>
    </row>
    <row r="26" spans="1:5" s="421" customFormat="1" x14ac:dyDescent="0.2">
      <c r="A26" s="588">
        <v>2</v>
      </c>
      <c r="B26" s="587" t="s">
        <v>635</v>
      </c>
      <c r="C26" s="589">
        <v>233806171</v>
      </c>
      <c r="D26" s="591">
        <v>241849912</v>
      </c>
      <c r="E26" s="590">
        <f t="shared" si="1"/>
        <v>8043741</v>
      </c>
    </row>
    <row r="27" spans="1:5" s="421" customFormat="1" x14ac:dyDescent="0.2">
      <c r="A27" s="588">
        <v>3</v>
      </c>
      <c r="B27" s="587" t="s">
        <v>777</v>
      </c>
      <c r="C27" s="589">
        <v>286369150</v>
      </c>
      <c r="D27" s="591">
        <v>307573351</v>
      </c>
      <c r="E27" s="590">
        <f t="shared" si="1"/>
        <v>21204201</v>
      </c>
    </row>
    <row r="28" spans="1:5" s="421" customFormat="1" x14ac:dyDescent="0.2">
      <c r="A28" s="588">
        <v>4</v>
      </c>
      <c r="B28" s="587" t="s">
        <v>115</v>
      </c>
      <c r="C28" s="589">
        <v>286369150</v>
      </c>
      <c r="D28" s="591">
        <v>307573351</v>
      </c>
      <c r="E28" s="590">
        <f t="shared" si="1"/>
        <v>21204201</v>
      </c>
    </row>
    <row r="29" spans="1:5" s="421" customFormat="1" x14ac:dyDescent="0.2">
      <c r="A29" s="588">
        <v>5</v>
      </c>
      <c r="B29" s="587" t="s">
        <v>743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1284733</v>
      </c>
      <c r="D30" s="591">
        <v>836199</v>
      </c>
      <c r="E30" s="590">
        <f t="shared" si="1"/>
        <v>-448534</v>
      </c>
    </row>
    <row r="31" spans="1:5" s="421" customFormat="1" x14ac:dyDescent="0.2">
      <c r="A31" s="588">
        <v>7</v>
      </c>
      <c r="B31" s="587" t="s">
        <v>758</v>
      </c>
      <c r="C31" s="590">
        <v>37791733</v>
      </c>
      <c r="D31" s="594">
        <v>33171524</v>
      </c>
      <c r="E31" s="590">
        <f t="shared" si="1"/>
        <v>-4620209</v>
      </c>
    </row>
    <row r="32" spans="1:5" s="421" customFormat="1" x14ac:dyDescent="0.2">
      <c r="A32" s="588"/>
      <c r="B32" s="592" t="s">
        <v>780</v>
      </c>
      <c r="C32" s="593">
        <f>SUM(C26+C27+C30)</f>
        <v>521460054</v>
      </c>
      <c r="D32" s="593">
        <f>SUM(D26+D27+D30)</f>
        <v>550259462</v>
      </c>
      <c r="E32" s="593">
        <f t="shared" si="1"/>
        <v>28799408</v>
      </c>
    </row>
    <row r="33" spans="1:5" s="421" customFormat="1" x14ac:dyDescent="0.2">
      <c r="A33" s="588"/>
      <c r="B33" s="592" t="s">
        <v>467</v>
      </c>
      <c r="C33" s="593">
        <f>SUM(C25+C32)</f>
        <v>862425043</v>
      </c>
      <c r="D33" s="593">
        <f>SUM(D25+D32)</f>
        <v>883517182</v>
      </c>
      <c r="E33" s="593">
        <f t="shared" si="1"/>
        <v>21092139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781</v>
      </c>
      <c r="C36" s="590">
        <f t="shared" ref="C36:D42" si="2">C14+C25</f>
        <v>544853123</v>
      </c>
      <c r="D36" s="590">
        <f t="shared" si="2"/>
        <v>548094394</v>
      </c>
      <c r="E36" s="590">
        <f t="shared" ref="E36:E44" si="3">D36-C36</f>
        <v>3241271</v>
      </c>
    </row>
    <row r="37" spans="1:5" s="421" customFormat="1" x14ac:dyDescent="0.2">
      <c r="A37" s="588">
        <v>2</v>
      </c>
      <c r="B37" s="587" t="s">
        <v>782</v>
      </c>
      <c r="C37" s="590">
        <f t="shared" si="2"/>
        <v>629169018</v>
      </c>
      <c r="D37" s="590">
        <f t="shared" si="2"/>
        <v>680244143</v>
      </c>
      <c r="E37" s="590">
        <f t="shared" si="3"/>
        <v>51075125</v>
      </c>
    </row>
    <row r="38" spans="1:5" s="421" customFormat="1" x14ac:dyDescent="0.2">
      <c r="A38" s="588">
        <v>3</v>
      </c>
      <c r="B38" s="587" t="s">
        <v>783</v>
      </c>
      <c r="C38" s="590">
        <f t="shared" si="2"/>
        <v>516578722</v>
      </c>
      <c r="D38" s="590">
        <f t="shared" si="2"/>
        <v>530402255</v>
      </c>
      <c r="E38" s="590">
        <f t="shared" si="3"/>
        <v>13823533</v>
      </c>
    </row>
    <row r="39" spans="1:5" s="421" customFormat="1" x14ac:dyDescent="0.2">
      <c r="A39" s="588">
        <v>4</v>
      </c>
      <c r="B39" s="587" t="s">
        <v>784</v>
      </c>
      <c r="C39" s="590">
        <f t="shared" si="2"/>
        <v>516578722</v>
      </c>
      <c r="D39" s="590">
        <f t="shared" si="2"/>
        <v>530402255</v>
      </c>
      <c r="E39" s="590">
        <f t="shared" si="3"/>
        <v>13823533</v>
      </c>
    </row>
    <row r="40" spans="1:5" s="421" customFormat="1" x14ac:dyDescent="0.2">
      <c r="A40" s="588">
        <v>5</v>
      </c>
      <c r="B40" s="587" t="s">
        <v>785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786</v>
      </c>
      <c r="C41" s="590">
        <f t="shared" si="2"/>
        <v>2478874</v>
      </c>
      <c r="D41" s="590">
        <f t="shared" si="2"/>
        <v>1246548</v>
      </c>
      <c r="E41" s="590">
        <f t="shared" si="3"/>
        <v>-1232326</v>
      </c>
    </row>
    <row r="42" spans="1:5" s="421" customFormat="1" x14ac:dyDescent="0.2">
      <c r="A42" s="588">
        <v>7</v>
      </c>
      <c r="B42" s="587" t="s">
        <v>787</v>
      </c>
      <c r="C42" s="590">
        <f t="shared" si="2"/>
        <v>45956006</v>
      </c>
      <c r="D42" s="590">
        <f t="shared" si="2"/>
        <v>53378851</v>
      </c>
      <c r="E42" s="590">
        <f t="shared" si="3"/>
        <v>7422845</v>
      </c>
    </row>
    <row r="43" spans="1:5" s="421" customFormat="1" x14ac:dyDescent="0.2">
      <c r="A43" s="588"/>
      <c r="B43" s="592" t="s">
        <v>788</v>
      </c>
      <c r="C43" s="593">
        <f>SUM(C37+C38+C41)</f>
        <v>1148226614</v>
      </c>
      <c r="D43" s="593">
        <f>SUM(D37+D38+D41)</f>
        <v>1211892946</v>
      </c>
      <c r="E43" s="593">
        <f t="shared" si="3"/>
        <v>63666332</v>
      </c>
    </row>
    <row r="44" spans="1:5" s="421" customFormat="1" x14ac:dyDescent="0.2">
      <c r="A44" s="588"/>
      <c r="B44" s="592" t="s">
        <v>725</v>
      </c>
      <c r="C44" s="593">
        <f>SUM(C36+C43)</f>
        <v>1693079737</v>
      </c>
      <c r="D44" s="593">
        <f>SUM(D36+D43)</f>
        <v>1759987340</v>
      </c>
      <c r="E44" s="593">
        <f t="shared" si="3"/>
        <v>66907603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656</v>
      </c>
      <c r="C47" s="589">
        <v>85266636</v>
      </c>
      <c r="D47" s="589">
        <v>103455045</v>
      </c>
      <c r="E47" s="590">
        <f t="shared" ref="E47:E55" si="4">D47-C47</f>
        <v>18188409</v>
      </c>
    </row>
    <row r="48" spans="1:5" s="421" customFormat="1" x14ac:dyDescent="0.2">
      <c r="A48" s="588">
        <v>2</v>
      </c>
      <c r="B48" s="587" t="s">
        <v>635</v>
      </c>
      <c r="C48" s="589">
        <v>122306782</v>
      </c>
      <c r="D48" s="591">
        <v>141330892</v>
      </c>
      <c r="E48" s="590">
        <f t="shared" si="4"/>
        <v>19024110</v>
      </c>
    </row>
    <row r="49" spans="1:5" s="421" customFormat="1" x14ac:dyDescent="0.2">
      <c r="A49" s="588">
        <v>3</v>
      </c>
      <c r="B49" s="587" t="s">
        <v>777</v>
      </c>
      <c r="C49" s="589">
        <v>49876097</v>
      </c>
      <c r="D49" s="591">
        <v>40320958</v>
      </c>
      <c r="E49" s="590">
        <f t="shared" si="4"/>
        <v>-9555139</v>
      </c>
    </row>
    <row r="50" spans="1:5" s="421" customFormat="1" x14ac:dyDescent="0.2">
      <c r="A50" s="588">
        <v>4</v>
      </c>
      <c r="B50" s="587" t="s">
        <v>115</v>
      </c>
      <c r="C50" s="589">
        <v>49876097</v>
      </c>
      <c r="D50" s="591">
        <v>40320958</v>
      </c>
      <c r="E50" s="590">
        <f t="shared" si="4"/>
        <v>-9555139</v>
      </c>
    </row>
    <row r="51" spans="1:5" s="421" customFormat="1" x14ac:dyDescent="0.2">
      <c r="A51" s="588">
        <v>5</v>
      </c>
      <c r="B51" s="587" t="s">
        <v>743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184899</v>
      </c>
      <c r="D52" s="591">
        <v>91862</v>
      </c>
      <c r="E52" s="590">
        <f t="shared" si="4"/>
        <v>-93037</v>
      </c>
    </row>
    <row r="53" spans="1:5" s="421" customFormat="1" x14ac:dyDescent="0.2">
      <c r="A53" s="588">
        <v>7</v>
      </c>
      <c r="B53" s="587" t="s">
        <v>758</v>
      </c>
      <c r="C53" s="589">
        <v>1903873</v>
      </c>
      <c r="D53" s="591">
        <v>10449109</v>
      </c>
      <c r="E53" s="590">
        <f t="shared" si="4"/>
        <v>8545236</v>
      </c>
    </row>
    <row r="54" spans="1:5" s="421" customFormat="1" x14ac:dyDescent="0.2">
      <c r="A54" s="588"/>
      <c r="B54" s="592" t="s">
        <v>790</v>
      </c>
      <c r="C54" s="593">
        <f>SUM(C48+C49+C52)</f>
        <v>172367778</v>
      </c>
      <c r="D54" s="593">
        <f>SUM(D48+D49+D52)</f>
        <v>181743712</v>
      </c>
      <c r="E54" s="593">
        <f t="shared" si="4"/>
        <v>9375934</v>
      </c>
    </row>
    <row r="55" spans="1:5" s="421" customFormat="1" x14ac:dyDescent="0.2">
      <c r="A55" s="588"/>
      <c r="B55" s="592" t="s">
        <v>466</v>
      </c>
      <c r="C55" s="593">
        <f>SUM(C47+C54)</f>
        <v>257634414</v>
      </c>
      <c r="D55" s="593">
        <f>SUM(D47+D54)</f>
        <v>285198757</v>
      </c>
      <c r="E55" s="593">
        <f t="shared" si="4"/>
        <v>27564343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656</v>
      </c>
      <c r="C58" s="589">
        <v>112735268</v>
      </c>
      <c r="D58" s="589">
        <v>124025751</v>
      </c>
      <c r="E58" s="590">
        <f t="shared" ref="E58:E66" si="5">D58-C58</f>
        <v>11290483</v>
      </c>
    </row>
    <row r="59" spans="1:5" s="421" customFormat="1" x14ac:dyDescent="0.2">
      <c r="A59" s="588">
        <v>2</v>
      </c>
      <c r="B59" s="587" t="s">
        <v>635</v>
      </c>
      <c r="C59" s="589">
        <v>37180232</v>
      </c>
      <c r="D59" s="591">
        <v>39619572</v>
      </c>
      <c r="E59" s="590">
        <f t="shared" si="5"/>
        <v>2439340</v>
      </c>
    </row>
    <row r="60" spans="1:5" s="421" customFormat="1" x14ac:dyDescent="0.2">
      <c r="A60" s="588">
        <v>3</v>
      </c>
      <c r="B60" s="587" t="s">
        <v>777</v>
      </c>
      <c r="C60" s="589">
        <f>C61+C62</f>
        <v>42640833</v>
      </c>
      <c r="D60" s="591">
        <f>D61+D62</f>
        <v>43186014</v>
      </c>
      <c r="E60" s="590">
        <f t="shared" si="5"/>
        <v>545181</v>
      </c>
    </row>
    <row r="61" spans="1:5" s="421" customFormat="1" x14ac:dyDescent="0.2">
      <c r="A61" s="588">
        <v>4</v>
      </c>
      <c r="B61" s="587" t="s">
        <v>115</v>
      </c>
      <c r="C61" s="589">
        <v>42640833</v>
      </c>
      <c r="D61" s="591">
        <v>43186014</v>
      </c>
      <c r="E61" s="590">
        <f t="shared" si="5"/>
        <v>545181</v>
      </c>
    </row>
    <row r="62" spans="1:5" s="421" customFormat="1" x14ac:dyDescent="0.2">
      <c r="A62" s="588">
        <v>5</v>
      </c>
      <c r="B62" s="587" t="s">
        <v>743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546488</v>
      </c>
      <c r="D63" s="591">
        <v>181050</v>
      </c>
      <c r="E63" s="590">
        <f t="shared" si="5"/>
        <v>-365438</v>
      </c>
    </row>
    <row r="64" spans="1:5" s="421" customFormat="1" x14ac:dyDescent="0.2">
      <c r="A64" s="588">
        <v>7</v>
      </c>
      <c r="B64" s="587" t="s">
        <v>758</v>
      </c>
      <c r="C64" s="589">
        <v>11963371</v>
      </c>
      <c r="D64" s="591">
        <v>16413766</v>
      </c>
      <c r="E64" s="590">
        <f t="shared" si="5"/>
        <v>4450395</v>
      </c>
    </row>
    <row r="65" spans="1:5" s="421" customFormat="1" x14ac:dyDescent="0.2">
      <c r="A65" s="588"/>
      <c r="B65" s="592" t="s">
        <v>792</v>
      </c>
      <c r="C65" s="593">
        <f>SUM(C59+C60+C63)</f>
        <v>80367553</v>
      </c>
      <c r="D65" s="593">
        <f>SUM(D59+D60+D63)</f>
        <v>82986636</v>
      </c>
      <c r="E65" s="593">
        <f t="shared" si="5"/>
        <v>2619083</v>
      </c>
    </row>
    <row r="66" spans="1:5" s="421" customFormat="1" x14ac:dyDescent="0.2">
      <c r="A66" s="588"/>
      <c r="B66" s="592" t="s">
        <v>468</v>
      </c>
      <c r="C66" s="593">
        <f>SUM(C58+C65)</f>
        <v>193102821</v>
      </c>
      <c r="D66" s="593">
        <f>SUM(D58+D65)</f>
        <v>207012387</v>
      </c>
      <c r="E66" s="593">
        <f t="shared" si="5"/>
        <v>13909566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781</v>
      </c>
      <c r="C69" s="590">
        <f t="shared" ref="C69:D75" si="6">C47+C58</f>
        <v>198001904</v>
      </c>
      <c r="D69" s="590">
        <f t="shared" si="6"/>
        <v>227480796</v>
      </c>
      <c r="E69" s="590">
        <f t="shared" ref="E69:E77" si="7">D69-C69</f>
        <v>29478892</v>
      </c>
    </row>
    <row r="70" spans="1:5" s="421" customFormat="1" x14ac:dyDescent="0.2">
      <c r="A70" s="588">
        <v>2</v>
      </c>
      <c r="B70" s="587" t="s">
        <v>782</v>
      </c>
      <c r="C70" s="590">
        <f t="shared" si="6"/>
        <v>159487014</v>
      </c>
      <c r="D70" s="590">
        <f t="shared" si="6"/>
        <v>180950464</v>
      </c>
      <c r="E70" s="590">
        <f t="shared" si="7"/>
        <v>21463450</v>
      </c>
    </row>
    <row r="71" spans="1:5" s="421" customFormat="1" x14ac:dyDescent="0.2">
      <c r="A71" s="588">
        <v>3</v>
      </c>
      <c r="B71" s="587" t="s">
        <v>783</v>
      </c>
      <c r="C71" s="590">
        <f t="shared" si="6"/>
        <v>92516930</v>
      </c>
      <c r="D71" s="590">
        <f t="shared" si="6"/>
        <v>83506972</v>
      </c>
      <c r="E71" s="590">
        <f t="shared" si="7"/>
        <v>-9009958</v>
      </c>
    </row>
    <row r="72" spans="1:5" s="421" customFormat="1" x14ac:dyDescent="0.2">
      <c r="A72" s="588">
        <v>4</v>
      </c>
      <c r="B72" s="587" t="s">
        <v>784</v>
      </c>
      <c r="C72" s="590">
        <f t="shared" si="6"/>
        <v>92516930</v>
      </c>
      <c r="D72" s="590">
        <f t="shared" si="6"/>
        <v>83506972</v>
      </c>
      <c r="E72" s="590">
        <f t="shared" si="7"/>
        <v>-9009958</v>
      </c>
    </row>
    <row r="73" spans="1:5" s="421" customFormat="1" x14ac:dyDescent="0.2">
      <c r="A73" s="588">
        <v>5</v>
      </c>
      <c r="B73" s="587" t="s">
        <v>785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786</v>
      </c>
      <c r="C74" s="590">
        <f t="shared" si="6"/>
        <v>731387</v>
      </c>
      <c r="D74" s="590">
        <f t="shared" si="6"/>
        <v>272912</v>
      </c>
      <c r="E74" s="590">
        <f t="shared" si="7"/>
        <v>-458475</v>
      </c>
    </row>
    <row r="75" spans="1:5" s="421" customFormat="1" x14ac:dyDescent="0.2">
      <c r="A75" s="588">
        <v>7</v>
      </c>
      <c r="B75" s="587" t="s">
        <v>787</v>
      </c>
      <c r="C75" s="590">
        <f t="shared" si="6"/>
        <v>13867244</v>
      </c>
      <c r="D75" s="590">
        <f t="shared" si="6"/>
        <v>26862875</v>
      </c>
      <c r="E75" s="590">
        <f t="shared" si="7"/>
        <v>12995631</v>
      </c>
    </row>
    <row r="76" spans="1:5" s="421" customFormat="1" x14ac:dyDescent="0.2">
      <c r="A76" s="588"/>
      <c r="B76" s="592" t="s">
        <v>793</v>
      </c>
      <c r="C76" s="593">
        <f>SUM(C70+C71+C74)</f>
        <v>252735331</v>
      </c>
      <c r="D76" s="593">
        <f>SUM(D70+D71+D74)</f>
        <v>264730348</v>
      </c>
      <c r="E76" s="593">
        <f t="shared" si="7"/>
        <v>11995017</v>
      </c>
    </row>
    <row r="77" spans="1:5" s="421" customFormat="1" x14ac:dyDescent="0.2">
      <c r="A77" s="588"/>
      <c r="B77" s="592" t="s">
        <v>726</v>
      </c>
      <c r="C77" s="593">
        <f>SUM(C69+C76)</f>
        <v>450737235</v>
      </c>
      <c r="D77" s="593">
        <f>SUM(D69+D76)</f>
        <v>492211144</v>
      </c>
      <c r="E77" s="593">
        <f t="shared" si="7"/>
        <v>41473909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656</v>
      </c>
      <c r="C83" s="599">
        <f t="shared" ref="C83:D89" si="8">IF(C$44=0,0,C14/C$44)</f>
        <v>0.12042441330097851</v>
      </c>
      <c r="D83" s="599">
        <f t="shared" si="8"/>
        <v>0.12206717009680308</v>
      </c>
      <c r="E83" s="599">
        <f t="shared" ref="E83:E91" si="9">D83-C83</f>
        <v>1.6427567958245681E-3</v>
      </c>
    </row>
    <row r="84" spans="1:5" s="421" customFormat="1" x14ac:dyDescent="0.2">
      <c r="A84" s="588">
        <v>2</v>
      </c>
      <c r="B84" s="587" t="s">
        <v>635</v>
      </c>
      <c r="C84" s="599">
        <f t="shared" si="8"/>
        <v>0.23351696813792769</v>
      </c>
      <c r="D84" s="599">
        <f t="shared" si="8"/>
        <v>0.2490894229955086</v>
      </c>
      <c r="E84" s="599">
        <f t="shared" si="9"/>
        <v>1.5572454857580909E-2</v>
      </c>
    </row>
    <row r="85" spans="1:5" s="421" customFormat="1" x14ac:dyDescent="0.2">
      <c r="A85" s="588">
        <v>3</v>
      </c>
      <c r="B85" s="587" t="s">
        <v>777</v>
      </c>
      <c r="C85" s="599">
        <f t="shared" si="8"/>
        <v>0.13597089786681441</v>
      </c>
      <c r="D85" s="599">
        <f t="shared" si="8"/>
        <v>0.12660824253429004</v>
      </c>
      <c r="E85" s="599">
        <f t="shared" si="9"/>
        <v>-9.3626553325243667E-3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0.13597089786681441</v>
      </c>
      <c r="D86" s="599">
        <f t="shared" si="8"/>
        <v>0.12660824253429004</v>
      </c>
      <c r="E86" s="599">
        <f t="shared" si="9"/>
        <v>-9.3626553325243667E-3</v>
      </c>
    </row>
    <row r="87" spans="1:5" s="421" customFormat="1" x14ac:dyDescent="0.2">
      <c r="A87" s="588">
        <v>5</v>
      </c>
      <c r="B87" s="587" t="s">
        <v>743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7.0530700586844241E-4</v>
      </c>
      <c r="D88" s="599">
        <f t="shared" si="8"/>
        <v>2.3315451803193084E-4</v>
      </c>
      <c r="E88" s="599">
        <f t="shared" si="9"/>
        <v>-4.7215248783651157E-4</v>
      </c>
    </row>
    <row r="89" spans="1:5" s="421" customFormat="1" x14ac:dyDescent="0.2">
      <c r="A89" s="588">
        <v>7</v>
      </c>
      <c r="B89" s="587" t="s">
        <v>758</v>
      </c>
      <c r="C89" s="599">
        <f t="shared" si="8"/>
        <v>4.8221432349467661E-3</v>
      </c>
      <c r="D89" s="599">
        <f t="shared" si="8"/>
        <v>1.1481518384103832E-2</v>
      </c>
      <c r="E89" s="599">
        <f t="shared" si="9"/>
        <v>6.6593751491570655E-3</v>
      </c>
    </row>
    <row r="90" spans="1:5" s="421" customFormat="1" x14ac:dyDescent="0.2">
      <c r="A90" s="588"/>
      <c r="B90" s="592" t="s">
        <v>796</v>
      </c>
      <c r="C90" s="600">
        <f>SUM(C84+C85+C88)</f>
        <v>0.37019317301061055</v>
      </c>
      <c r="D90" s="600">
        <f>SUM(D84+D85+D88)</f>
        <v>0.37593082004783057</v>
      </c>
      <c r="E90" s="601">
        <f t="shared" si="9"/>
        <v>5.7376470372200172E-3</v>
      </c>
    </row>
    <row r="91" spans="1:5" s="421" customFormat="1" x14ac:dyDescent="0.2">
      <c r="A91" s="588"/>
      <c r="B91" s="592" t="s">
        <v>797</v>
      </c>
      <c r="C91" s="600">
        <f>SUM(C83+C90)</f>
        <v>0.49061758631158908</v>
      </c>
      <c r="D91" s="600">
        <f>SUM(D83+D90)</f>
        <v>0.49799799014463364</v>
      </c>
      <c r="E91" s="601">
        <f t="shared" si="9"/>
        <v>7.3804038330445576E-3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656</v>
      </c>
      <c r="C95" s="599">
        <f t="shared" ref="C95:D101" si="10">IF(C$44=0,0,C25/C$44)</f>
        <v>0.20138743707615467</v>
      </c>
      <c r="D95" s="599">
        <f t="shared" si="10"/>
        <v>0.18935233931853168</v>
      </c>
      <c r="E95" s="599">
        <f t="shared" ref="E95:E103" si="11">D95-C95</f>
        <v>-1.2035097757622987E-2</v>
      </c>
    </row>
    <row r="96" spans="1:5" s="421" customFormat="1" x14ac:dyDescent="0.2">
      <c r="A96" s="588">
        <v>2</v>
      </c>
      <c r="B96" s="587" t="s">
        <v>635</v>
      </c>
      <c r="C96" s="599">
        <f t="shared" si="10"/>
        <v>0.13809519179190319</v>
      </c>
      <c r="D96" s="599">
        <f t="shared" si="10"/>
        <v>0.13741571118346793</v>
      </c>
      <c r="E96" s="599">
        <f t="shared" si="11"/>
        <v>-6.7948060843525671E-4</v>
      </c>
    </row>
    <row r="97" spans="1:5" s="421" customFormat="1" x14ac:dyDescent="0.2">
      <c r="A97" s="588">
        <v>3</v>
      </c>
      <c r="B97" s="587" t="s">
        <v>777</v>
      </c>
      <c r="C97" s="599">
        <f t="shared" si="10"/>
        <v>0.1691409705885577</v>
      </c>
      <c r="D97" s="599">
        <f t="shared" si="10"/>
        <v>0.17475884286758564</v>
      </c>
      <c r="E97" s="599">
        <f t="shared" si="11"/>
        <v>5.6178722790279356E-3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0.1691409705885577</v>
      </c>
      <c r="D98" s="599">
        <f t="shared" si="10"/>
        <v>0.17475884286758564</v>
      </c>
      <c r="E98" s="599">
        <f t="shared" si="11"/>
        <v>5.6178722790279356E-3</v>
      </c>
    </row>
    <row r="99" spans="1:5" s="421" customFormat="1" x14ac:dyDescent="0.2">
      <c r="A99" s="588">
        <v>5</v>
      </c>
      <c r="B99" s="587" t="s">
        <v>743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7.5881423179539236E-4</v>
      </c>
      <c r="D100" s="599">
        <f t="shared" si="10"/>
        <v>4.7511648578108521E-4</v>
      </c>
      <c r="E100" s="599">
        <f t="shared" si="11"/>
        <v>-2.8369774601430715E-4</v>
      </c>
    </row>
    <row r="101" spans="1:5" s="421" customFormat="1" x14ac:dyDescent="0.2">
      <c r="A101" s="588">
        <v>7</v>
      </c>
      <c r="B101" s="587" t="s">
        <v>758</v>
      </c>
      <c r="C101" s="599">
        <f t="shared" si="10"/>
        <v>2.2321295432289494E-2</v>
      </c>
      <c r="D101" s="599">
        <f t="shared" si="10"/>
        <v>1.8847592392340733E-2</v>
      </c>
      <c r="E101" s="599">
        <f t="shared" si="11"/>
        <v>-3.4737030399487612E-3</v>
      </c>
    </row>
    <row r="102" spans="1:5" s="421" customFormat="1" x14ac:dyDescent="0.2">
      <c r="A102" s="588"/>
      <c r="B102" s="592" t="s">
        <v>799</v>
      </c>
      <c r="C102" s="600">
        <f>SUM(C96+C97+C100)</f>
        <v>0.30799497661225633</v>
      </c>
      <c r="D102" s="600">
        <f>SUM(D96+D97+D100)</f>
        <v>0.31264967053683462</v>
      </c>
      <c r="E102" s="601">
        <f t="shared" si="11"/>
        <v>4.6546939245782903E-3</v>
      </c>
    </row>
    <row r="103" spans="1:5" s="421" customFormat="1" x14ac:dyDescent="0.2">
      <c r="A103" s="588"/>
      <c r="B103" s="592" t="s">
        <v>800</v>
      </c>
      <c r="C103" s="600">
        <f>SUM(C95+C102)</f>
        <v>0.50938241368841097</v>
      </c>
      <c r="D103" s="600">
        <f>SUM(D95+D102)</f>
        <v>0.50200200985536636</v>
      </c>
      <c r="E103" s="601">
        <f t="shared" si="11"/>
        <v>-7.3804038330446131E-3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656</v>
      </c>
      <c r="C109" s="599">
        <f t="shared" ref="C109:D115" si="12">IF(C$77=0,0,C47/C$77)</f>
        <v>0.18917149367524519</v>
      </c>
      <c r="D109" s="599">
        <f t="shared" si="12"/>
        <v>0.21018428018362786</v>
      </c>
      <c r="E109" s="599">
        <f t="shared" ref="E109:E117" si="13">D109-C109</f>
        <v>2.1012786508382675E-2</v>
      </c>
    </row>
    <row r="110" spans="1:5" s="421" customFormat="1" x14ac:dyDescent="0.2">
      <c r="A110" s="588">
        <v>2</v>
      </c>
      <c r="B110" s="587" t="s">
        <v>635</v>
      </c>
      <c r="C110" s="599">
        <f t="shared" si="12"/>
        <v>0.27134829897068524</v>
      </c>
      <c r="D110" s="599">
        <f t="shared" si="12"/>
        <v>0.28713468543491572</v>
      </c>
      <c r="E110" s="599">
        <f t="shared" si="13"/>
        <v>1.5786386464230473E-2</v>
      </c>
    </row>
    <row r="111" spans="1:5" s="421" customFormat="1" x14ac:dyDescent="0.2">
      <c r="A111" s="588">
        <v>3</v>
      </c>
      <c r="B111" s="587" t="s">
        <v>777</v>
      </c>
      <c r="C111" s="599">
        <f t="shared" si="12"/>
        <v>0.11065448586691534</v>
      </c>
      <c r="D111" s="599">
        <f t="shared" si="12"/>
        <v>8.1918011185866196E-2</v>
      </c>
      <c r="E111" s="599">
        <f t="shared" si="13"/>
        <v>-2.8736474681049146E-2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0.11065448586691534</v>
      </c>
      <c r="D112" s="599">
        <f t="shared" si="12"/>
        <v>8.1918011185866196E-2</v>
      </c>
      <c r="E112" s="599">
        <f t="shared" si="13"/>
        <v>-2.8736474681049146E-2</v>
      </c>
    </row>
    <row r="113" spans="1:5" s="421" customFormat="1" x14ac:dyDescent="0.2">
      <c r="A113" s="588">
        <v>5</v>
      </c>
      <c r="B113" s="587" t="s">
        <v>743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4.1021461206771612E-4</v>
      </c>
      <c r="D114" s="599">
        <f t="shared" si="12"/>
        <v>1.866312884618476E-4</v>
      </c>
      <c r="E114" s="599">
        <f t="shared" si="13"/>
        <v>-2.2358332360586852E-4</v>
      </c>
    </row>
    <row r="115" spans="1:5" s="421" customFormat="1" x14ac:dyDescent="0.2">
      <c r="A115" s="588">
        <v>7</v>
      </c>
      <c r="B115" s="587" t="s">
        <v>758</v>
      </c>
      <c r="C115" s="599">
        <f t="shared" si="12"/>
        <v>4.2239088590051805E-3</v>
      </c>
      <c r="D115" s="599">
        <f t="shared" si="12"/>
        <v>2.1228915938563145E-2</v>
      </c>
      <c r="E115" s="599">
        <f t="shared" si="13"/>
        <v>1.7005007079557963E-2</v>
      </c>
    </row>
    <row r="116" spans="1:5" s="421" customFormat="1" x14ac:dyDescent="0.2">
      <c r="A116" s="588"/>
      <c r="B116" s="592" t="s">
        <v>796</v>
      </c>
      <c r="C116" s="600">
        <f>SUM(C110+C111+C114)</f>
        <v>0.38241299944966828</v>
      </c>
      <c r="D116" s="600">
        <f>SUM(D110+D111+D114)</f>
        <v>0.36923932790924374</v>
      </c>
      <c r="E116" s="601">
        <f t="shared" si="13"/>
        <v>-1.3173671540424536E-2</v>
      </c>
    </row>
    <row r="117" spans="1:5" s="421" customFormat="1" x14ac:dyDescent="0.2">
      <c r="A117" s="588"/>
      <c r="B117" s="592" t="s">
        <v>797</v>
      </c>
      <c r="C117" s="600">
        <f>SUM(C109+C116)</f>
        <v>0.57158449312491344</v>
      </c>
      <c r="D117" s="600">
        <f>SUM(D109+D116)</f>
        <v>0.57942360809287163</v>
      </c>
      <c r="E117" s="601">
        <f t="shared" si="13"/>
        <v>7.839114967958194E-3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656</v>
      </c>
      <c r="C121" s="599">
        <f t="shared" ref="C121:D127" si="14">IF(C$77=0,0,C58/C$77)</f>
        <v>0.25011305755558444</v>
      </c>
      <c r="D121" s="599">
        <f t="shared" si="14"/>
        <v>0.2519767228187747</v>
      </c>
      <c r="E121" s="599">
        <f t="shared" ref="E121:E129" si="15">D121-C121</f>
        <v>1.8636652631902617E-3</v>
      </c>
    </row>
    <row r="122" spans="1:5" s="421" customFormat="1" x14ac:dyDescent="0.2">
      <c r="A122" s="588">
        <v>2</v>
      </c>
      <c r="B122" s="587" t="s">
        <v>635</v>
      </c>
      <c r="C122" s="599">
        <f t="shared" si="14"/>
        <v>8.2487598345408489E-2</v>
      </c>
      <c r="D122" s="599">
        <f t="shared" si="14"/>
        <v>8.0493041417201233E-2</v>
      </c>
      <c r="E122" s="599">
        <f t="shared" si="15"/>
        <v>-1.9945569282072556E-3</v>
      </c>
    </row>
    <row r="123" spans="1:5" s="421" customFormat="1" x14ac:dyDescent="0.2">
      <c r="A123" s="588">
        <v>3</v>
      </c>
      <c r="B123" s="587" t="s">
        <v>777</v>
      </c>
      <c r="C123" s="599">
        <f t="shared" si="14"/>
        <v>9.4602419522762521E-2</v>
      </c>
      <c r="D123" s="599">
        <f t="shared" si="14"/>
        <v>8.7738797722141784E-2</v>
      </c>
      <c r="E123" s="599">
        <f t="shared" si="15"/>
        <v>-6.8636218006207367E-3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9.4602419522762521E-2</v>
      </c>
      <c r="D124" s="599">
        <f t="shared" si="14"/>
        <v>8.7738797722141784E-2</v>
      </c>
      <c r="E124" s="599">
        <f t="shared" si="15"/>
        <v>-6.8636218006207367E-3</v>
      </c>
    </row>
    <row r="125" spans="1:5" s="421" customFormat="1" x14ac:dyDescent="0.2">
      <c r="A125" s="588">
        <v>5</v>
      </c>
      <c r="B125" s="587" t="s">
        <v>743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1.2124314513310621E-3</v>
      </c>
      <c r="D126" s="599">
        <f t="shared" si="14"/>
        <v>3.6782994901066277E-4</v>
      </c>
      <c r="E126" s="599">
        <f t="shared" si="15"/>
        <v>-8.4460150232039931E-4</v>
      </c>
    </row>
    <row r="127" spans="1:5" s="421" customFormat="1" x14ac:dyDescent="0.2">
      <c r="A127" s="588">
        <v>7</v>
      </c>
      <c r="B127" s="587" t="s">
        <v>758</v>
      </c>
      <c r="C127" s="599">
        <f t="shared" si="14"/>
        <v>2.6541785481734165E-2</v>
      </c>
      <c r="D127" s="599">
        <f t="shared" si="14"/>
        <v>3.3347001993112128E-2</v>
      </c>
      <c r="E127" s="599">
        <f t="shared" si="15"/>
        <v>6.8052165113779636E-3</v>
      </c>
    </row>
    <row r="128" spans="1:5" s="421" customFormat="1" x14ac:dyDescent="0.2">
      <c r="A128" s="588"/>
      <c r="B128" s="592" t="s">
        <v>799</v>
      </c>
      <c r="C128" s="600">
        <f>SUM(C122+C123+C126)</f>
        <v>0.17830244931950209</v>
      </c>
      <c r="D128" s="600">
        <f>SUM(D122+D123+D126)</f>
        <v>0.16859966908835369</v>
      </c>
      <c r="E128" s="601">
        <f t="shared" si="15"/>
        <v>-9.7027802311484002E-3</v>
      </c>
    </row>
    <row r="129" spans="1:5" s="421" customFormat="1" x14ac:dyDescent="0.2">
      <c r="A129" s="588"/>
      <c r="B129" s="592" t="s">
        <v>800</v>
      </c>
      <c r="C129" s="600">
        <f>SUM(C121+C128)</f>
        <v>0.42841550687508656</v>
      </c>
      <c r="D129" s="600">
        <f>SUM(D121+D128)</f>
        <v>0.42057639190712837</v>
      </c>
      <c r="E129" s="601">
        <f t="shared" si="15"/>
        <v>-7.839114967958194E-3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804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656</v>
      </c>
      <c r="C137" s="606">
        <v>5161</v>
      </c>
      <c r="D137" s="606">
        <v>5639</v>
      </c>
      <c r="E137" s="607">
        <f t="shared" ref="E137:E145" si="16">D137-C137</f>
        <v>478</v>
      </c>
    </row>
    <row r="138" spans="1:5" s="421" customFormat="1" x14ac:dyDescent="0.2">
      <c r="A138" s="588">
        <v>2</v>
      </c>
      <c r="B138" s="587" t="s">
        <v>635</v>
      </c>
      <c r="C138" s="606">
        <v>6958</v>
      </c>
      <c r="D138" s="606">
        <v>7920</v>
      </c>
      <c r="E138" s="607">
        <f t="shared" si="16"/>
        <v>962</v>
      </c>
    </row>
    <row r="139" spans="1:5" s="421" customFormat="1" x14ac:dyDescent="0.2">
      <c r="A139" s="588">
        <v>3</v>
      </c>
      <c r="B139" s="587" t="s">
        <v>777</v>
      </c>
      <c r="C139" s="606">
        <f>C140+C141</f>
        <v>6057</v>
      </c>
      <c r="D139" s="606">
        <f>D140+D141</f>
        <v>6240</v>
      </c>
      <c r="E139" s="607">
        <f t="shared" si="16"/>
        <v>183</v>
      </c>
    </row>
    <row r="140" spans="1:5" s="421" customFormat="1" x14ac:dyDescent="0.2">
      <c r="A140" s="588">
        <v>4</v>
      </c>
      <c r="B140" s="587" t="s">
        <v>115</v>
      </c>
      <c r="C140" s="606">
        <v>6057</v>
      </c>
      <c r="D140" s="606">
        <v>6240</v>
      </c>
      <c r="E140" s="607">
        <f t="shared" si="16"/>
        <v>183</v>
      </c>
    </row>
    <row r="141" spans="1:5" s="421" customFormat="1" x14ac:dyDescent="0.2">
      <c r="A141" s="588">
        <v>5</v>
      </c>
      <c r="B141" s="587" t="s">
        <v>743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31</v>
      </c>
      <c r="D142" s="606">
        <v>16</v>
      </c>
      <c r="E142" s="607">
        <f t="shared" si="16"/>
        <v>-15</v>
      </c>
    </row>
    <row r="143" spans="1:5" s="421" customFormat="1" x14ac:dyDescent="0.2">
      <c r="A143" s="588">
        <v>7</v>
      </c>
      <c r="B143" s="587" t="s">
        <v>758</v>
      </c>
      <c r="C143" s="606">
        <v>215</v>
      </c>
      <c r="D143" s="606">
        <v>785</v>
      </c>
      <c r="E143" s="607">
        <f t="shared" si="16"/>
        <v>570</v>
      </c>
    </row>
    <row r="144" spans="1:5" s="421" customFormat="1" x14ac:dyDescent="0.2">
      <c r="A144" s="588"/>
      <c r="B144" s="592" t="s">
        <v>807</v>
      </c>
      <c r="C144" s="608">
        <f>SUM(C138+C139+C142)</f>
        <v>13046</v>
      </c>
      <c r="D144" s="608">
        <f>SUM(D138+D139+D142)</f>
        <v>14176</v>
      </c>
      <c r="E144" s="609">
        <f t="shared" si="16"/>
        <v>1130</v>
      </c>
    </row>
    <row r="145" spans="1:5" s="421" customFormat="1" x14ac:dyDescent="0.2">
      <c r="A145" s="588"/>
      <c r="B145" s="592" t="s">
        <v>138</v>
      </c>
      <c r="C145" s="608">
        <f>SUM(C137+C144)</f>
        <v>18207</v>
      </c>
      <c r="D145" s="608">
        <f>SUM(D137+D144)</f>
        <v>19815</v>
      </c>
      <c r="E145" s="609">
        <f t="shared" si="16"/>
        <v>1608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656</v>
      </c>
      <c r="C149" s="610">
        <v>21689</v>
      </c>
      <c r="D149" s="610">
        <v>24080</v>
      </c>
      <c r="E149" s="607">
        <f t="shared" ref="E149:E157" si="17">D149-C149</f>
        <v>2391</v>
      </c>
    </row>
    <row r="150" spans="1:5" s="421" customFormat="1" x14ac:dyDescent="0.2">
      <c r="A150" s="588">
        <v>2</v>
      </c>
      <c r="B150" s="587" t="s">
        <v>635</v>
      </c>
      <c r="C150" s="610">
        <v>50222</v>
      </c>
      <c r="D150" s="610">
        <v>56895</v>
      </c>
      <c r="E150" s="607">
        <f t="shared" si="17"/>
        <v>6673</v>
      </c>
    </row>
    <row r="151" spans="1:5" s="421" customFormat="1" x14ac:dyDescent="0.2">
      <c r="A151" s="588">
        <v>3</v>
      </c>
      <c r="B151" s="587" t="s">
        <v>777</v>
      </c>
      <c r="C151" s="610">
        <f>C152+C153</f>
        <v>29184</v>
      </c>
      <c r="D151" s="610">
        <f>D152+D153</f>
        <v>28455</v>
      </c>
      <c r="E151" s="607">
        <f t="shared" si="17"/>
        <v>-729</v>
      </c>
    </row>
    <row r="152" spans="1:5" s="421" customFormat="1" x14ac:dyDescent="0.2">
      <c r="A152" s="588">
        <v>4</v>
      </c>
      <c r="B152" s="587" t="s">
        <v>115</v>
      </c>
      <c r="C152" s="610">
        <v>29184</v>
      </c>
      <c r="D152" s="610">
        <v>28455</v>
      </c>
      <c r="E152" s="607">
        <f t="shared" si="17"/>
        <v>-729</v>
      </c>
    </row>
    <row r="153" spans="1:5" s="421" customFormat="1" x14ac:dyDescent="0.2">
      <c r="A153" s="588">
        <v>5</v>
      </c>
      <c r="B153" s="587" t="s">
        <v>743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140</v>
      </c>
      <c r="D154" s="610">
        <v>42</v>
      </c>
      <c r="E154" s="607">
        <f t="shared" si="17"/>
        <v>-98</v>
      </c>
    </row>
    <row r="155" spans="1:5" s="421" customFormat="1" x14ac:dyDescent="0.2">
      <c r="A155" s="588">
        <v>7</v>
      </c>
      <c r="B155" s="587" t="s">
        <v>758</v>
      </c>
      <c r="C155" s="610">
        <v>881</v>
      </c>
      <c r="D155" s="610">
        <v>3075</v>
      </c>
      <c r="E155" s="607">
        <f t="shared" si="17"/>
        <v>2194</v>
      </c>
    </row>
    <row r="156" spans="1:5" s="421" customFormat="1" x14ac:dyDescent="0.2">
      <c r="A156" s="588"/>
      <c r="B156" s="592" t="s">
        <v>808</v>
      </c>
      <c r="C156" s="608">
        <f>SUM(C150+C151+C154)</f>
        <v>79546</v>
      </c>
      <c r="D156" s="608">
        <f>SUM(D150+D151+D154)</f>
        <v>85392</v>
      </c>
      <c r="E156" s="609">
        <f t="shared" si="17"/>
        <v>5846</v>
      </c>
    </row>
    <row r="157" spans="1:5" s="421" customFormat="1" x14ac:dyDescent="0.2">
      <c r="A157" s="588"/>
      <c r="B157" s="592" t="s">
        <v>140</v>
      </c>
      <c r="C157" s="608">
        <f>SUM(C149+C156)</f>
        <v>101235</v>
      </c>
      <c r="D157" s="608">
        <f>SUM(D149+D156)</f>
        <v>109472</v>
      </c>
      <c r="E157" s="609">
        <f t="shared" si="17"/>
        <v>8237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656</v>
      </c>
      <c r="C161" s="612">
        <f t="shared" ref="C161:D169" si="18">IF(C137=0,0,C149/C137)</f>
        <v>4.2024801395078475</v>
      </c>
      <c r="D161" s="612">
        <f t="shared" si="18"/>
        <v>4.270260684518532</v>
      </c>
      <c r="E161" s="613">
        <f t="shared" ref="E161:E169" si="19">D161-C161</f>
        <v>6.7780545010684534E-2</v>
      </c>
    </row>
    <row r="162" spans="1:5" s="421" customFormat="1" x14ac:dyDescent="0.2">
      <c r="A162" s="588">
        <v>2</v>
      </c>
      <c r="B162" s="587" t="s">
        <v>635</v>
      </c>
      <c r="C162" s="612">
        <f t="shared" si="18"/>
        <v>7.217878700776085</v>
      </c>
      <c r="D162" s="612">
        <f t="shared" si="18"/>
        <v>7.1837121212121211</v>
      </c>
      <c r="E162" s="613">
        <f t="shared" si="19"/>
        <v>-3.416657956396385E-2</v>
      </c>
    </row>
    <row r="163" spans="1:5" s="421" customFormat="1" x14ac:dyDescent="0.2">
      <c r="A163" s="588">
        <v>3</v>
      </c>
      <c r="B163" s="587" t="s">
        <v>777</v>
      </c>
      <c r="C163" s="612">
        <f t="shared" si="18"/>
        <v>4.8182268449727585</v>
      </c>
      <c r="D163" s="612">
        <f t="shared" si="18"/>
        <v>4.5600961538461542</v>
      </c>
      <c r="E163" s="613">
        <f t="shared" si="19"/>
        <v>-0.25813069112660436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4.8182268449727585</v>
      </c>
      <c r="D164" s="612">
        <f t="shared" si="18"/>
        <v>4.5600961538461542</v>
      </c>
      <c r="E164" s="613">
        <f t="shared" si="19"/>
        <v>-0.25813069112660436</v>
      </c>
    </row>
    <row r="165" spans="1:5" s="421" customFormat="1" x14ac:dyDescent="0.2">
      <c r="A165" s="588">
        <v>5</v>
      </c>
      <c r="B165" s="587" t="s">
        <v>743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4.5161290322580649</v>
      </c>
      <c r="D166" s="612">
        <f t="shared" si="18"/>
        <v>2.625</v>
      </c>
      <c r="E166" s="613">
        <f t="shared" si="19"/>
        <v>-1.8911290322580649</v>
      </c>
    </row>
    <row r="167" spans="1:5" s="421" customFormat="1" x14ac:dyDescent="0.2">
      <c r="A167" s="588">
        <v>7</v>
      </c>
      <c r="B167" s="587" t="s">
        <v>758</v>
      </c>
      <c r="C167" s="612">
        <f t="shared" si="18"/>
        <v>4.097674418604651</v>
      </c>
      <c r="D167" s="612">
        <f t="shared" si="18"/>
        <v>3.9171974522292992</v>
      </c>
      <c r="E167" s="613">
        <f t="shared" si="19"/>
        <v>-0.18047696637535182</v>
      </c>
    </row>
    <row r="168" spans="1:5" s="421" customFormat="1" x14ac:dyDescent="0.2">
      <c r="A168" s="588"/>
      <c r="B168" s="592" t="s">
        <v>810</v>
      </c>
      <c r="C168" s="614">
        <f t="shared" si="18"/>
        <v>6.0973478460830908</v>
      </c>
      <c r="D168" s="614">
        <f t="shared" si="18"/>
        <v>6.023702031602709</v>
      </c>
      <c r="E168" s="615">
        <f t="shared" si="19"/>
        <v>-7.3645814480381766E-2</v>
      </c>
    </row>
    <row r="169" spans="1:5" s="421" customFormat="1" x14ac:dyDescent="0.2">
      <c r="A169" s="588"/>
      <c r="B169" s="592" t="s">
        <v>744</v>
      </c>
      <c r="C169" s="614">
        <f t="shared" si="18"/>
        <v>5.5602240896358541</v>
      </c>
      <c r="D169" s="614">
        <f t="shared" si="18"/>
        <v>5.5247035074438555</v>
      </c>
      <c r="E169" s="615">
        <f t="shared" si="19"/>
        <v>-3.5520582191998606E-2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656</v>
      </c>
      <c r="C173" s="617">
        <f t="shared" ref="C173:D181" si="20">IF(C137=0,0,C203/C137)</f>
        <v>1.2794000000000001</v>
      </c>
      <c r="D173" s="617">
        <f t="shared" si="20"/>
        <v>1.28301</v>
      </c>
      <c r="E173" s="618">
        <f t="shared" ref="E173:E181" si="21">D173-C173</f>
        <v>3.6099999999998911E-3</v>
      </c>
    </row>
    <row r="174" spans="1:5" s="421" customFormat="1" x14ac:dyDescent="0.2">
      <c r="A174" s="588">
        <v>2</v>
      </c>
      <c r="B174" s="587" t="s">
        <v>635</v>
      </c>
      <c r="C174" s="617">
        <f t="shared" si="20"/>
        <v>1.59206</v>
      </c>
      <c r="D174" s="617">
        <f t="shared" si="20"/>
        <v>1.6468</v>
      </c>
      <c r="E174" s="618">
        <f t="shared" si="21"/>
        <v>5.4740000000000011E-2</v>
      </c>
    </row>
    <row r="175" spans="1:5" s="421" customFormat="1" x14ac:dyDescent="0.2">
      <c r="A175" s="588">
        <v>3</v>
      </c>
      <c r="B175" s="587" t="s">
        <v>777</v>
      </c>
      <c r="C175" s="617">
        <f t="shared" si="20"/>
        <v>1.0716300000000001</v>
      </c>
      <c r="D175" s="617">
        <f t="shared" si="20"/>
        <v>1.0688200000000001</v>
      </c>
      <c r="E175" s="618">
        <f t="shared" si="21"/>
        <v>-2.8099999999999792E-3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1.0716300000000001</v>
      </c>
      <c r="D176" s="617">
        <f t="shared" si="20"/>
        <v>1.0688200000000001</v>
      </c>
      <c r="E176" s="618">
        <f t="shared" si="21"/>
        <v>-2.8099999999999792E-3</v>
      </c>
    </row>
    <row r="177" spans="1:5" s="421" customFormat="1" x14ac:dyDescent="0.2">
      <c r="A177" s="588">
        <v>5</v>
      </c>
      <c r="B177" s="587" t="s">
        <v>743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1.1305099999999999</v>
      </c>
      <c r="D178" s="617">
        <f t="shared" si="20"/>
        <v>0.86004999999999998</v>
      </c>
      <c r="E178" s="618">
        <f t="shared" si="21"/>
        <v>-0.27045999999999992</v>
      </c>
    </row>
    <row r="179" spans="1:5" s="421" customFormat="1" x14ac:dyDescent="0.2">
      <c r="A179" s="588">
        <v>7</v>
      </c>
      <c r="B179" s="587" t="s">
        <v>758</v>
      </c>
      <c r="C179" s="617">
        <f t="shared" si="20"/>
        <v>1.18129</v>
      </c>
      <c r="D179" s="617">
        <f t="shared" si="20"/>
        <v>1.03671</v>
      </c>
      <c r="E179" s="618">
        <f t="shared" si="21"/>
        <v>-0.14457999999999993</v>
      </c>
    </row>
    <row r="180" spans="1:5" s="421" customFormat="1" x14ac:dyDescent="0.2">
      <c r="A180" s="588"/>
      <c r="B180" s="592" t="s">
        <v>812</v>
      </c>
      <c r="C180" s="619">
        <f t="shared" si="20"/>
        <v>1.3493378966733101</v>
      </c>
      <c r="D180" s="619">
        <f t="shared" si="20"/>
        <v>1.3914964446952598</v>
      </c>
      <c r="E180" s="620">
        <f t="shared" si="21"/>
        <v>4.2158548021949738E-2</v>
      </c>
    </row>
    <row r="181" spans="1:5" s="421" customFormat="1" x14ac:dyDescent="0.2">
      <c r="A181" s="588"/>
      <c r="B181" s="592" t="s">
        <v>723</v>
      </c>
      <c r="C181" s="619">
        <f t="shared" si="20"/>
        <v>1.3295131323117484</v>
      </c>
      <c r="D181" s="619">
        <f t="shared" si="20"/>
        <v>1.3606231132980067</v>
      </c>
      <c r="E181" s="620">
        <f t="shared" si="21"/>
        <v>3.1109980986258279E-2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814</v>
      </c>
      <c r="C185" s="589">
        <v>485798950</v>
      </c>
      <c r="D185" s="589">
        <v>481291196</v>
      </c>
      <c r="E185" s="590">
        <f>D185-C185</f>
        <v>-4507754</v>
      </c>
    </row>
    <row r="186" spans="1:5" s="421" customFormat="1" ht="25.5" x14ac:dyDescent="0.2">
      <c r="A186" s="588">
        <v>2</v>
      </c>
      <c r="B186" s="587" t="s">
        <v>815</v>
      </c>
      <c r="C186" s="589">
        <v>308406459</v>
      </c>
      <c r="D186" s="589">
        <v>287018071</v>
      </c>
      <c r="E186" s="590">
        <f>D186-C186</f>
        <v>-21388388</v>
      </c>
    </row>
    <row r="187" spans="1:5" s="421" customFormat="1" x14ac:dyDescent="0.2">
      <c r="A187" s="588"/>
      <c r="B187" s="587" t="s">
        <v>668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747</v>
      </c>
      <c r="C188" s="622">
        <f>+C185-C186</f>
        <v>177392491</v>
      </c>
      <c r="D188" s="622">
        <f>+D185-D186</f>
        <v>194273125</v>
      </c>
      <c r="E188" s="590">
        <f t="shared" ref="E188:E197" si="22">D188-C188</f>
        <v>16880634</v>
      </c>
    </row>
    <row r="189" spans="1:5" s="421" customFormat="1" x14ac:dyDescent="0.2">
      <c r="A189" s="588">
        <v>4</v>
      </c>
      <c r="B189" s="587" t="s">
        <v>670</v>
      </c>
      <c r="C189" s="623">
        <f>IF(C185=0,0,+C188/C185)</f>
        <v>0.36515618446684578</v>
      </c>
      <c r="D189" s="623">
        <f>IF(D185=0,0,+D188/D185)</f>
        <v>0.40364986231744826</v>
      </c>
      <c r="E189" s="599">
        <f t="shared" si="22"/>
        <v>3.8493677850602481E-2</v>
      </c>
    </row>
    <row r="190" spans="1:5" s="421" customFormat="1" x14ac:dyDescent="0.2">
      <c r="A190" s="588">
        <v>5</v>
      </c>
      <c r="B190" s="587" t="s">
        <v>762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748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817</v>
      </c>
      <c r="C193" s="589">
        <v>13389500</v>
      </c>
      <c r="D193" s="589">
        <v>13728345</v>
      </c>
      <c r="E193" s="622">
        <f t="shared" si="22"/>
        <v>338845</v>
      </c>
    </row>
    <row r="194" spans="1:5" s="421" customFormat="1" x14ac:dyDescent="0.2">
      <c r="A194" s="588">
        <v>9</v>
      </c>
      <c r="B194" s="587" t="s">
        <v>818</v>
      </c>
      <c r="C194" s="589">
        <v>55466000</v>
      </c>
      <c r="D194" s="589">
        <v>36400755</v>
      </c>
      <c r="E194" s="622">
        <f t="shared" si="22"/>
        <v>-19065245</v>
      </c>
    </row>
    <row r="195" spans="1:5" s="421" customFormat="1" x14ac:dyDescent="0.2">
      <c r="A195" s="588">
        <v>10</v>
      </c>
      <c r="B195" s="587" t="s">
        <v>819</v>
      </c>
      <c r="C195" s="589">
        <f>+C193+C194</f>
        <v>68855500</v>
      </c>
      <c r="D195" s="589">
        <f>+D193+D194</f>
        <v>50129100</v>
      </c>
      <c r="E195" s="625">
        <f t="shared" si="22"/>
        <v>-18726400</v>
      </c>
    </row>
    <row r="196" spans="1:5" s="421" customFormat="1" x14ac:dyDescent="0.2">
      <c r="A196" s="588">
        <v>11</v>
      </c>
      <c r="B196" s="587" t="s">
        <v>820</v>
      </c>
      <c r="C196" s="589">
        <v>5236454</v>
      </c>
      <c r="D196" s="589">
        <v>6414248</v>
      </c>
      <c r="E196" s="622">
        <f t="shared" si="22"/>
        <v>1177794</v>
      </c>
    </row>
    <row r="197" spans="1:5" s="421" customFormat="1" x14ac:dyDescent="0.2">
      <c r="A197" s="588">
        <v>12</v>
      </c>
      <c r="B197" s="587" t="s">
        <v>710</v>
      </c>
      <c r="C197" s="589">
        <v>426496000</v>
      </c>
      <c r="D197" s="589">
        <v>443456000</v>
      </c>
      <c r="E197" s="622">
        <f t="shared" si="22"/>
        <v>16960000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656</v>
      </c>
      <c r="C203" s="629">
        <v>6602.9834000000001</v>
      </c>
      <c r="D203" s="629">
        <v>7234.8933900000002</v>
      </c>
      <c r="E203" s="630">
        <f t="shared" ref="E203:E211" si="23">D203-C203</f>
        <v>631.90999000000011</v>
      </c>
    </row>
    <row r="204" spans="1:5" s="421" customFormat="1" x14ac:dyDescent="0.2">
      <c r="A204" s="588">
        <v>2</v>
      </c>
      <c r="B204" s="587" t="s">
        <v>635</v>
      </c>
      <c r="C204" s="629">
        <v>11077.55348</v>
      </c>
      <c r="D204" s="629">
        <v>13042.656000000001</v>
      </c>
      <c r="E204" s="630">
        <f t="shared" si="23"/>
        <v>1965.1025200000004</v>
      </c>
    </row>
    <row r="205" spans="1:5" s="421" customFormat="1" x14ac:dyDescent="0.2">
      <c r="A205" s="588">
        <v>3</v>
      </c>
      <c r="B205" s="587" t="s">
        <v>777</v>
      </c>
      <c r="C205" s="629">
        <f>C206+C207</f>
        <v>6490.8629100000007</v>
      </c>
      <c r="D205" s="629">
        <f>D206+D207</f>
        <v>6669.4368000000004</v>
      </c>
      <c r="E205" s="630">
        <f t="shared" si="23"/>
        <v>178.57388999999966</v>
      </c>
    </row>
    <row r="206" spans="1:5" s="421" customFormat="1" x14ac:dyDescent="0.2">
      <c r="A206" s="588">
        <v>4</v>
      </c>
      <c r="B206" s="587" t="s">
        <v>115</v>
      </c>
      <c r="C206" s="629">
        <v>6490.8629100000007</v>
      </c>
      <c r="D206" s="629">
        <v>6669.4368000000004</v>
      </c>
      <c r="E206" s="630">
        <f t="shared" si="23"/>
        <v>178.57388999999966</v>
      </c>
    </row>
    <row r="207" spans="1:5" s="421" customFormat="1" x14ac:dyDescent="0.2">
      <c r="A207" s="588">
        <v>5</v>
      </c>
      <c r="B207" s="587" t="s">
        <v>743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35.045809999999996</v>
      </c>
      <c r="D208" s="629">
        <v>13.7608</v>
      </c>
      <c r="E208" s="630">
        <f t="shared" si="23"/>
        <v>-21.285009999999996</v>
      </c>
    </row>
    <row r="209" spans="1:5" s="421" customFormat="1" x14ac:dyDescent="0.2">
      <c r="A209" s="588">
        <v>7</v>
      </c>
      <c r="B209" s="587" t="s">
        <v>758</v>
      </c>
      <c r="C209" s="629">
        <v>253.97735</v>
      </c>
      <c r="D209" s="629">
        <v>813.81735000000003</v>
      </c>
      <c r="E209" s="630">
        <f t="shared" si="23"/>
        <v>559.84</v>
      </c>
    </row>
    <row r="210" spans="1:5" s="421" customFormat="1" x14ac:dyDescent="0.2">
      <c r="A210" s="588"/>
      <c r="B210" s="592" t="s">
        <v>823</v>
      </c>
      <c r="C210" s="631">
        <f>C204+C205+C208</f>
        <v>17603.462200000002</v>
      </c>
      <c r="D210" s="631">
        <f>D204+D205+D208</f>
        <v>19725.853600000002</v>
      </c>
      <c r="E210" s="632">
        <f t="shared" si="23"/>
        <v>2122.3914000000004</v>
      </c>
    </row>
    <row r="211" spans="1:5" s="421" customFormat="1" x14ac:dyDescent="0.2">
      <c r="A211" s="588"/>
      <c r="B211" s="592" t="s">
        <v>724</v>
      </c>
      <c r="C211" s="631">
        <f>C210+C203</f>
        <v>24206.445600000003</v>
      </c>
      <c r="D211" s="631">
        <f>D210+D203</f>
        <v>26960.746990000003</v>
      </c>
      <c r="E211" s="632">
        <f t="shared" si="23"/>
        <v>2754.3013900000005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656</v>
      </c>
      <c r="C215" s="633">
        <f>IF(C14*C137=0,0,C25/C14*C137)</f>
        <v>8630.8127584756839</v>
      </c>
      <c r="D215" s="633">
        <f>IF(D14*D137=0,0,D25/D14*D137)</f>
        <v>8747.2974147793775</v>
      </c>
      <c r="E215" s="633">
        <f t="shared" ref="E215:E223" si="24">D215-C215</f>
        <v>116.48465630369355</v>
      </c>
    </row>
    <row r="216" spans="1:5" s="421" customFormat="1" x14ac:dyDescent="0.2">
      <c r="A216" s="588">
        <v>2</v>
      </c>
      <c r="B216" s="587" t="s">
        <v>635</v>
      </c>
      <c r="C216" s="633">
        <f>IF(C15*C138=0,0,C26/C15*C138)</f>
        <v>4114.7602769513651</v>
      </c>
      <c r="D216" s="633">
        <f>IF(D15*D138=0,0,D26/D15*D138)</f>
        <v>4369.2438622441632</v>
      </c>
      <c r="E216" s="633">
        <f t="shared" si="24"/>
        <v>254.48358529279813</v>
      </c>
    </row>
    <row r="217" spans="1:5" s="421" customFormat="1" x14ac:dyDescent="0.2">
      <c r="A217" s="588">
        <v>3</v>
      </c>
      <c r="B217" s="587" t="s">
        <v>777</v>
      </c>
      <c r="C217" s="633">
        <f>C218+C219</f>
        <v>7534.6039110398069</v>
      </c>
      <c r="D217" s="633">
        <f>D218+D219</f>
        <v>8613.1452239248101</v>
      </c>
      <c r="E217" s="633">
        <f t="shared" si="24"/>
        <v>1078.5413128850032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7534.6039110398069</v>
      </c>
      <c r="D218" s="633">
        <f t="shared" si="25"/>
        <v>8613.1452239248101</v>
      </c>
      <c r="E218" s="633">
        <f t="shared" si="24"/>
        <v>1078.5413128850032</v>
      </c>
    </row>
    <row r="219" spans="1:5" s="421" customFormat="1" x14ac:dyDescent="0.2">
      <c r="A219" s="588">
        <v>5</v>
      </c>
      <c r="B219" s="587" t="s">
        <v>743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33.351775879062856</v>
      </c>
      <c r="D220" s="633">
        <f t="shared" si="25"/>
        <v>32.604402593889589</v>
      </c>
      <c r="E220" s="633">
        <f t="shared" si="24"/>
        <v>-0.74737328517326773</v>
      </c>
    </row>
    <row r="221" spans="1:5" s="421" customFormat="1" x14ac:dyDescent="0.2">
      <c r="A221" s="588">
        <v>7</v>
      </c>
      <c r="B221" s="587" t="s">
        <v>758</v>
      </c>
      <c r="C221" s="633">
        <f t="shared" si="25"/>
        <v>995.21691582336859</v>
      </c>
      <c r="D221" s="633">
        <f t="shared" si="25"/>
        <v>1288.6239897043286</v>
      </c>
      <c r="E221" s="633">
        <f t="shared" si="24"/>
        <v>293.40707388095996</v>
      </c>
    </row>
    <row r="222" spans="1:5" s="421" customFormat="1" x14ac:dyDescent="0.2">
      <c r="A222" s="588"/>
      <c r="B222" s="592" t="s">
        <v>825</v>
      </c>
      <c r="C222" s="634">
        <f>C216+C218+C219+C220</f>
        <v>11682.715963870234</v>
      </c>
      <c r="D222" s="634">
        <f>D216+D218+D219+D220</f>
        <v>13014.993488762862</v>
      </c>
      <c r="E222" s="634">
        <f t="shared" si="24"/>
        <v>1332.2775248926282</v>
      </c>
    </row>
    <row r="223" spans="1:5" s="421" customFormat="1" x14ac:dyDescent="0.2">
      <c r="A223" s="588"/>
      <c r="B223" s="592" t="s">
        <v>826</v>
      </c>
      <c r="C223" s="634">
        <f>C215+C222</f>
        <v>20313.528722345916</v>
      </c>
      <c r="D223" s="634">
        <f>D215+D222</f>
        <v>21762.290903542242</v>
      </c>
      <c r="E223" s="634">
        <f t="shared" si="24"/>
        <v>1448.7621811963254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656</v>
      </c>
      <c r="C227" s="636">
        <f t="shared" ref="C227:D235" si="26">IF(C203=0,0,C47/C203)</f>
        <v>12913.350047192303</v>
      </c>
      <c r="D227" s="636">
        <f t="shared" si="26"/>
        <v>14299.456733252568</v>
      </c>
      <c r="E227" s="636">
        <f t="shared" ref="E227:E235" si="27">D227-C227</f>
        <v>1386.1066860602641</v>
      </c>
    </row>
    <row r="228" spans="1:5" s="421" customFormat="1" x14ac:dyDescent="0.2">
      <c r="A228" s="588">
        <v>2</v>
      </c>
      <c r="B228" s="587" t="s">
        <v>635</v>
      </c>
      <c r="C228" s="636">
        <f t="shared" si="26"/>
        <v>11040.956129963093</v>
      </c>
      <c r="D228" s="636">
        <f t="shared" si="26"/>
        <v>10836.05149135268</v>
      </c>
      <c r="E228" s="636">
        <f t="shared" si="27"/>
        <v>-204.9046386104128</v>
      </c>
    </row>
    <row r="229" spans="1:5" s="421" customFormat="1" x14ac:dyDescent="0.2">
      <c r="A229" s="588">
        <v>3</v>
      </c>
      <c r="B229" s="587" t="s">
        <v>777</v>
      </c>
      <c r="C229" s="636">
        <f t="shared" si="26"/>
        <v>7684.0472047498524</v>
      </c>
      <c r="D229" s="636">
        <f t="shared" si="26"/>
        <v>6045.6316191496107</v>
      </c>
      <c r="E229" s="636">
        <f t="shared" si="27"/>
        <v>-1638.4155856002417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7684.0472047498524</v>
      </c>
      <c r="D230" s="636">
        <f t="shared" si="26"/>
        <v>6045.6316191496107</v>
      </c>
      <c r="E230" s="636">
        <f t="shared" si="27"/>
        <v>-1638.4155856002417</v>
      </c>
    </row>
    <row r="231" spans="1:5" s="421" customFormat="1" x14ac:dyDescent="0.2">
      <c r="A231" s="588">
        <v>5</v>
      </c>
      <c r="B231" s="587" t="s">
        <v>743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5275.9231417393412</v>
      </c>
      <c r="D232" s="636">
        <f t="shared" si="26"/>
        <v>6675.6293238765193</v>
      </c>
      <c r="E232" s="636">
        <f t="shared" si="27"/>
        <v>1399.7061821371781</v>
      </c>
    </row>
    <row r="233" spans="1:5" s="421" customFormat="1" x14ac:dyDescent="0.2">
      <c r="A233" s="588">
        <v>7</v>
      </c>
      <c r="B233" s="587" t="s">
        <v>758</v>
      </c>
      <c r="C233" s="636">
        <f t="shared" si="26"/>
        <v>7496.231455285284</v>
      </c>
      <c r="D233" s="636">
        <f t="shared" si="26"/>
        <v>12839.624271957337</v>
      </c>
      <c r="E233" s="636">
        <f t="shared" si="27"/>
        <v>5343.3928166720525</v>
      </c>
    </row>
    <row r="234" spans="1:5" x14ac:dyDescent="0.2">
      <c r="A234" s="588"/>
      <c r="B234" s="592" t="s">
        <v>828</v>
      </c>
      <c r="C234" s="637">
        <f t="shared" si="26"/>
        <v>9791.6975673115012</v>
      </c>
      <c r="D234" s="637">
        <f t="shared" si="26"/>
        <v>9213.4776869681318</v>
      </c>
      <c r="E234" s="637">
        <f t="shared" si="27"/>
        <v>-578.21988034336937</v>
      </c>
    </row>
    <row r="235" spans="1:5" s="421" customFormat="1" x14ac:dyDescent="0.2">
      <c r="A235" s="588"/>
      <c r="B235" s="592" t="s">
        <v>829</v>
      </c>
      <c r="C235" s="637">
        <f t="shared" si="26"/>
        <v>10643.215375660107</v>
      </c>
      <c r="D235" s="637">
        <f t="shared" si="26"/>
        <v>10578.295813012262</v>
      </c>
      <c r="E235" s="637">
        <f t="shared" si="27"/>
        <v>-64.919562647844941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656</v>
      </c>
      <c r="C239" s="636">
        <f t="shared" ref="C239:D247" si="28">IF(C215=0,0,C58/C215)</f>
        <v>13061.952698405028</v>
      </c>
      <c r="D239" s="636">
        <f t="shared" si="28"/>
        <v>14178.750889440078</v>
      </c>
      <c r="E239" s="638">
        <f t="shared" ref="E239:E247" si="29">D239-C239</f>
        <v>1116.79819103505</v>
      </c>
    </row>
    <row r="240" spans="1:5" s="421" customFormat="1" x14ac:dyDescent="0.2">
      <c r="A240" s="588">
        <v>2</v>
      </c>
      <c r="B240" s="587" t="s">
        <v>635</v>
      </c>
      <c r="C240" s="636">
        <f t="shared" si="28"/>
        <v>9035.8197069859234</v>
      </c>
      <c r="D240" s="636">
        <f t="shared" si="28"/>
        <v>9067.8326156989333</v>
      </c>
      <c r="E240" s="638">
        <f t="shared" si="29"/>
        <v>32.012908713009892</v>
      </c>
    </row>
    <row r="241" spans="1:5" x14ac:dyDescent="0.2">
      <c r="A241" s="588">
        <v>3</v>
      </c>
      <c r="B241" s="587" t="s">
        <v>777</v>
      </c>
      <c r="C241" s="636">
        <f t="shared" si="28"/>
        <v>5659.3330589710304</v>
      </c>
      <c r="D241" s="636">
        <f t="shared" si="28"/>
        <v>5013.9656161888252</v>
      </c>
      <c r="E241" s="638">
        <f t="shared" si="29"/>
        <v>-645.36744278220522</v>
      </c>
    </row>
    <row r="242" spans="1:5" x14ac:dyDescent="0.2">
      <c r="A242" s="588">
        <v>4</v>
      </c>
      <c r="B242" s="587" t="s">
        <v>115</v>
      </c>
      <c r="C242" s="636">
        <f t="shared" si="28"/>
        <v>5659.3330589710304</v>
      </c>
      <c r="D242" s="636">
        <f t="shared" si="28"/>
        <v>5013.9656161888252</v>
      </c>
      <c r="E242" s="638">
        <f t="shared" si="29"/>
        <v>-645.36744278220522</v>
      </c>
    </row>
    <row r="243" spans="1:5" x14ac:dyDescent="0.2">
      <c r="A243" s="588">
        <v>5</v>
      </c>
      <c r="B243" s="587" t="s">
        <v>743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16385.574248928289</v>
      </c>
      <c r="D244" s="636">
        <f t="shared" si="28"/>
        <v>5552.9310644057223</v>
      </c>
      <c r="E244" s="638">
        <f t="shared" si="29"/>
        <v>-10832.643184522567</v>
      </c>
    </row>
    <row r="245" spans="1:5" x14ac:dyDescent="0.2">
      <c r="A245" s="588">
        <v>7</v>
      </c>
      <c r="B245" s="587" t="s">
        <v>758</v>
      </c>
      <c r="C245" s="636">
        <f t="shared" si="28"/>
        <v>12020.867822672</v>
      </c>
      <c r="D245" s="636">
        <f t="shared" si="28"/>
        <v>12737.436312796021</v>
      </c>
      <c r="E245" s="638">
        <f t="shared" si="29"/>
        <v>716.56849012402017</v>
      </c>
    </row>
    <row r="246" spans="1:5" ht="25.5" x14ac:dyDescent="0.2">
      <c r="A246" s="588"/>
      <c r="B246" s="592" t="s">
        <v>831</v>
      </c>
      <c r="C246" s="637">
        <f t="shared" si="28"/>
        <v>6879.1840226659033</v>
      </c>
      <c r="D246" s="637">
        <f t="shared" si="28"/>
        <v>6376.2333858753454</v>
      </c>
      <c r="E246" s="639">
        <f t="shared" si="29"/>
        <v>-502.95063679055784</v>
      </c>
    </row>
    <row r="247" spans="1:5" x14ac:dyDescent="0.2">
      <c r="A247" s="588"/>
      <c r="B247" s="592" t="s">
        <v>832</v>
      </c>
      <c r="C247" s="637">
        <f t="shared" si="28"/>
        <v>9506.1189830389758</v>
      </c>
      <c r="D247" s="637">
        <f t="shared" si="28"/>
        <v>9512.4354286756025</v>
      </c>
      <c r="E247" s="639">
        <f t="shared" si="29"/>
        <v>6.3164456366266677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760</v>
      </c>
      <c r="B249" s="626" t="s">
        <v>757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25440489.503706701</v>
      </c>
      <c r="D251" s="622">
        <f>((IF((IF(D15=0,0,D26/D15)*D138)=0,0,D59/(IF(D15=0,0,D26/D15)*D138)))-(IF((IF(D17=0,0,D28/D17)*D140)=0,0,D61/(IF(D17=0,0,D28/D17)*D140))))*(IF(D17=0,0,D28/D17)*D140)</f>
        <v>34916545.185256891</v>
      </c>
      <c r="E251" s="622">
        <f>D251-C251</f>
        <v>9476055.6815501899</v>
      </c>
    </row>
    <row r="252" spans="1:5" x14ac:dyDescent="0.2">
      <c r="A252" s="588">
        <v>2</v>
      </c>
      <c r="B252" s="587" t="s">
        <v>743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758</v>
      </c>
      <c r="C253" s="622">
        <f>IF(C233=0,0,(C228-C233)*C209+IF(C221=0,0,(C240-C245)*C221))</f>
        <v>-2070490.5999231734</v>
      </c>
      <c r="D253" s="622">
        <f>IF(D233=0,0,(D228-D233)*D209+IF(D221=0,0,(D240-D245)*D221))</f>
        <v>-6359281.6476308154</v>
      </c>
      <c r="E253" s="622">
        <f>D253-C253</f>
        <v>-4288791.0477076415</v>
      </c>
    </row>
    <row r="254" spans="1:5" ht="15" customHeight="1" x14ac:dyDescent="0.2">
      <c r="A254" s="588"/>
      <c r="B254" s="592" t="s">
        <v>759</v>
      </c>
      <c r="C254" s="640">
        <f>+C251+C252+C253</f>
        <v>23369998.903783526</v>
      </c>
      <c r="D254" s="640">
        <f>+D251+D252+D253</f>
        <v>28557263.537626076</v>
      </c>
      <c r="E254" s="640">
        <f>D254-C254</f>
        <v>5187264.6338425502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725</v>
      </c>
      <c r="C258" s="622">
        <f>+C44</f>
        <v>1693079737</v>
      </c>
      <c r="D258" s="625">
        <f>+D44</f>
        <v>1759987340</v>
      </c>
      <c r="E258" s="622">
        <f t="shared" ref="E258:E271" si="30">D258-C258</f>
        <v>66907603</v>
      </c>
    </row>
    <row r="259" spans="1:5" x14ac:dyDescent="0.2">
      <c r="A259" s="588">
        <v>2</v>
      </c>
      <c r="B259" s="587" t="s">
        <v>742</v>
      </c>
      <c r="C259" s="622">
        <f>+(C43-C76)</f>
        <v>895491283</v>
      </c>
      <c r="D259" s="625">
        <f>+(D43-D76)</f>
        <v>947162598</v>
      </c>
      <c r="E259" s="622">
        <f t="shared" si="30"/>
        <v>51671315</v>
      </c>
    </row>
    <row r="260" spans="1:5" x14ac:dyDescent="0.2">
      <c r="A260" s="588">
        <v>3</v>
      </c>
      <c r="B260" s="587" t="s">
        <v>746</v>
      </c>
      <c r="C260" s="622">
        <f>C195</f>
        <v>68855500</v>
      </c>
      <c r="D260" s="622">
        <f>D195</f>
        <v>50129100</v>
      </c>
      <c r="E260" s="622">
        <f t="shared" si="30"/>
        <v>-18726400</v>
      </c>
    </row>
    <row r="261" spans="1:5" x14ac:dyDescent="0.2">
      <c r="A261" s="588">
        <v>4</v>
      </c>
      <c r="B261" s="587" t="s">
        <v>747</v>
      </c>
      <c r="C261" s="622">
        <f>C188</f>
        <v>177392491</v>
      </c>
      <c r="D261" s="622">
        <f>D188</f>
        <v>194273125</v>
      </c>
      <c r="E261" s="622">
        <f t="shared" si="30"/>
        <v>16880634</v>
      </c>
    </row>
    <row r="262" spans="1:5" x14ac:dyDescent="0.2">
      <c r="A262" s="588">
        <v>5</v>
      </c>
      <c r="B262" s="587" t="s">
        <v>748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749</v>
      </c>
      <c r="C263" s="622">
        <f>+C259+C260+C261+C262</f>
        <v>1141739274</v>
      </c>
      <c r="D263" s="622">
        <f>+D259+D260+D261+D262</f>
        <v>1191564823</v>
      </c>
      <c r="E263" s="622">
        <f t="shared" si="30"/>
        <v>49825549</v>
      </c>
    </row>
    <row r="264" spans="1:5" x14ac:dyDescent="0.2">
      <c r="A264" s="588">
        <v>7</v>
      </c>
      <c r="B264" s="587" t="s">
        <v>654</v>
      </c>
      <c r="C264" s="622">
        <f>+C258-C263</f>
        <v>551340463</v>
      </c>
      <c r="D264" s="622">
        <f>+D258-D263</f>
        <v>568422517</v>
      </c>
      <c r="E264" s="622">
        <f t="shared" si="30"/>
        <v>17082054</v>
      </c>
    </row>
    <row r="265" spans="1:5" x14ac:dyDescent="0.2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836</v>
      </c>
      <c r="C266" s="622">
        <f>+C264+C265</f>
        <v>551340463</v>
      </c>
      <c r="D266" s="622">
        <f>+D264+D265</f>
        <v>568422517</v>
      </c>
      <c r="E266" s="641">
        <f t="shared" si="30"/>
        <v>17082054</v>
      </c>
    </row>
    <row r="267" spans="1:5" x14ac:dyDescent="0.2">
      <c r="A267" s="588">
        <v>10</v>
      </c>
      <c r="B267" s="587" t="s">
        <v>837</v>
      </c>
      <c r="C267" s="642">
        <f>IF(C258=0,0,C266/C258)</f>
        <v>0.32564353051494821</v>
      </c>
      <c r="D267" s="642">
        <f>IF(D258=0,0,D266/D258)</f>
        <v>0.32296966238404873</v>
      </c>
      <c r="E267" s="643">
        <f t="shared" si="30"/>
        <v>-2.6738681308994816E-3</v>
      </c>
    </row>
    <row r="268" spans="1:5" x14ac:dyDescent="0.2">
      <c r="A268" s="588">
        <v>11</v>
      </c>
      <c r="B268" s="587" t="s">
        <v>716</v>
      </c>
      <c r="C268" s="622">
        <f>+C260*C267</f>
        <v>22422348.115372017</v>
      </c>
      <c r="D268" s="644">
        <f>+D260*D267</f>
        <v>16190178.502616217</v>
      </c>
      <c r="E268" s="622">
        <f t="shared" si="30"/>
        <v>-6232169.6127557997</v>
      </c>
    </row>
    <row r="269" spans="1:5" x14ac:dyDescent="0.2">
      <c r="A269" s="588">
        <v>12</v>
      </c>
      <c r="B269" s="587" t="s">
        <v>838</v>
      </c>
      <c r="C269" s="622">
        <f>((C17+C18+C28+C29)*C267)-(C50+C51+C61+C62)</f>
        <v>75703588.820979953</v>
      </c>
      <c r="D269" s="644">
        <f>((D17+D18+D28+D29)*D267)-(D50+D51+D61+D62)</f>
        <v>87796865.22508812</v>
      </c>
      <c r="E269" s="622">
        <f t="shared" si="30"/>
        <v>12093276.404108167</v>
      </c>
    </row>
    <row r="270" spans="1:5" s="648" customFormat="1" x14ac:dyDescent="0.2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840</v>
      </c>
      <c r="C271" s="622">
        <f>+C268+C269+C270</f>
        <v>98125936.93635197</v>
      </c>
      <c r="D271" s="622">
        <f>+D268+D269+D270</f>
        <v>103987043.72770433</v>
      </c>
      <c r="E271" s="625">
        <f t="shared" si="30"/>
        <v>5861106.7913523614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843</v>
      </c>
      <c r="C275" s="425"/>
      <c r="D275" s="425"/>
      <c r="E275" s="596"/>
    </row>
    <row r="276" spans="1:5" x14ac:dyDescent="0.2">
      <c r="A276" s="588">
        <v>1</v>
      </c>
      <c r="B276" s="587" t="s">
        <v>656</v>
      </c>
      <c r="C276" s="623">
        <f t="shared" ref="C276:D284" si="31">IF(C14=0,0,+C47/C14)</f>
        <v>0.4182030328454524</v>
      </c>
      <c r="D276" s="623">
        <f t="shared" si="31"/>
        <v>0.48155206964337943</v>
      </c>
      <c r="E276" s="650">
        <f t="shared" ref="E276:E284" si="32">D276-C276</f>
        <v>6.3349036797927027E-2</v>
      </c>
    </row>
    <row r="277" spans="1:5" x14ac:dyDescent="0.2">
      <c r="A277" s="588">
        <v>2</v>
      </c>
      <c r="B277" s="587" t="s">
        <v>635</v>
      </c>
      <c r="C277" s="623">
        <f t="shared" si="31"/>
        <v>0.30935325088854393</v>
      </c>
      <c r="D277" s="623">
        <f t="shared" si="31"/>
        <v>0.32238310179770591</v>
      </c>
      <c r="E277" s="650">
        <f t="shared" si="32"/>
        <v>1.3029850909161977E-2</v>
      </c>
    </row>
    <row r="278" spans="1:5" x14ac:dyDescent="0.2">
      <c r="A278" s="588">
        <v>3</v>
      </c>
      <c r="B278" s="587" t="s">
        <v>777</v>
      </c>
      <c r="C278" s="623">
        <f t="shared" si="31"/>
        <v>0.21665518321714269</v>
      </c>
      <c r="D278" s="623">
        <f t="shared" si="31"/>
        <v>0.18095030436446433</v>
      </c>
      <c r="E278" s="650">
        <f t="shared" si="32"/>
        <v>-3.5704878852678368E-2</v>
      </c>
    </row>
    <row r="279" spans="1:5" x14ac:dyDescent="0.2">
      <c r="A279" s="588">
        <v>4</v>
      </c>
      <c r="B279" s="587" t="s">
        <v>115</v>
      </c>
      <c r="C279" s="623">
        <f t="shared" si="31"/>
        <v>0.21665518321714269</v>
      </c>
      <c r="D279" s="623">
        <f t="shared" si="31"/>
        <v>0.18095030436446433</v>
      </c>
      <c r="E279" s="650">
        <f t="shared" si="32"/>
        <v>-3.5704878852678368E-2</v>
      </c>
    </row>
    <row r="280" spans="1:5" x14ac:dyDescent="0.2">
      <c r="A280" s="588">
        <v>5</v>
      </c>
      <c r="B280" s="587" t="s">
        <v>743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0.15483849897122701</v>
      </c>
      <c r="D281" s="623">
        <f t="shared" si="31"/>
        <v>0.2238631018961908</v>
      </c>
      <c r="E281" s="650">
        <f t="shared" si="32"/>
        <v>6.902460292496379E-2</v>
      </c>
    </row>
    <row r="282" spans="1:5" x14ac:dyDescent="0.2">
      <c r="A282" s="588">
        <v>7</v>
      </c>
      <c r="B282" s="587" t="s">
        <v>758</v>
      </c>
      <c r="C282" s="623">
        <f t="shared" si="31"/>
        <v>0.23319565624520394</v>
      </c>
      <c r="D282" s="623">
        <f t="shared" si="31"/>
        <v>0.51709506160809893</v>
      </c>
      <c r="E282" s="650">
        <f t="shared" si="32"/>
        <v>0.28389940536289499</v>
      </c>
    </row>
    <row r="283" spans="1:5" ht="29.25" customHeight="1" x14ac:dyDescent="0.2">
      <c r="A283" s="588"/>
      <c r="B283" s="592" t="s">
        <v>844</v>
      </c>
      <c r="C283" s="651">
        <f t="shared" si="31"/>
        <v>0.27501112694972113</v>
      </c>
      <c r="D283" s="651">
        <f t="shared" si="31"/>
        <v>0.27468941097303956</v>
      </c>
      <c r="E283" s="652">
        <f t="shared" si="32"/>
        <v>-3.2171597668156915E-4</v>
      </c>
    </row>
    <row r="284" spans="1:5" x14ac:dyDescent="0.2">
      <c r="A284" s="588"/>
      <c r="B284" s="592" t="s">
        <v>845</v>
      </c>
      <c r="C284" s="651">
        <f t="shared" si="31"/>
        <v>0.31015825933561753</v>
      </c>
      <c r="D284" s="651">
        <f t="shared" si="31"/>
        <v>0.32539471469375458</v>
      </c>
      <c r="E284" s="652">
        <f t="shared" si="32"/>
        <v>1.5236455358137058E-2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846</v>
      </c>
      <c r="C286" s="596"/>
      <c r="D286" s="596"/>
      <c r="E286" s="596"/>
    </row>
    <row r="287" spans="1:5" x14ac:dyDescent="0.2">
      <c r="A287" s="588">
        <v>1</v>
      </c>
      <c r="B287" s="587" t="s">
        <v>656</v>
      </c>
      <c r="C287" s="623">
        <f t="shared" ref="C287:D295" si="33">IF(C25=0,0,+C58/C25)</f>
        <v>0.33063590584662639</v>
      </c>
      <c r="D287" s="623">
        <f t="shared" si="33"/>
        <v>0.37216167415416512</v>
      </c>
      <c r="E287" s="650">
        <f t="shared" ref="E287:E295" si="34">D287-C287</f>
        <v>4.1525768307538735E-2</v>
      </c>
    </row>
    <row r="288" spans="1:5" x14ac:dyDescent="0.2">
      <c r="A288" s="588">
        <v>2</v>
      </c>
      <c r="B288" s="587" t="s">
        <v>635</v>
      </c>
      <c r="C288" s="623">
        <f t="shared" si="33"/>
        <v>0.15902160255641842</v>
      </c>
      <c r="D288" s="623">
        <f t="shared" si="33"/>
        <v>0.16381883984311724</v>
      </c>
      <c r="E288" s="650">
        <f t="shared" si="34"/>
        <v>4.7972372866988133E-3</v>
      </c>
    </row>
    <row r="289" spans="1:5" x14ac:dyDescent="0.2">
      <c r="A289" s="588">
        <v>3</v>
      </c>
      <c r="B289" s="587" t="s">
        <v>777</v>
      </c>
      <c r="C289" s="623">
        <f t="shared" si="33"/>
        <v>0.14890162924323377</v>
      </c>
      <c r="D289" s="623">
        <f t="shared" si="33"/>
        <v>0.14040882885201586</v>
      </c>
      <c r="E289" s="650">
        <f t="shared" si="34"/>
        <v>-8.492800391217914E-3</v>
      </c>
    </row>
    <row r="290" spans="1:5" x14ac:dyDescent="0.2">
      <c r="A290" s="588">
        <v>4</v>
      </c>
      <c r="B290" s="587" t="s">
        <v>115</v>
      </c>
      <c r="C290" s="623">
        <f t="shared" si="33"/>
        <v>0.14890162924323377</v>
      </c>
      <c r="D290" s="623">
        <f t="shared" si="33"/>
        <v>0.14040882885201586</v>
      </c>
      <c r="E290" s="650">
        <f t="shared" si="34"/>
        <v>-8.492800391217914E-3</v>
      </c>
    </row>
    <row r="291" spans="1:5" x14ac:dyDescent="0.2">
      <c r="A291" s="588">
        <v>5</v>
      </c>
      <c r="B291" s="587" t="s">
        <v>743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0.42537087472649959</v>
      </c>
      <c r="D292" s="623">
        <f t="shared" si="33"/>
        <v>0.21651544668195011</v>
      </c>
      <c r="E292" s="650">
        <f t="shared" si="34"/>
        <v>-0.20885542804454948</v>
      </c>
    </row>
    <row r="293" spans="1:5" x14ac:dyDescent="0.2">
      <c r="A293" s="588">
        <v>7</v>
      </c>
      <c r="B293" s="587" t="s">
        <v>758</v>
      </c>
      <c r="C293" s="623">
        <f t="shared" si="33"/>
        <v>0.31656052925649109</v>
      </c>
      <c r="D293" s="623">
        <f t="shared" si="33"/>
        <v>0.49481495031702494</v>
      </c>
      <c r="E293" s="650">
        <f t="shared" si="34"/>
        <v>0.17825442106053385</v>
      </c>
    </row>
    <row r="294" spans="1:5" ht="29.25" customHeight="1" x14ac:dyDescent="0.2">
      <c r="A294" s="588"/>
      <c r="B294" s="592" t="s">
        <v>847</v>
      </c>
      <c r="C294" s="651">
        <f t="shared" si="33"/>
        <v>0.15412024829806042</v>
      </c>
      <c r="D294" s="651">
        <f t="shared" si="33"/>
        <v>0.1508136465266271</v>
      </c>
      <c r="E294" s="652">
        <f t="shared" si="34"/>
        <v>-3.3066017714333262E-3</v>
      </c>
    </row>
    <row r="295" spans="1:5" x14ac:dyDescent="0.2">
      <c r="A295" s="588"/>
      <c r="B295" s="592" t="s">
        <v>848</v>
      </c>
      <c r="C295" s="651">
        <f t="shared" si="33"/>
        <v>0.2239067876882142</v>
      </c>
      <c r="D295" s="651">
        <f t="shared" si="33"/>
        <v>0.23430487965314975</v>
      </c>
      <c r="E295" s="652">
        <f t="shared" si="34"/>
        <v>1.0398091964935546E-2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849</v>
      </c>
      <c r="B297" s="579" t="s">
        <v>850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851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450737235</v>
      </c>
      <c r="D301" s="590">
        <f>+D48+D47+D50+D51+D52+D59+D58+D61+D62+D63</f>
        <v>492211144</v>
      </c>
      <c r="E301" s="590">
        <f>D301-C301</f>
        <v>41473909</v>
      </c>
    </row>
    <row r="302" spans="1:5" ht="25.5" x14ac:dyDescent="0.2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450737235</v>
      </c>
      <c r="D303" s="593">
        <f>+D301+D302</f>
        <v>492211144</v>
      </c>
      <c r="E303" s="593">
        <f>D303-C303</f>
        <v>41473909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-11362275</v>
      </c>
      <c r="D305" s="654">
        <v>-26136895</v>
      </c>
      <c r="E305" s="655">
        <f>D305-C305</f>
        <v>-14774620</v>
      </c>
    </row>
    <row r="306" spans="1:5" x14ac:dyDescent="0.2">
      <c r="A306" s="588">
        <v>4</v>
      </c>
      <c r="B306" s="592" t="s">
        <v>855</v>
      </c>
      <c r="C306" s="593">
        <f>+C303+C305+C194+C190-C191</f>
        <v>494840960</v>
      </c>
      <c r="D306" s="593">
        <f>+D303+D305</f>
        <v>466074249</v>
      </c>
      <c r="E306" s="656">
        <f>D306-C306</f>
        <v>-28766711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856</v>
      </c>
      <c r="C308" s="589">
        <v>439374962</v>
      </c>
      <c r="D308" s="589">
        <v>466074249</v>
      </c>
      <c r="E308" s="590">
        <f>D308-C308</f>
        <v>26699287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55465998</v>
      </c>
      <c r="D310" s="658">
        <f>D306-D308</f>
        <v>0</v>
      </c>
      <c r="E310" s="656">
        <f>D310-C310</f>
        <v>-55465998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858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1693079737</v>
      </c>
      <c r="D314" s="590">
        <f>+D14+D15+D16+D19+D25+D26+D27+D30</f>
        <v>1759987340</v>
      </c>
      <c r="E314" s="590">
        <f>D314-C314</f>
        <v>66907603</v>
      </c>
    </row>
    <row r="315" spans="1:5" x14ac:dyDescent="0.2">
      <c r="A315" s="588">
        <v>2</v>
      </c>
      <c r="B315" s="659" t="s">
        <v>860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861</v>
      </c>
      <c r="C316" s="657">
        <f>C314+C315</f>
        <v>1693079737</v>
      </c>
      <c r="D316" s="657">
        <f>D314+D315</f>
        <v>1759987340</v>
      </c>
      <c r="E316" s="593">
        <f>D316-C316</f>
        <v>66907603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862</v>
      </c>
      <c r="C318" s="589">
        <v>1693079737</v>
      </c>
      <c r="D318" s="589">
        <v>1759987341</v>
      </c>
      <c r="E318" s="590">
        <f>D318-C318</f>
        <v>66907604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0</v>
      </c>
      <c r="D320" s="657">
        <f>D316-D318</f>
        <v>-1</v>
      </c>
      <c r="E320" s="593">
        <f>D320-C320</f>
        <v>-1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863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68855500</v>
      </c>
      <c r="D324" s="589">
        <f>+D193+D194</f>
        <v>50129100</v>
      </c>
      <c r="E324" s="590">
        <f>D324-C324</f>
        <v>-18726400</v>
      </c>
    </row>
    <row r="325" spans="1:5" x14ac:dyDescent="0.2">
      <c r="A325" s="588">
        <v>2</v>
      </c>
      <c r="B325" s="587" t="s">
        <v>865</v>
      </c>
      <c r="C325" s="589">
        <v>687500</v>
      </c>
      <c r="D325" s="589">
        <v>750000</v>
      </c>
      <c r="E325" s="590">
        <f>D325-C325</f>
        <v>62500</v>
      </c>
    </row>
    <row r="326" spans="1:5" x14ac:dyDescent="0.2">
      <c r="A326" s="588"/>
      <c r="B326" s="592" t="s">
        <v>866</v>
      </c>
      <c r="C326" s="657">
        <f>C324+C325</f>
        <v>69543000</v>
      </c>
      <c r="D326" s="657">
        <f>D324+D325</f>
        <v>50879100</v>
      </c>
      <c r="E326" s="593">
        <f>D326-C326</f>
        <v>-18663900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867</v>
      </c>
      <c r="C328" s="589">
        <v>69543000</v>
      </c>
      <c r="D328" s="589">
        <v>50879100</v>
      </c>
      <c r="E328" s="590">
        <f>D328-C328</f>
        <v>-18663900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9" fitToHeight="0" orientation="portrait" horizontalDpi="1200" verticalDpi="1200" r:id="rId1"/>
  <headerFooter>
    <oddHeader>_x000D_
                &amp;LOFFICE OF HEALTH CARE ACCESS&amp;CTWELVE MONTHS ACTUAL FILING&amp;RBRIDGEPORT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>
      <selection activeCell="C50" sqref="C50"/>
    </sheetView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629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869</v>
      </c>
      <c r="B5" s="824"/>
      <c r="C5" s="825"/>
      <c r="D5" s="661"/>
    </row>
    <row r="6" spans="1:58" s="662" customFormat="1" ht="15.75" customHeight="1" x14ac:dyDescent="0.25">
      <c r="A6" s="823" t="s">
        <v>870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656</v>
      </c>
      <c r="C14" s="589">
        <v>214836674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635</v>
      </c>
      <c r="C15" s="591">
        <v>438394231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777</v>
      </c>
      <c r="C16" s="591">
        <v>222828904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222828904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743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410349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758</v>
      </c>
      <c r="C20" s="591">
        <v>20207327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778</v>
      </c>
      <c r="C21" s="593">
        <f>SUM(C15+C16+C19)</f>
        <v>661633484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876470158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656</v>
      </c>
      <c r="C25" s="589">
        <v>333257720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635</v>
      </c>
      <c r="C26" s="591">
        <v>241849912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777</v>
      </c>
      <c r="C27" s="591">
        <v>307573351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307573351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743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836199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758</v>
      </c>
      <c r="C31" s="594">
        <v>33171524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780</v>
      </c>
      <c r="C32" s="593">
        <f>SUM(C26+C27+C30)</f>
        <v>550259462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883517182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873</v>
      </c>
      <c r="C36" s="590">
        <f>SUM(C14+C25)</f>
        <v>548094394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874</v>
      </c>
      <c r="C37" s="594">
        <f>SUM(C21+C32)</f>
        <v>1211892946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653</v>
      </c>
      <c r="C38" s="593">
        <f>SUM(+C36+C37)</f>
        <v>1759987340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656</v>
      </c>
      <c r="C41" s="589">
        <v>103455045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635</v>
      </c>
      <c r="C42" s="591">
        <v>141330892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777</v>
      </c>
      <c r="C43" s="591">
        <v>40320958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40320958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743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91862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758</v>
      </c>
      <c r="C47" s="591">
        <v>10449109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790</v>
      </c>
      <c r="C48" s="593">
        <f>SUM(C42+C43+C46)</f>
        <v>181743712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285198757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656</v>
      </c>
      <c r="C52" s="589">
        <v>124025751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635</v>
      </c>
      <c r="C53" s="591">
        <v>39619572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777</v>
      </c>
      <c r="C54" s="591">
        <v>43186014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43186014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743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181050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758</v>
      </c>
      <c r="C58" s="591">
        <v>16413766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792</v>
      </c>
      <c r="C59" s="593">
        <f>SUM(C53+C54+C57)</f>
        <v>82986636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207012387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875</v>
      </c>
      <c r="C63" s="590">
        <f>SUM(C41+C52)</f>
        <v>227480796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876</v>
      </c>
      <c r="C64" s="594">
        <f>SUM(C48+C59)</f>
        <v>264730348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654</v>
      </c>
      <c r="C65" s="593">
        <f>SUM(+C63+C64)</f>
        <v>492211144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656</v>
      </c>
      <c r="C70" s="606">
        <v>5639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635</v>
      </c>
      <c r="C71" s="606">
        <v>7920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777</v>
      </c>
      <c r="C72" s="606">
        <v>6240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6240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743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16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758</v>
      </c>
      <c r="C76" s="621">
        <v>785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807</v>
      </c>
      <c r="C77" s="608">
        <f>SUM(C71+C72+C75)</f>
        <v>14176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19815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656</v>
      </c>
      <c r="C81" s="617">
        <v>1.28301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635</v>
      </c>
      <c r="C82" s="617">
        <v>1.6468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777</v>
      </c>
      <c r="C83" s="617">
        <f>((C73*C84)+(C74*C85))/(C73+C74)</f>
        <v>1.0688200000000001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1.0688200000000001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743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0.86004999999999998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758</v>
      </c>
      <c r="C87" s="617">
        <v>1.03671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812</v>
      </c>
      <c r="C88" s="619">
        <f>((C71*C82)+(C73*C84)+(C74*C85)+(C75*C86))/(C71+C73+C74+C75)</f>
        <v>1.3914964446952598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723</v>
      </c>
      <c r="C89" s="619">
        <f>((C70*C81)+(C71*C82)+(C73*C84)+(C74*C85)+(C75*C86))/(C70+C71+C73+C74+C75)</f>
        <v>1.3606231132980064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814</v>
      </c>
      <c r="C92" s="589">
        <v>481291196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815</v>
      </c>
      <c r="C93" s="622">
        <v>287018071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747</v>
      </c>
      <c r="C95" s="589">
        <f>+C92-C93</f>
        <v>194273125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670</v>
      </c>
      <c r="C96" s="681">
        <f>(+C92-C93)/C92</f>
        <v>0.40364986231744826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762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748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817</v>
      </c>
      <c r="C103" s="589">
        <v>13728345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818</v>
      </c>
      <c r="C104" s="589">
        <v>36400755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819</v>
      </c>
      <c r="C105" s="654">
        <f>+C103+C104</f>
        <v>50129100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820</v>
      </c>
      <c r="C107" s="589">
        <v>6414248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710</v>
      </c>
      <c r="C108" s="589">
        <v>443456000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654</v>
      </c>
      <c r="C114" s="590">
        <f>+C65</f>
        <v>492211144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853</v>
      </c>
      <c r="C116" s="593">
        <f>+C114+C115</f>
        <v>492211144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854</v>
      </c>
      <c r="C118" s="654">
        <v>-26136895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855</v>
      </c>
      <c r="C119" s="656">
        <f>+C116+C118</f>
        <v>466074249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856</v>
      </c>
      <c r="C121" s="589">
        <v>466074249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857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859</v>
      </c>
      <c r="C127" s="590">
        <f>C38</f>
        <v>1759987340</v>
      </c>
      <c r="D127" s="664"/>
      <c r="AR127" s="485"/>
    </row>
    <row r="128" spans="1:58" s="421" customFormat="1" ht="12.75" x14ac:dyDescent="0.2">
      <c r="A128" s="588">
        <v>2</v>
      </c>
      <c r="B128" s="659" t="s">
        <v>860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861</v>
      </c>
      <c r="C129" s="657">
        <f>C127+C128</f>
        <v>1759987340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862</v>
      </c>
      <c r="C131" s="589">
        <v>1759987341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857</v>
      </c>
      <c r="C133" s="657">
        <f>C129-C131</f>
        <v>-1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864</v>
      </c>
      <c r="C137" s="589">
        <f>C105</f>
        <v>50129100</v>
      </c>
      <c r="D137" s="664"/>
      <c r="AR137" s="485"/>
    </row>
    <row r="138" spans="1:44" s="421" customFormat="1" ht="12.75" x14ac:dyDescent="0.2">
      <c r="A138" s="588">
        <v>2</v>
      </c>
      <c r="B138" s="669" t="s">
        <v>880</v>
      </c>
      <c r="C138" s="589">
        <v>750000</v>
      </c>
      <c r="D138" s="664"/>
      <c r="AR138" s="485"/>
    </row>
    <row r="139" spans="1:44" s="421" customFormat="1" ht="12.75" x14ac:dyDescent="0.2">
      <c r="A139" s="588"/>
      <c r="B139" s="671" t="s">
        <v>866</v>
      </c>
      <c r="C139" s="657">
        <f>C137+C138</f>
        <v>50879100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881</v>
      </c>
      <c r="C141" s="589">
        <v>50879100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868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FILING&amp;RBRIDGEPORT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882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884</v>
      </c>
      <c r="C12" s="185">
        <v>1972</v>
      </c>
      <c r="D12" s="185">
        <v>2985</v>
      </c>
      <c r="E12" s="185">
        <f>+D12-C12</f>
        <v>1013</v>
      </c>
      <c r="F12" s="77">
        <f>IF(C12=0,0,+E12/C12)</f>
        <v>0.51369168356997974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885</v>
      </c>
      <c r="C13" s="185">
        <v>1763</v>
      </c>
      <c r="D13" s="185">
        <v>1970</v>
      </c>
      <c r="E13" s="185">
        <f>+D13-C13</f>
        <v>207</v>
      </c>
      <c r="F13" s="77">
        <f>IF(C13=0,0,+E13/C13)</f>
        <v>0.11741349971639252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886</v>
      </c>
      <c r="C15" s="76">
        <v>13389500</v>
      </c>
      <c r="D15" s="76">
        <v>13728345</v>
      </c>
      <c r="E15" s="76">
        <f>+D15-C15</f>
        <v>338845</v>
      </c>
      <c r="F15" s="77">
        <f>IF(C15=0,0,+E15/C15)</f>
        <v>2.5306770230404421E-2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887</v>
      </c>
      <c r="C16" s="79">
        <f>IF(C13=0,0,+C15/+C13)</f>
        <v>7594.7249007373794</v>
      </c>
      <c r="D16" s="79">
        <f>IF(D13=0,0,+D15/+D13)</f>
        <v>6968.703045685279</v>
      </c>
      <c r="E16" s="79">
        <f>+D16-C16</f>
        <v>-626.02185505210036</v>
      </c>
      <c r="F16" s="80">
        <f>IF(C16=0,0,+E16/C16)</f>
        <v>-8.2428509687206608E-2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888</v>
      </c>
      <c r="C18" s="704">
        <v>0.26972099999999999</v>
      </c>
      <c r="D18" s="704">
        <v>0.25112899999999999</v>
      </c>
      <c r="E18" s="704">
        <f>+D18-C18</f>
        <v>-1.8591999999999997E-2</v>
      </c>
      <c r="F18" s="77">
        <f>IF(C18=0,0,+E18/C18)</f>
        <v>-6.8930487429603171E-2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889</v>
      </c>
      <c r="C19" s="79">
        <f>+C15*C18</f>
        <v>3611429.3295</v>
      </c>
      <c r="D19" s="79">
        <f>+D15*D18</f>
        <v>3447585.5515049999</v>
      </c>
      <c r="E19" s="79">
        <f>+D19-C19</f>
        <v>-163843.77799500013</v>
      </c>
      <c r="F19" s="80">
        <f>IF(C19=0,0,+E19/C19)</f>
        <v>-4.5368125206449547E-2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890</v>
      </c>
      <c r="C20" s="79">
        <f>IF(C13=0,0,+C19/C13)</f>
        <v>2048.4567949517868</v>
      </c>
      <c r="D20" s="79">
        <f>IF(D13=0,0,+D19/D13)</f>
        <v>1750.0434271598983</v>
      </c>
      <c r="E20" s="79">
        <f>+D20-C20</f>
        <v>-298.4133677918885</v>
      </c>
      <c r="F20" s="80">
        <f>IF(C20=0,0,+E20/C20)</f>
        <v>-0.14567715976597498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891</v>
      </c>
      <c r="C22" s="76">
        <v>2743485</v>
      </c>
      <c r="D22" s="76">
        <v>3832447</v>
      </c>
      <c r="E22" s="76">
        <f>+D22-C22</f>
        <v>1088962</v>
      </c>
      <c r="F22" s="77">
        <f>IF(C22=0,0,+E22/C22)</f>
        <v>0.39692653686825335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892</v>
      </c>
      <c r="C23" s="185">
        <v>4256896</v>
      </c>
      <c r="D23" s="185">
        <v>5464756</v>
      </c>
      <c r="E23" s="185">
        <f>+D23-C23</f>
        <v>1207860</v>
      </c>
      <c r="F23" s="77">
        <f>IF(C23=0,0,+E23/C23)</f>
        <v>0.2837419565805695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893</v>
      </c>
      <c r="C24" s="185">
        <v>6389119</v>
      </c>
      <c r="D24" s="185">
        <v>4431142</v>
      </c>
      <c r="E24" s="185">
        <f>+D24-C24</f>
        <v>-1957977</v>
      </c>
      <c r="F24" s="77">
        <f>IF(C24=0,0,+E24/C24)</f>
        <v>-0.30645492751035003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894</v>
      </c>
      <c r="C25" s="79">
        <f>+C22+C23+C24</f>
        <v>13389500</v>
      </c>
      <c r="D25" s="79">
        <f>+D22+D23+D24</f>
        <v>13728345</v>
      </c>
      <c r="E25" s="79">
        <f>+E22+E23+E24</f>
        <v>338845</v>
      </c>
      <c r="F25" s="80">
        <f>IF(C25=0,0,+E25/C25)</f>
        <v>2.5306770230404421E-2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895</v>
      </c>
      <c r="C27" s="185">
        <v>3334</v>
      </c>
      <c r="D27" s="185">
        <v>2652</v>
      </c>
      <c r="E27" s="185">
        <f>+D27-C27</f>
        <v>-682</v>
      </c>
      <c r="F27" s="77">
        <f>IF(C27=0,0,+E27/C27)</f>
        <v>-0.20455908818236354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896</v>
      </c>
      <c r="C28" s="185">
        <v>511</v>
      </c>
      <c r="D28" s="185">
        <v>643</v>
      </c>
      <c r="E28" s="185">
        <f>+D28-C28</f>
        <v>132</v>
      </c>
      <c r="F28" s="77">
        <f>IF(C28=0,0,+E28/C28)</f>
        <v>0.2583170254403131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897</v>
      </c>
      <c r="C29" s="185">
        <v>8044</v>
      </c>
      <c r="D29" s="185">
        <v>9508</v>
      </c>
      <c r="E29" s="185">
        <f>+D29-C29</f>
        <v>1464</v>
      </c>
      <c r="F29" s="77">
        <f>IF(C29=0,0,+E29/C29)</f>
        <v>0.18199900546991546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898</v>
      </c>
      <c r="C30" s="185">
        <v>5222</v>
      </c>
      <c r="D30" s="185">
        <v>8213</v>
      </c>
      <c r="E30" s="185">
        <f>+D30-C30</f>
        <v>2991</v>
      </c>
      <c r="F30" s="77">
        <f>IF(C30=0,0,+E30/C30)</f>
        <v>0.57276905400229794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900</v>
      </c>
      <c r="C33" s="76">
        <v>30104291</v>
      </c>
      <c r="D33" s="76">
        <v>10161748</v>
      </c>
      <c r="E33" s="76">
        <f>+D33-C33</f>
        <v>-19942543</v>
      </c>
      <c r="F33" s="77">
        <f>IF(C33=0,0,+E33/C33)</f>
        <v>-0.66244851938217042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901</v>
      </c>
      <c r="C34" s="185">
        <v>16483756</v>
      </c>
      <c r="D34" s="185">
        <v>14489819</v>
      </c>
      <c r="E34" s="185">
        <f>+D34-C34</f>
        <v>-1993937</v>
      </c>
      <c r="F34" s="77">
        <f>IF(C34=0,0,+E34/C34)</f>
        <v>-0.1209637536493503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902</v>
      </c>
      <c r="C35" s="185">
        <v>8877953</v>
      </c>
      <c r="D35" s="185">
        <v>11749188</v>
      </c>
      <c r="E35" s="185">
        <f>+D35-C35</f>
        <v>2871235</v>
      </c>
      <c r="F35" s="77">
        <f>IF(C35=0,0,+E35/C35)</f>
        <v>0.32341182702814492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903</v>
      </c>
      <c r="C36" s="79">
        <f>+C33+C34+C35</f>
        <v>55466000</v>
      </c>
      <c r="D36" s="79">
        <f>+D33+D34+D35</f>
        <v>36400755</v>
      </c>
      <c r="E36" s="79">
        <f>+E33+E34+E35</f>
        <v>-19065245</v>
      </c>
      <c r="F36" s="80">
        <f>IF(C36=0,0,+E36/C36)</f>
        <v>-0.3437285003425522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905</v>
      </c>
      <c r="C39" s="76">
        <f>+C25</f>
        <v>13389500</v>
      </c>
      <c r="D39" s="76">
        <f>+D25</f>
        <v>13728345</v>
      </c>
      <c r="E39" s="76">
        <f>+D39-C39</f>
        <v>338845</v>
      </c>
      <c r="F39" s="77">
        <f>IF(C39=0,0,+E39/C39)</f>
        <v>2.5306770230404421E-2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906</v>
      </c>
      <c r="C40" s="185">
        <f>+C36</f>
        <v>55466000</v>
      </c>
      <c r="D40" s="185">
        <f>+D36</f>
        <v>36400755</v>
      </c>
      <c r="E40" s="185">
        <f>+D40-C40</f>
        <v>-19065245</v>
      </c>
      <c r="F40" s="77">
        <f>IF(C40=0,0,+E40/C40)</f>
        <v>-0.3437285003425522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907</v>
      </c>
      <c r="C41" s="79">
        <f>+C39+C40</f>
        <v>68855500</v>
      </c>
      <c r="D41" s="79">
        <f>+D39+D40</f>
        <v>50129100</v>
      </c>
      <c r="E41" s="79">
        <f>+E39+E40</f>
        <v>-18726400</v>
      </c>
      <c r="F41" s="80">
        <f>IF(C41=0,0,+E41/C41)</f>
        <v>-0.2719666548060794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908</v>
      </c>
      <c r="C43" s="76">
        <f t="shared" ref="C43:D45" si="0">+C22+C33</f>
        <v>32847776</v>
      </c>
      <c r="D43" s="76">
        <f t="shared" si="0"/>
        <v>13994195</v>
      </c>
      <c r="E43" s="76">
        <f>+D43-C43</f>
        <v>-18853581</v>
      </c>
      <c r="F43" s="77">
        <f>IF(C43=0,0,+E43/C43)</f>
        <v>-0.5739682650052168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909</v>
      </c>
      <c r="C44" s="185">
        <f t="shared" si="0"/>
        <v>20740652</v>
      </c>
      <c r="D44" s="185">
        <f t="shared" si="0"/>
        <v>19954575</v>
      </c>
      <c r="E44" s="185">
        <f>+D44-C44</f>
        <v>-786077</v>
      </c>
      <c r="F44" s="77">
        <f>IF(C44=0,0,+E44/C44)</f>
        <v>-3.7900303230583111E-2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910</v>
      </c>
      <c r="C45" s="185">
        <f t="shared" si="0"/>
        <v>15267072</v>
      </c>
      <c r="D45" s="185">
        <f t="shared" si="0"/>
        <v>16180330</v>
      </c>
      <c r="E45" s="185">
        <f>+D45-C45</f>
        <v>913258</v>
      </c>
      <c r="F45" s="77">
        <f>IF(C45=0,0,+E45/C45)</f>
        <v>5.9818804810771835E-2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907</v>
      </c>
      <c r="C46" s="79">
        <f>+C43+C44+C45</f>
        <v>68855500</v>
      </c>
      <c r="D46" s="79">
        <f>+D43+D44+D45</f>
        <v>50129100</v>
      </c>
      <c r="E46" s="79">
        <f>+E43+E44+E45</f>
        <v>-18726400</v>
      </c>
      <c r="F46" s="80">
        <f>IF(C46=0,0,+E46/C46)</f>
        <v>-0.2719666548060794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911</v>
      </c>
      <c r="B48" s="833"/>
      <c r="C48" s="833"/>
      <c r="D48" s="833"/>
      <c r="E48" s="833"/>
      <c r="F48" s="834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FILING&amp;RBRIDGEPORT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912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913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485798950</v>
      </c>
      <c r="D15" s="76">
        <v>481291196</v>
      </c>
      <c r="E15" s="76">
        <f>+D15-C15</f>
        <v>-4507754</v>
      </c>
      <c r="F15" s="77">
        <f>IF(C15=0,0,E15/C15)</f>
        <v>-9.2790525792614421E-3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917</v>
      </c>
      <c r="C17" s="76">
        <v>177392491</v>
      </c>
      <c r="D17" s="76">
        <v>194273125</v>
      </c>
      <c r="E17" s="76">
        <f>+D17-C17</f>
        <v>16880634</v>
      </c>
      <c r="F17" s="77">
        <f>IF(C17=0,0,E17/C17)</f>
        <v>9.515980019695422E-2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918</v>
      </c>
      <c r="C19" s="79">
        <f>+C15-C17</f>
        <v>308406459</v>
      </c>
      <c r="D19" s="79">
        <f>+D15-D17</f>
        <v>287018071</v>
      </c>
      <c r="E19" s="79">
        <f>+D19-C19</f>
        <v>-21388388</v>
      </c>
      <c r="F19" s="80">
        <f>IF(C19=0,0,E19/C19)</f>
        <v>-6.9351297211320731E-2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919</v>
      </c>
      <c r="C21" s="720">
        <f>IF(C15=0,0,C17/C15)</f>
        <v>0.36515618446684578</v>
      </c>
      <c r="D21" s="720">
        <f>IF(D15=0,0,D17/D15)</f>
        <v>0.40364986231744826</v>
      </c>
      <c r="E21" s="720">
        <f>+D21-C21</f>
        <v>3.8493677850602481E-2</v>
      </c>
      <c r="F21" s="80">
        <f>IF(C21=0,0,E21/C21)</f>
        <v>0.1054170228742148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FILING&amp;R&amp;12BRIDGEPORT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921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25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931</v>
      </c>
      <c r="C10" s="744">
        <v>790434049</v>
      </c>
      <c r="D10" s="744">
        <v>830654694</v>
      </c>
      <c r="E10" s="744">
        <v>876470158</v>
      </c>
    </row>
    <row r="11" spans="1:6" ht="26.1" customHeight="1" x14ac:dyDescent="0.25">
      <c r="A11" s="742">
        <v>2</v>
      </c>
      <c r="B11" s="743" t="s">
        <v>932</v>
      </c>
      <c r="C11" s="744">
        <v>722085518</v>
      </c>
      <c r="D11" s="744">
        <v>862425043</v>
      </c>
      <c r="E11" s="744">
        <v>883517182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1512519567</v>
      </c>
      <c r="D12" s="744">
        <f>+D11+D10</f>
        <v>1693079737</v>
      </c>
      <c r="E12" s="744">
        <f>+E11+E10</f>
        <v>1759987340</v>
      </c>
    </row>
    <row r="13" spans="1:6" ht="26.1" customHeight="1" x14ac:dyDescent="0.25">
      <c r="A13" s="742">
        <v>4</v>
      </c>
      <c r="B13" s="743" t="s">
        <v>507</v>
      </c>
      <c r="C13" s="744">
        <v>418827000</v>
      </c>
      <c r="D13" s="744">
        <v>439375000</v>
      </c>
      <c r="E13" s="744">
        <v>466074000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933</v>
      </c>
      <c r="C16" s="744">
        <v>409234000</v>
      </c>
      <c r="D16" s="744">
        <v>426496000</v>
      </c>
      <c r="E16" s="744">
        <v>443456000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97440</v>
      </c>
      <c r="D19" s="747">
        <v>101235</v>
      </c>
      <c r="E19" s="747">
        <v>109472</v>
      </c>
    </row>
    <row r="20" spans="1:5" ht="26.1" customHeight="1" x14ac:dyDescent="0.25">
      <c r="A20" s="742">
        <v>2</v>
      </c>
      <c r="B20" s="743" t="s">
        <v>381</v>
      </c>
      <c r="C20" s="748">
        <v>18453</v>
      </c>
      <c r="D20" s="748">
        <v>18207</v>
      </c>
      <c r="E20" s="748">
        <v>19815</v>
      </c>
    </row>
    <row r="21" spans="1:5" ht="26.1" customHeight="1" x14ac:dyDescent="0.25">
      <c r="A21" s="742">
        <v>3</v>
      </c>
      <c r="B21" s="743" t="s">
        <v>935</v>
      </c>
      <c r="C21" s="749">
        <f>IF(C20=0,0,+C19/C20)</f>
        <v>5.2804422045195905</v>
      </c>
      <c r="D21" s="749">
        <f>IF(D20=0,0,+D19/D20)</f>
        <v>5.5602240896358541</v>
      </c>
      <c r="E21" s="749">
        <f>IF(E20=0,0,+E19/E20)</f>
        <v>5.5247035074438555</v>
      </c>
    </row>
    <row r="22" spans="1:5" ht="26.1" customHeight="1" x14ac:dyDescent="0.25">
      <c r="A22" s="742">
        <v>4</v>
      </c>
      <c r="B22" s="743" t="s">
        <v>936</v>
      </c>
      <c r="C22" s="748">
        <f>IF(C10=0,0,C19*(C12/C10))</f>
        <v>186454.40033224077</v>
      </c>
      <c r="D22" s="748">
        <f>IF(D10=0,0,D19*(D12/D10))</f>
        <v>206341.97147532762</v>
      </c>
      <c r="E22" s="748">
        <f>IF(E10=0,0,E19*(E12/E10))</f>
        <v>219824.18035102118</v>
      </c>
    </row>
    <row r="23" spans="1:5" ht="26.1" customHeight="1" x14ac:dyDescent="0.25">
      <c r="A23" s="742">
        <v>0</v>
      </c>
      <c r="B23" s="743" t="s">
        <v>937</v>
      </c>
      <c r="C23" s="748">
        <f>IF(C10=0,0,C20*(C12/C10))</f>
        <v>35310.376122032416</v>
      </c>
      <c r="D23" s="748">
        <f>IF(D10=0,0,D20*(D12/D10))</f>
        <v>37110.369680953132</v>
      </c>
      <c r="E23" s="748">
        <f>IF(E10=0,0,E20*(E12/E10))</f>
        <v>39789.317210386987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1.3120715146588631</v>
      </c>
      <c r="D26" s="750">
        <v>1.3295131323117482</v>
      </c>
      <c r="E26" s="750">
        <v>1.3606231132980064</v>
      </c>
    </row>
    <row r="27" spans="1:5" ht="26.1" customHeight="1" x14ac:dyDescent="0.25">
      <c r="A27" s="742">
        <v>2</v>
      </c>
      <c r="B27" s="743" t="s">
        <v>939</v>
      </c>
      <c r="C27" s="748">
        <f>C19*C26</f>
        <v>127848.24838835961</v>
      </c>
      <c r="D27" s="748">
        <f>D19*D26</f>
        <v>134593.26194957981</v>
      </c>
      <c r="E27" s="748">
        <f>E19*E26</f>
        <v>148950.13345895938</v>
      </c>
    </row>
    <row r="28" spans="1:5" ht="26.1" customHeight="1" x14ac:dyDescent="0.25">
      <c r="A28" s="742">
        <v>3</v>
      </c>
      <c r="B28" s="743" t="s">
        <v>940</v>
      </c>
      <c r="C28" s="748">
        <f>C20*C26</f>
        <v>24211.65566</v>
      </c>
      <c r="D28" s="748">
        <f>D20*D26</f>
        <v>24206.445599999999</v>
      </c>
      <c r="E28" s="748">
        <f>E20*E26</f>
        <v>26960.746989999996</v>
      </c>
    </row>
    <row r="29" spans="1:5" ht="26.1" customHeight="1" x14ac:dyDescent="0.25">
      <c r="A29" s="742">
        <v>4</v>
      </c>
      <c r="B29" s="743" t="s">
        <v>941</v>
      </c>
      <c r="C29" s="748">
        <f>C22*C26</f>
        <v>244641.50745873316</v>
      </c>
      <c r="D29" s="748">
        <f>D22*D26</f>
        <v>274334.36082354421</v>
      </c>
      <c r="E29" s="748">
        <f>E22*E26</f>
        <v>299097.86064738891</v>
      </c>
    </row>
    <row r="30" spans="1:5" ht="26.1" customHeight="1" x14ac:dyDescent="0.25">
      <c r="A30" s="742">
        <v>5</v>
      </c>
      <c r="B30" s="743" t="s">
        <v>942</v>
      </c>
      <c r="C30" s="748">
        <f>C23*C26</f>
        <v>46329.738681609226</v>
      </c>
      <c r="D30" s="748">
        <f>D23*D26</f>
        <v>49338.723835770928</v>
      </c>
      <c r="E30" s="748">
        <f>E23*E26</f>
        <v>54138.264658798689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944</v>
      </c>
      <c r="C33" s="744">
        <f>IF(C19=0,0,C12/C19)</f>
        <v>15522.573552955664</v>
      </c>
      <c r="D33" s="744">
        <f>IF(D19=0,0,D12/D19)</f>
        <v>16724.252847335407</v>
      </c>
      <c r="E33" s="744">
        <f>IF(E19=0,0,E12/E19)</f>
        <v>16077.054771996492</v>
      </c>
    </row>
    <row r="34" spans="1:5" ht="26.1" customHeight="1" x14ac:dyDescent="0.25">
      <c r="A34" s="742">
        <v>2</v>
      </c>
      <c r="B34" s="743" t="s">
        <v>945</v>
      </c>
      <c r="C34" s="744">
        <f>IF(C20=0,0,C12/C20)</f>
        <v>81966.052511786707</v>
      </c>
      <c r="D34" s="744">
        <f>IF(D20=0,0,D12/D20)</f>
        <v>92990.593562915368</v>
      </c>
      <c r="E34" s="744">
        <f>IF(E20=0,0,E12/E20)</f>
        <v>88820.960888215996</v>
      </c>
    </row>
    <row r="35" spans="1:5" ht="26.1" customHeight="1" x14ac:dyDescent="0.25">
      <c r="A35" s="742">
        <v>3</v>
      </c>
      <c r="B35" s="743" t="s">
        <v>946</v>
      </c>
      <c r="C35" s="744">
        <f>IF(C22=0,0,C12/C22)</f>
        <v>8112.0078920361238</v>
      </c>
      <c r="D35" s="744">
        <f>IF(D22=0,0,D12/D22)</f>
        <v>8205.2125648244182</v>
      </c>
      <c r="E35" s="744">
        <f>IF(E22=0,0,E12/E22)</f>
        <v>8006.3409638994435</v>
      </c>
    </row>
    <row r="36" spans="1:5" ht="26.1" customHeight="1" x14ac:dyDescent="0.25">
      <c r="A36" s="742">
        <v>4</v>
      </c>
      <c r="B36" s="743" t="s">
        <v>947</v>
      </c>
      <c r="C36" s="744">
        <f>IF(C23=0,0,C12/C23)</f>
        <v>42834.988836503551</v>
      </c>
      <c r="D36" s="744">
        <f>IF(D23=0,0,D12/D23)</f>
        <v>45622.820563519526</v>
      </c>
      <c r="E36" s="744">
        <f>IF(E23=0,0,E12/E23)</f>
        <v>44232.66000504668</v>
      </c>
    </row>
    <row r="37" spans="1:5" ht="26.1" customHeight="1" x14ac:dyDescent="0.25">
      <c r="A37" s="742">
        <v>5</v>
      </c>
      <c r="B37" s="743" t="s">
        <v>948</v>
      </c>
      <c r="C37" s="744">
        <f>IF(C29=0,0,C12/C29)</f>
        <v>6182.59584283806</v>
      </c>
      <c r="D37" s="744">
        <f>IF(D29=0,0,D12/D29)</f>
        <v>6171.5919650656269</v>
      </c>
      <c r="E37" s="744">
        <f>IF(E29=0,0,E12/E29)</f>
        <v>5884.3193869409724</v>
      </c>
    </row>
    <row r="38" spans="1:5" ht="26.1" customHeight="1" x14ac:dyDescent="0.25">
      <c r="A38" s="742">
        <v>6</v>
      </c>
      <c r="B38" s="743" t="s">
        <v>949</v>
      </c>
      <c r="C38" s="744">
        <f>IF(C30=0,0,C12/C30)</f>
        <v>32646.840022009463</v>
      </c>
      <c r="D38" s="744">
        <f>IF(D30=0,0,D12/D30)</f>
        <v>34315.434315560975</v>
      </c>
      <c r="E38" s="744">
        <f>IF(E30=0,0,E12/E30)</f>
        <v>32509.119955952676</v>
      </c>
    </row>
    <row r="39" spans="1:5" ht="26.1" customHeight="1" x14ac:dyDescent="0.25">
      <c r="A39" s="742">
        <v>7</v>
      </c>
      <c r="B39" s="743" t="s">
        <v>950</v>
      </c>
      <c r="C39" s="744">
        <f>IF(C22=0,0,C10/C22)</f>
        <v>4239.2887890633601</v>
      </c>
      <c r="D39" s="744">
        <f>IF(D22=0,0,D10/D22)</f>
        <v>4025.6215837276791</v>
      </c>
      <c r="E39" s="744">
        <f>IF(E22=0,0,E10/E22)</f>
        <v>3987.1417084345717</v>
      </c>
    </row>
    <row r="40" spans="1:5" ht="26.1" customHeight="1" x14ac:dyDescent="0.25">
      <c r="A40" s="742">
        <v>8</v>
      </c>
      <c r="B40" s="743" t="s">
        <v>951</v>
      </c>
      <c r="C40" s="744">
        <f>IF(C23=0,0,C10/C23)</f>
        <v>22385.319438916918</v>
      </c>
      <c r="D40" s="744">
        <f>IF(D23=0,0,D10/D23)</f>
        <v>22383.358105600681</v>
      </c>
      <c r="E40" s="744">
        <f>IF(E23=0,0,E10/E23)</f>
        <v>22027.775781264168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953</v>
      </c>
      <c r="C43" s="744">
        <f>IF(C19=0,0,C13/C19)</f>
        <v>4298.3066502463053</v>
      </c>
      <c r="D43" s="744">
        <f>IF(D19=0,0,D13/D19)</f>
        <v>4340.1491578999357</v>
      </c>
      <c r="E43" s="744">
        <f>IF(E19=0,0,E13/E19)</f>
        <v>4257.4722303420049</v>
      </c>
    </row>
    <row r="44" spans="1:5" ht="26.1" customHeight="1" x14ac:dyDescent="0.25">
      <c r="A44" s="742">
        <v>2</v>
      </c>
      <c r="B44" s="743" t="s">
        <v>954</v>
      </c>
      <c r="C44" s="744">
        <f>IF(C20=0,0,C13/C20)</f>
        <v>22696.959843927816</v>
      </c>
      <c r="D44" s="744">
        <f>IF(D20=0,0,D13/D20)</f>
        <v>24132.201900367989</v>
      </c>
      <c r="E44" s="744">
        <f>IF(E20=0,0,E13/E20)</f>
        <v>23521.27176381529</v>
      </c>
    </row>
    <row r="45" spans="1:5" ht="26.1" customHeight="1" x14ac:dyDescent="0.25">
      <c r="A45" s="742">
        <v>3</v>
      </c>
      <c r="B45" s="743" t="s">
        <v>955</v>
      </c>
      <c r="C45" s="744">
        <f>IF(C22=0,0,C13/C22)</f>
        <v>2246.2703977685555</v>
      </c>
      <c r="D45" s="744">
        <f>IF(D22=0,0,D13/D22)</f>
        <v>2129.3535040811425</v>
      </c>
      <c r="E45" s="744">
        <f>IF(E22=0,0,E13/E22)</f>
        <v>2120.2126138069093</v>
      </c>
    </row>
    <row r="46" spans="1:5" ht="26.1" customHeight="1" x14ac:dyDescent="0.25">
      <c r="A46" s="742">
        <v>4</v>
      </c>
      <c r="B46" s="743" t="s">
        <v>956</v>
      </c>
      <c r="C46" s="744">
        <f>IF(C23=0,0,C13/C23)</f>
        <v>11861.301011140091</v>
      </c>
      <c r="D46" s="744">
        <f>IF(D23=0,0,D13/D23)</f>
        <v>11839.682648742486</v>
      </c>
      <c r="E46" s="744">
        <f>IF(E23=0,0,E13/E23)</f>
        <v>11713.546064025737</v>
      </c>
    </row>
    <row r="47" spans="1:5" ht="26.1" customHeight="1" x14ac:dyDescent="0.25">
      <c r="A47" s="742">
        <v>5</v>
      </c>
      <c r="B47" s="743" t="s">
        <v>957</v>
      </c>
      <c r="C47" s="744">
        <f>IF(C29=0,0,C13/C29)</f>
        <v>1712.0030216893956</v>
      </c>
      <c r="D47" s="744">
        <f>IF(D29=0,0,D13/D29)</f>
        <v>1601.6039648879869</v>
      </c>
      <c r="E47" s="744">
        <f>IF(E29=0,0,E13/E29)</f>
        <v>1558.2659099974701</v>
      </c>
    </row>
    <row r="48" spans="1:5" ht="26.1" customHeight="1" x14ac:dyDescent="0.25">
      <c r="A48" s="742">
        <v>6</v>
      </c>
      <c r="B48" s="743" t="s">
        <v>958</v>
      </c>
      <c r="C48" s="744">
        <f>IF(C30=0,0,C13/C30)</f>
        <v>9040.1330099937531</v>
      </c>
      <c r="D48" s="744">
        <f>IF(D30=0,0,D13/D30)</f>
        <v>8905.2769476264803</v>
      </c>
      <c r="E48" s="744">
        <f>IF(E30=0,0,E13/E30)</f>
        <v>8608.9571384932169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960</v>
      </c>
      <c r="C51" s="744">
        <f>IF(C19=0,0,C16/C19)</f>
        <v>4199.85632183908</v>
      </c>
      <c r="D51" s="744">
        <f>IF(D19=0,0,D16/D19)</f>
        <v>4212.9303106633079</v>
      </c>
      <c r="E51" s="744">
        <f>IF(E19=0,0,E16/E19)</f>
        <v>4050.862320958784</v>
      </c>
    </row>
    <row r="52" spans="1:6" ht="26.1" customHeight="1" x14ac:dyDescent="0.25">
      <c r="A52" s="742">
        <v>2</v>
      </c>
      <c r="B52" s="743" t="s">
        <v>961</v>
      </c>
      <c r="C52" s="744">
        <f>IF(C20=0,0,C16/C20)</f>
        <v>22177.098574757492</v>
      </c>
      <c r="D52" s="744">
        <f>IF(D20=0,0,D16/D20)</f>
        <v>23424.83660130719</v>
      </c>
      <c r="E52" s="744">
        <f>IF(E20=0,0,E16/E20)</f>
        <v>22379.81327277315</v>
      </c>
    </row>
    <row r="53" spans="1:6" ht="26.1" customHeight="1" x14ac:dyDescent="0.25">
      <c r="A53" s="742">
        <v>3</v>
      </c>
      <c r="B53" s="743" t="s">
        <v>962</v>
      </c>
      <c r="C53" s="744">
        <f>IF(C22=0,0,C16/C22)</f>
        <v>2194.8208209127329</v>
      </c>
      <c r="D53" s="744">
        <f>IF(D22=0,0,D16/D22)</f>
        <v>2066.9377003165655</v>
      </c>
      <c r="E53" s="744">
        <f>IF(E22=0,0,E16/E22)</f>
        <v>2017.3212941901002</v>
      </c>
    </row>
    <row r="54" spans="1:6" ht="26.1" customHeight="1" x14ac:dyDescent="0.25">
      <c r="A54" s="742">
        <v>4</v>
      </c>
      <c r="B54" s="743" t="s">
        <v>963</v>
      </c>
      <c r="C54" s="744">
        <f>IF(C23=0,0,C16/C23)</f>
        <v>11589.624494105929</v>
      </c>
      <c r="D54" s="744">
        <f>IF(D23=0,0,D16/D23)</f>
        <v>11492.636793076699</v>
      </c>
      <c r="E54" s="744">
        <f>IF(E23=0,0,E16/E23)</f>
        <v>11145.102029653224</v>
      </c>
    </row>
    <row r="55" spans="1:6" ht="26.1" customHeight="1" x14ac:dyDescent="0.25">
      <c r="A55" s="742">
        <v>5</v>
      </c>
      <c r="B55" s="743" t="s">
        <v>964</v>
      </c>
      <c r="C55" s="744">
        <f>IF(C29=0,0,C16/C29)</f>
        <v>1672.7905425821118</v>
      </c>
      <c r="D55" s="744">
        <f>IF(D29=0,0,D16/D29)</f>
        <v>1554.6576036617168</v>
      </c>
      <c r="E55" s="744">
        <f>IF(E29=0,0,E16/E29)</f>
        <v>1482.6451751950081</v>
      </c>
    </row>
    <row r="56" spans="1:6" ht="26.1" customHeight="1" x14ac:dyDescent="0.25">
      <c r="A56" s="742">
        <v>6</v>
      </c>
      <c r="B56" s="743" t="s">
        <v>965</v>
      </c>
      <c r="C56" s="744">
        <f>IF(C30=0,0,C16/C30)</f>
        <v>8833.0737803718075</v>
      </c>
      <c r="D56" s="744">
        <f>IF(D30=0,0,D16/D30)</f>
        <v>8644.2446590154268</v>
      </c>
      <c r="E56" s="744">
        <f>IF(E30=0,0,E16/E30)</f>
        <v>8191.1749996945719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967</v>
      </c>
      <c r="C59" s="752">
        <v>53194778</v>
      </c>
      <c r="D59" s="752">
        <v>53745825</v>
      </c>
      <c r="E59" s="752">
        <v>58048061</v>
      </c>
    </row>
    <row r="60" spans="1:6" ht="26.1" customHeight="1" x14ac:dyDescent="0.25">
      <c r="A60" s="742">
        <v>2</v>
      </c>
      <c r="B60" s="743" t="s">
        <v>968</v>
      </c>
      <c r="C60" s="752">
        <v>13655559</v>
      </c>
      <c r="D60" s="752">
        <v>13784956</v>
      </c>
      <c r="E60" s="752">
        <v>15773784</v>
      </c>
    </row>
    <row r="61" spans="1:6" ht="26.1" customHeight="1" x14ac:dyDescent="0.25">
      <c r="A61" s="753">
        <v>3</v>
      </c>
      <c r="B61" s="754" t="s">
        <v>969</v>
      </c>
      <c r="C61" s="755">
        <f>C59+C60</f>
        <v>66850337</v>
      </c>
      <c r="D61" s="755">
        <f>D59+D60</f>
        <v>67530781</v>
      </c>
      <c r="E61" s="755">
        <f>E59+E60</f>
        <v>73821845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971</v>
      </c>
      <c r="C64" s="744">
        <v>11387101</v>
      </c>
      <c r="D64" s="744">
        <v>13355748</v>
      </c>
      <c r="E64" s="752">
        <v>14415875</v>
      </c>
      <c r="F64" s="756"/>
    </row>
    <row r="65" spans="1:6" ht="26.1" customHeight="1" x14ac:dyDescent="0.25">
      <c r="A65" s="742">
        <v>2</v>
      </c>
      <c r="B65" s="743" t="s">
        <v>972</v>
      </c>
      <c r="C65" s="752">
        <v>2563288</v>
      </c>
      <c r="D65" s="752">
        <v>2616814</v>
      </c>
      <c r="E65" s="752">
        <v>2895000</v>
      </c>
      <c r="F65" s="756"/>
    </row>
    <row r="66" spans="1:6" ht="26.1" customHeight="1" x14ac:dyDescent="0.25">
      <c r="A66" s="753">
        <v>3</v>
      </c>
      <c r="B66" s="754" t="s">
        <v>973</v>
      </c>
      <c r="C66" s="757">
        <f>C64+C65</f>
        <v>13950389</v>
      </c>
      <c r="D66" s="757">
        <f>D64+D65</f>
        <v>15972562</v>
      </c>
      <c r="E66" s="757">
        <f>E64+E65</f>
        <v>17310875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975</v>
      </c>
      <c r="C69" s="752">
        <v>83395121</v>
      </c>
      <c r="D69" s="752">
        <v>86349427</v>
      </c>
      <c r="E69" s="752">
        <v>84157064</v>
      </c>
    </row>
    <row r="70" spans="1:6" ht="26.1" customHeight="1" x14ac:dyDescent="0.25">
      <c r="A70" s="742">
        <v>2</v>
      </c>
      <c r="B70" s="743" t="s">
        <v>976</v>
      </c>
      <c r="C70" s="752">
        <v>31797153</v>
      </c>
      <c r="D70" s="752">
        <v>31703230</v>
      </c>
      <c r="E70" s="752">
        <v>31916216</v>
      </c>
    </row>
    <row r="71" spans="1:6" ht="26.1" customHeight="1" x14ac:dyDescent="0.25">
      <c r="A71" s="753">
        <v>3</v>
      </c>
      <c r="B71" s="754" t="s">
        <v>977</v>
      </c>
      <c r="C71" s="755">
        <f>C69+C70</f>
        <v>115192274</v>
      </c>
      <c r="D71" s="755">
        <f>D69+D70</f>
        <v>118052657</v>
      </c>
      <c r="E71" s="755">
        <f>E69+E70</f>
        <v>116073280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979</v>
      </c>
      <c r="C75" s="744">
        <f t="shared" ref="C75:E76" si="0">+C59+C64+C69</f>
        <v>147977000</v>
      </c>
      <c r="D75" s="744">
        <f t="shared" si="0"/>
        <v>153451000</v>
      </c>
      <c r="E75" s="744">
        <f t="shared" si="0"/>
        <v>156621000</v>
      </c>
    </row>
    <row r="76" spans="1:6" ht="26.1" customHeight="1" x14ac:dyDescent="0.25">
      <c r="A76" s="742">
        <v>2</v>
      </c>
      <c r="B76" s="743" t="s">
        <v>980</v>
      </c>
      <c r="C76" s="744">
        <f t="shared" si="0"/>
        <v>48016000</v>
      </c>
      <c r="D76" s="744">
        <f t="shared" si="0"/>
        <v>48105000</v>
      </c>
      <c r="E76" s="744">
        <f t="shared" si="0"/>
        <v>50585000</v>
      </c>
    </row>
    <row r="77" spans="1:6" ht="26.1" customHeight="1" x14ac:dyDescent="0.25">
      <c r="A77" s="753">
        <v>3</v>
      </c>
      <c r="B77" s="754" t="s">
        <v>978</v>
      </c>
      <c r="C77" s="757">
        <f>C75+C76</f>
        <v>195993000</v>
      </c>
      <c r="D77" s="757">
        <f>D75+D76</f>
        <v>201556000</v>
      </c>
      <c r="E77" s="757">
        <f>E75+E76</f>
        <v>207206000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606.5</v>
      </c>
      <c r="D80" s="749">
        <v>616.4</v>
      </c>
      <c r="E80" s="749">
        <v>666.6</v>
      </c>
    </row>
    <row r="81" spans="1:5" ht="26.1" customHeight="1" x14ac:dyDescent="0.25">
      <c r="A81" s="742">
        <v>2</v>
      </c>
      <c r="B81" s="743" t="s">
        <v>617</v>
      </c>
      <c r="C81" s="749">
        <v>107.2</v>
      </c>
      <c r="D81" s="749">
        <v>117</v>
      </c>
      <c r="E81" s="749">
        <v>122.4</v>
      </c>
    </row>
    <row r="82" spans="1:5" ht="26.1" customHeight="1" x14ac:dyDescent="0.25">
      <c r="A82" s="742">
        <v>3</v>
      </c>
      <c r="B82" s="743" t="s">
        <v>982</v>
      </c>
      <c r="C82" s="749">
        <v>1412.3</v>
      </c>
      <c r="D82" s="749">
        <v>1417.6</v>
      </c>
      <c r="E82" s="749">
        <v>1348.9</v>
      </c>
    </row>
    <row r="83" spans="1:5" ht="26.1" customHeight="1" x14ac:dyDescent="0.25">
      <c r="A83" s="753">
        <v>4</v>
      </c>
      <c r="B83" s="754" t="s">
        <v>981</v>
      </c>
      <c r="C83" s="759">
        <f>C80+C81+C82</f>
        <v>2126</v>
      </c>
      <c r="D83" s="759">
        <f>D80+D81+D82</f>
        <v>2151</v>
      </c>
      <c r="E83" s="759">
        <f>E80+E81+E82</f>
        <v>2137.9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984</v>
      </c>
      <c r="C86" s="752">
        <f>IF(C80=0,0,C59/C80)</f>
        <v>87707.795548227528</v>
      </c>
      <c r="D86" s="752">
        <f>IF(D80=0,0,D59/D80)</f>
        <v>87193.09701492537</v>
      </c>
      <c r="E86" s="752">
        <f>IF(E80=0,0,E59/E80)</f>
        <v>87080.799579957995</v>
      </c>
    </row>
    <row r="87" spans="1:5" ht="26.1" customHeight="1" x14ac:dyDescent="0.25">
      <c r="A87" s="742">
        <v>2</v>
      </c>
      <c r="B87" s="743" t="s">
        <v>985</v>
      </c>
      <c r="C87" s="752">
        <f>IF(C80=0,0,C60/C80)</f>
        <v>22515.348722176423</v>
      </c>
      <c r="D87" s="752">
        <f>IF(D80=0,0,D60/D80)</f>
        <v>22363.653471771577</v>
      </c>
      <c r="E87" s="752">
        <f>IF(E80=0,0,E60/E80)</f>
        <v>23663.042304230421</v>
      </c>
    </row>
    <row r="88" spans="1:5" ht="26.1" customHeight="1" x14ac:dyDescent="0.25">
      <c r="A88" s="753">
        <v>3</v>
      </c>
      <c r="B88" s="754" t="s">
        <v>986</v>
      </c>
      <c r="C88" s="755">
        <f>+C86+C87</f>
        <v>110223.14427040395</v>
      </c>
      <c r="D88" s="755">
        <f>+D86+D87</f>
        <v>109556.75048669695</v>
      </c>
      <c r="E88" s="755">
        <f>+E86+E87</f>
        <v>110743.84188418841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987</v>
      </c>
    </row>
    <row r="91" spans="1:5" ht="26.1" customHeight="1" x14ac:dyDescent="0.25">
      <c r="A91" s="742">
        <v>1</v>
      </c>
      <c r="B91" s="743" t="s">
        <v>988</v>
      </c>
      <c r="C91" s="744">
        <f>IF(C81=0,0,C64/C81)</f>
        <v>106222.95708955223</v>
      </c>
      <c r="D91" s="744">
        <f>IF(D81=0,0,D64/D81)</f>
        <v>114151.69230769231</v>
      </c>
      <c r="E91" s="744">
        <f>IF(E81=0,0,E64/E81)</f>
        <v>117776.7565359477</v>
      </c>
    </row>
    <row r="92" spans="1:5" ht="26.1" customHeight="1" x14ac:dyDescent="0.25">
      <c r="A92" s="742">
        <v>2</v>
      </c>
      <c r="B92" s="743" t="s">
        <v>989</v>
      </c>
      <c r="C92" s="744">
        <f>IF(C81=0,0,C65/C81)</f>
        <v>23911.268656716416</v>
      </c>
      <c r="D92" s="744">
        <f>IF(D81=0,0,D65/D81)</f>
        <v>22365.931623931625</v>
      </c>
      <c r="E92" s="744">
        <f>IF(E81=0,0,E65/E81)</f>
        <v>23651.960784313724</v>
      </c>
    </row>
    <row r="93" spans="1:5" ht="26.1" customHeight="1" x14ac:dyDescent="0.25">
      <c r="A93" s="753">
        <v>3</v>
      </c>
      <c r="B93" s="754" t="s">
        <v>990</v>
      </c>
      <c r="C93" s="757">
        <f>+C91+C92</f>
        <v>130134.22574626865</v>
      </c>
      <c r="D93" s="757">
        <f>+D91+D92</f>
        <v>136517.62393162394</v>
      </c>
      <c r="E93" s="757">
        <f>+E91+E92</f>
        <v>141428.71732026144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993</v>
      </c>
      <c r="C96" s="752">
        <f>IF(C82=0,0,C69/C82)</f>
        <v>59049.154570558669</v>
      </c>
      <c r="D96" s="752">
        <f>IF(D82=0,0,D69/D82)</f>
        <v>60912.406179458245</v>
      </c>
      <c r="E96" s="752">
        <f>IF(E82=0,0,E69/E82)</f>
        <v>62389.401734746825</v>
      </c>
    </row>
    <row r="97" spans="1:5" ht="26.1" customHeight="1" x14ac:dyDescent="0.25">
      <c r="A97" s="742">
        <v>2</v>
      </c>
      <c r="B97" s="743" t="s">
        <v>994</v>
      </c>
      <c r="C97" s="752">
        <f>IF(C82=0,0,C70/C82)</f>
        <v>22514.446647312896</v>
      </c>
      <c r="D97" s="752">
        <f>IF(D82=0,0,D70/D82)</f>
        <v>22364.016647855533</v>
      </c>
      <c r="E97" s="752">
        <f>IF(E82=0,0,E70/E82)</f>
        <v>23660.920750240937</v>
      </c>
    </row>
    <row r="98" spans="1:5" ht="26.1" customHeight="1" x14ac:dyDescent="0.25">
      <c r="A98" s="753">
        <v>3</v>
      </c>
      <c r="B98" s="754" t="s">
        <v>995</v>
      </c>
      <c r="C98" s="757">
        <f>+C96+C97</f>
        <v>81563.601217871561</v>
      </c>
      <c r="D98" s="757">
        <f>+D96+D97</f>
        <v>83276.422827313771</v>
      </c>
      <c r="E98" s="757">
        <f>+E96+E97</f>
        <v>86050.322484987759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996</v>
      </c>
      <c r="B100" s="745" t="s">
        <v>997</v>
      </c>
    </row>
    <row r="101" spans="1:5" ht="26.1" customHeight="1" x14ac:dyDescent="0.25">
      <c r="A101" s="742">
        <v>1</v>
      </c>
      <c r="B101" s="743" t="s">
        <v>998</v>
      </c>
      <c r="C101" s="744">
        <f>IF(C83=0,0,C75/C83)</f>
        <v>69603.480714957666</v>
      </c>
      <c r="D101" s="744">
        <f>IF(D83=0,0,D75/D83)</f>
        <v>71339.377033937708</v>
      </c>
      <c r="E101" s="744">
        <f>IF(E83=0,0,E75/E83)</f>
        <v>73259.273118480749</v>
      </c>
    </row>
    <row r="102" spans="1:5" ht="26.1" customHeight="1" x14ac:dyDescent="0.25">
      <c r="A102" s="742">
        <v>2</v>
      </c>
      <c r="B102" s="743" t="s">
        <v>999</v>
      </c>
      <c r="C102" s="761">
        <f>IF(C83=0,0,C76/C83)</f>
        <v>22585.136406396989</v>
      </c>
      <c r="D102" s="761">
        <f>IF(D83=0,0,D76/D83)</f>
        <v>22364.016736401674</v>
      </c>
      <c r="E102" s="761">
        <f>IF(E83=0,0,E76/E83)</f>
        <v>23661.069273586229</v>
      </c>
    </row>
    <row r="103" spans="1:5" ht="26.1" customHeight="1" x14ac:dyDescent="0.25">
      <c r="A103" s="753">
        <v>3</v>
      </c>
      <c r="B103" s="754" t="s">
        <v>997</v>
      </c>
      <c r="C103" s="757">
        <f>+C101+C102</f>
        <v>92188.617121354648</v>
      </c>
      <c r="D103" s="757">
        <f>+D101+D102</f>
        <v>93703.393770339375</v>
      </c>
      <c r="E103" s="757">
        <f>+E101+E102</f>
        <v>96920.342392066974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1002</v>
      </c>
      <c r="C108" s="744">
        <f>IF(C19=0,0,C77/C19)</f>
        <v>2011.4224137931035</v>
      </c>
      <c r="D108" s="744">
        <f>IF(D19=0,0,D77/D19)</f>
        <v>1990.9715019509063</v>
      </c>
      <c r="E108" s="744">
        <f>IF(E19=0,0,E77/E19)</f>
        <v>1892.7762350190003</v>
      </c>
    </row>
    <row r="109" spans="1:5" ht="26.1" customHeight="1" x14ac:dyDescent="0.25">
      <c r="A109" s="742">
        <v>2</v>
      </c>
      <c r="B109" s="743" t="s">
        <v>1003</v>
      </c>
      <c r="C109" s="744">
        <f>IF(C20=0,0,C77/C20)</f>
        <v>10621.199804909771</v>
      </c>
      <c r="D109" s="744">
        <f>IF(D20=0,0,D77/D20)</f>
        <v>11070.247706925908</v>
      </c>
      <c r="E109" s="744">
        <f>IF(E20=0,0,E77/E20)</f>
        <v>10457.027504415846</v>
      </c>
    </row>
    <row r="110" spans="1:5" ht="26.1" customHeight="1" x14ac:dyDescent="0.25">
      <c r="A110" s="742">
        <v>3</v>
      </c>
      <c r="B110" s="743" t="s">
        <v>1004</v>
      </c>
      <c r="C110" s="744">
        <f>IF(C22=0,0,C77/C22)</f>
        <v>1051.1578147298349</v>
      </c>
      <c r="D110" s="744">
        <f>IF(D22=0,0,D77/D22)</f>
        <v>976.80563270231289</v>
      </c>
      <c r="E110" s="744">
        <f>IF(E22=0,0,E77/E22)</f>
        <v>942.59876083298877</v>
      </c>
    </row>
    <row r="111" spans="1:5" ht="26.1" customHeight="1" x14ac:dyDescent="0.25">
      <c r="A111" s="742">
        <v>4</v>
      </c>
      <c r="B111" s="743" t="s">
        <v>1005</v>
      </c>
      <c r="C111" s="744">
        <f>IF(C23=0,0,C77/C23)</f>
        <v>5550.5780885100048</v>
      </c>
      <c r="D111" s="744">
        <f>IF(D23=0,0,D77/D23)</f>
        <v>5431.2582098433923</v>
      </c>
      <c r="E111" s="744">
        <f>IF(E23=0,0,E77/E23)</f>
        <v>5207.5786800862452</v>
      </c>
    </row>
    <row r="112" spans="1:5" ht="26.1" customHeight="1" x14ac:dyDescent="0.25">
      <c r="A112" s="742">
        <v>5</v>
      </c>
      <c r="B112" s="743" t="s">
        <v>1006</v>
      </c>
      <c r="C112" s="744">
        <f>IF(C29=0,0,C77/C29)</f>
        <v>801.14368994828351</v>
      </c>
      <c r="D112" s="744">
        <f>IF(D29=0,0,D77/D29)</f>
        <v>734.7092773757339</v>
      </c>
      <c r="E112" s="744">
        <f>IF(E29=0,0,E77/E29)</f>
        <v>692.76991668047526</v>
      </c>
    </row>
    <row r="113" spans="1:7" ht="25.5" customHeight="1" x14ac:dyDescent="0.25">
      <c r="A113" s="742">
        <v>6</v>
      </c>
      <c r="B113" s="743" t="s">
        <v>1007</v>
      </c>
      <c r="C113" s="744">
        <f>IF(C30=0,0,C77/C30)</f>
        <v>4230.3929522874732</v>
      </c>
      <c r="D113" s="744">
        <f>IF(D30=0,0,D77/D30)</f>
        <v>4085.148222943506</v>
      </c>
      <c r="E113" s="744">
        <f>IF(E30=0,0,E77/E30)</f>
        <v>3827.3483885362098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6" fitToHeight="0" orientation="portrait" horizontalDpi="1200" verticalDpi="1200" r:id="rId1"/>
  <headerFooter>
    <oddHeader>&amp;L&amp;"Arial,Bold"&amp;12OFFICE OF HEALTH CARE ACCESS&amp;C&amp;"Arial,Bold"&amp;12TWELVE MONTHS ACTUAL FILING&amp;R&amp;"Arial,Bold"&amp;12BRIDGEPORT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opLeftCell="A28"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1693080000</v>
      </c>
      <c r="D12" s="76">
        <v>1759987000</v>
      </c>
      <c r="E12" s="76">
        <f t="shared" ref="E12:E21" si="0">D12-C12</f>
        <v>66907000</v>
      </c>
      <c r="F12" s="77">
        <f t="shared" ref="F12:F21" si="1">IF(C12=0,0,E12/C12)</f>
        <v>3.9517920003780092E-2</v>
      </c>
    </row>
    <row r="13" spans="1:8" ht="23.1" customHeight="1" x14ac:dyDescent="0.2">
      <c r="A13" s="74">
        <v>2</v>
      </c>
      <c r="B13" s="75" t="s">
        <v>72</v>
      </c>
      <c r="C13" s="76">
        <v>1163019000</v>
      </c>
      <c r="D13" s="76">
        <v>1221261000</v>
      </c>
      <c r="E13" s="76">
        <f t="shared" si="0"/>
        <v>58242000</v>
      </c>
      <c r="F13" s="77">
        <f t="shared" si="1"/>
        <v>5.0078287629006922E-2</v>
      </c>
    </row>
    <row r="14" spans="1:8" ht="23.1" customHeight="1" x14ac:dyDescent="0.2">
      <c r="A14" s="74">
        <v>3</v>
      </c>
      <c r="B14" s="75" t="s">
        <v>73</v>
      </c>
      <c r="C14" s="76">
        <v>49238000</v>
      </c>
      <c r="D14" s="76">
        <v>35462000</v>
      </c>
      <c r="E14" s="76">
        <f t="shared" si="0"/>
        <v>-13776000</v>
      </c>
      <c r="F14" s="77">
        <f t="shared" si="1"/>
        <v>-0.27978390673869774</v>
      </c>
    </row>
    <row r="15" spans="1:8" ht="23.1" customHeight="1" x14ac:dyDescent="0.2">
      <c r="A15" s="74">
        <v>4</v>
      </c>
      <c r="B15" s="75" t="s">
        <v>74</v>
      </c>
      <c r="C15" s="76">
        <v>21143000</v>
      </c>
      <c r="D15" s="76">
        <v>21773000</v>
      </c>
      <c r="E15" s="76">
        <f t="shared" si="0"/>
        <v>630000</v>
      </c>
      <c r="F15" s="77">
        <f t="shared" si="1"/>
        <v>2.9797095965567802E-2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459680000</v>
      </c>
      <c r="D16" s="79">
        <f>D12-D13-D14-D15</f>
        <v>481491000</v>
      </c>
      <c r="E16" s="79">
        <f t="shared" si="0"/>
        <v>21811000</v>
      </c>
      <c r="F16" s="80">
        <f t="shared" si="1"/>
        <v>4.7448224852071008E-2</v>
      </c>
    </row>
    <row r="17" spans="1:7" ht="23.1" customHeight="1" x14ac:dyDescent="0.2">
      <c r="A17" s="74">
        <v>5</v>
      </c>
      <c r="B17" s="75" t="s">
        <v>76</v>
      </c>
      <c r="C17" s="76">
        <v>20305000</v>
      </c>
      <c r="D17" s="76">
        <v>15417000</v>
      </c>
      <c r="E17" s="76">
        <f t="shared" si="0"/>
        <v>-4888000</v>
      </c>
      <c r="F17" s="77">
        <f t="shared" si="1"/>
        <v>-0.24072888451120414</v>
      </c>
      <c r="G17" s="65"/>
    </row>
    <row r="18" spans="1:7" ht="31.5" customHeight="1" x14ac:dyDescent="0.25">
      <c r="A18" s="71"/>
      <c r="B18" s="81" t="s">
        <v>77</v>
      </c>
      <c r="C18" s="79">
        <f>C16-C17</f>
        <v>439375000</v>
      </c>
      <c r="D18" s="79">
        <f>D16-D17</f>
        <v>466074000</v>
      </c>
      <c r="E18" s="79">
        <f t="shared" si="0"/>
        <v>26699000</v>
      </c>
      <c r="F18" s="80">
        <f t="shared" si="1"/>
        <v>6.0765860597439547E-2</v>
      </c>
    </row>
    <row r="19" spans="1:7" ht="23.1" customHeight="1" x14ac:dyDescent="0.2">
      <c r="A19" s="74">
        <v>6</v>
      </c>
      <c r="B19" s="75" t="s">
        <v>78</v>
      </c>
      <c r="C19" s="76">
        <v>20346000</v>
      </c>
      <c r="D19" s="76">
        <v>31305000</v>
      </c>
      <c r="E19" s="76">
        <f t="shared" si="0"/>
        <v>10959000</v>
      </c>
      <c r="F19" s="77">
        <f t="shared" si="1"/>
        <v>0.53863167207313478</v>
      </c>
      <c r="G19" s="65"/>
    </row>
    <row r="20" spans="1:7" ht="33" customHeight="1" x14ac:dyDescent="0.2">
      <c r="A20" s="74">
        <v>7</v>
      </c>
      <c r="B20" s="82" t="s">
        <v>79</v>
      </c>
      <c r="C20" s="76">
        <v>3819000</v>
      </c>
      <c r="D20" s="76">
        <v>750000</v>
      </c>
      <c r="E20" s="76">
        <f t="shared" si="0"/>
        <v>-3069000</v>
      </c>
      <c r="F20" s="77">
        <f t="shared" si="1"/>
        <v>-0.80361351139041637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463540000</v>
      </c>
      <c r="D21" s="79">
        <f>SUM(D18:D20)</f>
        <v>498129000</v>
      </c>
      <c r="E21" s="79">
        <f t="shared" si="0"/>
        <v>34589000</v>
      </c>
      <c r="F21" s="80">
        <f t="shared" si="1"/>
        <v>7.4619234586011995E-2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153451000</v>
      </c>
      <c r="D24" s="76">
        <v>156621000</v>
      </c>
      <c r="E24" s="76">
        <f t="shared" ref="E24:E33" si="2">D24-C24</f>
        <v>3170000</v>
      </c>
      <c r="F24" s="77">
        <f t="shared" ref="F24:F33" si="3">IF(C24=0,0,E24/C24)</f>
        <v>2.0658060227694834E-2</v>
      </c>
    </row>
    <row r="25" spans="1:7" ht="23.1" customHeight="1" x14ac:dyDescent="0.2">
      <c r="A25" s="74">
        <v>2</v>
      </c>
      <c r="B25" s="75" t="s">
        <v>83</v>
      </c>
      <c r="C25" s="76">
        <v>48105000</v>
      </c>
      <c r="D25" s="76">
        <v>50585000</v>
      </c>
      <c r="E25" s="76">
        <f t="shared" si="2"/>
        <v>2480000</v>
      </c>
      <c r="F25" s="77">
        <f t="shared" si="3"/>
        <v>5.1553892526764372E-2</v>
      </c>
    </row>
    <row r="26" spans="1:7" ht="23.1" customHeight="1" x14ac:dyDescent="0.2">
      <c r="A26" s="74">
        <v>3</v>
      </c>
      <c r="B26" s="75" t="s">
        <v>84</v>
      </c>
      <c r="C26" s="76">
        <v>25569000</v>
      </c>
      <c r="D26" s="76">
        <v>27676000</v>
      </c>
      <c r="E26" s="76">
        <f t="shared" si="2"/>
        <v>2107000</v>
      </c>
      <c r="F26" s="77">
        <f t="shared" si="3"/>
        <v>8.2404474167937738E-2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50108000</v>
      </c>
      <c r="D27" s="76">
        <v>52564000</v>
      </c>
      <c r="E27" s="76">
        <f t="shared" si="2"/>
        <v>2456000</v>
      </c>
      <c r="F27" s="77">
        <f t="shared" si="3"/>
        <v>4.9014129480322501E-2</v>
      </c>
    </row>
    <row r="28" spans="1:7" ht="23.1" customHeight="1" x14ac:dyDescent="0.2">
      <c r="A28" s="74">
        <v>5</v>
      </c>
      <c r="B28" s="75" t="s">
        <v>86</v>
      </c>
      <c r="C28" s="76">
        <v>30957000</v>
      </c>
      <c r="D28" s="76">
        <v>31148000</v>
      </c>
      <c r="E28" s="76">
        <f t="shared" si="2"/>
        <v>191000</v>
      </c>
      <c r="F28" s="77">
        <f t="shared" si="3"/>
        <v>6.1698484995316083E-3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2566000</v>
      </c>
      <c r="D30" s="76">
        <v>3048000</v>
      </c>
      <c r="E30" s="76">
        <f t="shared" si="2"/>
        <v>482000</v>
      </c>
      <c r="F30" s="77">
        <f t="shared" si="3"/>
        <v>0.18784099766173032</v>
      </c>
    </row>
    <row r="31" spans="1:7" ht="23.1" customHeight="1" x14ac:dyDescent="0.2">
      <c r="A31" s="74">
        <v>8</v>
      </c>
      <c r="B31" s="75" t="s">
        <v>89</v>
      </c>
      <c r="C31" s="76">
        <v>-285000</v>
      </c>
      <c r="D31" s="76">
        <v>6225000</v>
      </c>
      <c r="E31" s="76">
        <f t="shared" si="2"/>
        <v>6510000</v>
      </c>
      <c r="F31" s="77">
        <f t="shared" si="3"/>
        <v>-22.842105263157894</v>
      </c>
    </row>
    <row r="32" spans="1:7" ht="23.1" customHeight="1" x14ac:dyDescent="0.2">
      <c r="A32" s="74">
        <v>9</v>
      </c>
      <c r="B32" s="75" t="s">
        <v>90</v>
      </c>
      <c r="C32" s="76">
        <v>116025000</v>
      </c>
      <c r="D32" s="76">
        <v>115589000</v>
      </c>
      <c r="E32" s="76">
        <f t="shared" si="2"/>
        <v>-436000</v>
      </c>
      <c r="F32" s="77">
        <f t="shared" si="3"/>
        <v>-3.757810816634346E-3</v>
      </c>
    </row>
    <row r="33" spans="1:6" ht="23.1" customHeight="1" x14ac:dyDescent="0.25">
      <c r="A33" s="71"/>
      <c r="B33" s="78" t="s">
        <v>91</v>
      </c>
      <c r="C33" s="79">
        <f>SUM(C24:C32)</f>
        <v>426496000</v>
      </c>
      <c r="D33" s="79">
        <f>SUM(D24:D32)</f>
        <v>443456000</v>
      </c>
      <c r="E33" s="79">
        <f t="shared" si="2"/>
        <v>16960000</v>
      </c>
      <c r="F33" s="80">
        <f t="shared" si="3"/>
        <v>3.9765906362545018E-2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37044000</v>
      </c>
      <c r="D35" s="79">
        <f>+D21-D33</f>
        <v>54673000</v>
      </c>
      <c r="E35" s="79">
        <f>D35-C35</f>
        <v>17629000</v>
      </c>
      <c r="F35" s="80">
        <f>IF(C35=0,0,E35/C35)</f>
        <v>0.475893532015981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1418000</v>
      </c>
      <c r="D40" s="76">
        <v>-542000</v>
      </c>
      <c r="E40" s="76">
        <f>D40-C40</f>
        <v>-1960000</v>
      </c>
      <c r="F40" s="77">
        <f>IF(C40=0,0,E40/C40)</f>
        <v>-1.382228490832158</v>
      </c>
    </row>
    <row r="41" spans="1:6" ht="23.1" customHeight="1" x14ac:dyDescent="0.25">
      <c r="A41" s="83"/>
      <c r="B41" s="78" t="s">
        <v>97</v>
      </c>
      <c r="C41" s="79">
        <f>SUM(C38:C40)</f>
        <v>1418000</v>
      </c>
      <c r="D41" s="79">
        <f>SUM(D38:D40)</f>
        <v>-542000</v>
      </c>
      <c r="E41" s="79">
        <f>D41-C41</f>
        <v>-1960000</v>
      </c>
      <c r="F41" s="80">
        <f>IF(C41=0,0,E41/C41)</f>
        <v>-1.382228490832158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38462000</v>
      </c>
      <c r="D43" s="79">
        <f>D35+D41</f>
        <v>54131000</v>
      </c>
      <c r="E43" s="79">
        <f>D43-C43</f>
        <v>15669000</v>
      </c>
      <c r="F43" s="80">
        <f>IF(C43=0,0,E43/C43)</f>
        <v>0.40738911133066402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4434000</v>
      </c>
      <c r="D46" s="76">
        <v>1486000</v>
      </c>
      <c r="E46" s="76">
        <f>D46-C46</f>
        <v>-2948000</v>
      </c>
      <c r="F46" s="77">
        <f>IF(C46=0,0,E46/C46)</f>
        <v>-0.66486242670275142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4434000</v>
      </c>
      <c r="D48" s="79">
        <f>SUM(D46:D47)</f>
        <v>1486000</v>
      </c>
      <c r="E48" s="79">
        <f>D48-C48</f>
        <v>-2948000</v>
      </c>
      <c r="F48" s="80">
        <f>IF(C48=0,0,E48/C48)</f>
        <v>-0.66486242670275142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42896000</v>
      </c>
      <c r="D50" s="79">
        <f>D43+D48</f>
        <v>55617000</v>
      </c>
      <c r="E50" s="79">
        <f>D50-C50</f>
        <v>12721000</v>
      </c>
      <c r="F50" s="80">
        <f>IF(C50=0,0,E50/C50)</f>
        <v>0.29655445729205521</v>
      </c>
    </row>
    <row r="51" spans="1:6" ht="23.1" customHeight="1" x14ac:dyDescent="0.2">
      <c r="A51" s="85"/>
      <c r="B51" s="75" t="s">
        <v>104</v>
      </c>
      <c r="C51" s="76">
        <v>3948000</v>
      </c>
      <c r="D51" s="76">
        <v>4696000</v>
      </c>
      <c r="E51" s="76">
        <f>D51-C51</f>
        <v>748000</v>
      </c>
      <c r="F51" s="77">
        <f>IF(C51=0,0,E51/C51)</f>
        <v>0.1894630192502533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0" orientation="portrait" horizontalDpi="1200" verticalDpi="1200" r:id="rId1"/>
  <headerFooter>
    <oddHeader>&amp;LOFFICE OF HEALTH CARE ACCESS&amp;CTWELVE MONTHS ACTUAL FILING&amp;RBRIDGEPORT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270341260</v>
      </c>
      <c r="D14" s="113">
        <v>315221324</v>
      </c>
      <c r="E14" s="113">
        <f t="shared" ref="E14:E25" si="0">D14-C14</f>
        <v>44880064</v>
      </c>
      <c r="F14" s="114">
        <f t="shared" ref="F14:F25" si="1">IF(C14=0,0,E14/C14)</f>
        <v>0.16601263159016127</v>
      </c>
    </row>
    <row r="15" spans="1:6" x14ac:dyDescent="0.2">
      <c r="A15" s="115">
        <v>2</v>
      </c>
      <c r="B15" s="116" t="s">
        <v>114</v>
      </c>
      <c r="C15" s="113">
        <v>125021587</v>
      </c>
      <c r="D15" s="113">
        <v>123172907</v>
      </c>
      <c r="E15" s="113">
        <f t="shared" si="0"/>
        <v>-1848680</v>
      </c>
      <c r="F15" s="114">
        <f t="shared" si="1"/>
        <v>-1.4786886363872504E-2</v>
      </c>
    </row>
    <row r="16" spans="1:6" x14ac:dyDescent="0.2">
      <c r="A16" s="115">
        <v>3</v>
      </c>
      <c r="B16" s="116" t="s">
        <v>115</v>
      </c>
      <c r="C16" s="113">
        <v>230209572</v>
      </c>
      <c r="D16" s="113">
        <v>222828904</v>
      </c>
      <c r="E16" s="113">
        <f t="shared" si="0"/>
        <v>-7380668</v>
      </c>
      <c r="F16" s="114">
        <f t="shared" si="1"/>
        <v>-3.2060647764898323E-2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1194141</v>
      </c>
      <c r="D18" s="113">
        <v>410349</v>
      </c>
      <c r="E18" s="113">
        <f t="shared" si="0"/>
        <v>-783792</v>
      </c>
      <c r="F18" s="114">
        <f t="shared" si="1"/>
        <v>-0.65636470065092811</v>
      </c>
    </row>
    <row r="19" spans="1:6" x14ac:dyDescent="0.2">
      <c r="A19" s="115">
        <v>6</v>
      </c>
      <c r="B19" s="116" t="s">
        <v>118</v>
      </c>
      <c r="C19" s="113">
        <v>82600888</v>
      </c>
      <c r="D19" s="113">
        <v>73860848</v>
      </c>
      <c r="E19" s="113">
        <f t="shared" si="0"/>
        <v>-8740040</v>
      </c>
      <c r="F19" s="114">
        <f t="shared" si="1"/>
        <v>-0.10581048474926807</v>
      </c>
    </row>
    <row r="20" spans="1:6" x14ac:dyDescent="0.2">
      <c r="A20" s="115">
        <v>7</v>
      </c>
      <c r="B20" s="116" t="s">
        <v>119</v>
      </c>
      <c r="C20" s="113">
        <v>105635883</v>
      </c>
      <c r="D20" s="113">
        <v>113838226</v>
      </c>
      <c r="E20" s="113">
        <f t="shared" si="0"/>
        <v>8202343</v>
      </c>
      <c r="F20" s="114">
        <f t="shared" si="1"/>
        <v>7.7647318004621588E-2</v>
      </c>
    </row>
    <row r="21" spans="1:6" x14ac:dyDescent="0.2">
      <c r="A21" s="115">
        <v>8</v>
      </c>
      <c r="B21" s="116" t="s">
        <v>120</v>
      </c>
      <c r="C21" s="113">
        <v>7487090</v>
      </c>
      <c r="D21" s="113">
        <v>6930273</v>
      </c>
      <c r="E21" s="113">
        <f t="shared" si="0"/>
        <v>-556817</v>
      </c>
      <c r="F21" s="114">
        <f t="shared" si="1"/>
        <v>-7.4370282713310518E-2</v>
      </c>
    </row>
    <row r="22" spans="1:6" x14ac:dyDescent="0.2">
      <c r="A22" s="115">
        <v>9</v>
      </c>
      <c r="B22" s="116" t="s">
        <v>121</v>
      </c>
      <c r="C22" s="113">
        <v>8164273</v>
      </c>
      <c r="D22" s="113">
        <v>20207327</v>
      </c>
      <c r="E22" s="113">
        <f t="shared" si="0"/>
        <v>12043054</v>
      </c>
      <c r="F22" s="114">
        <f t="shared" si="1"/>
        <v>1.4750920259525864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830654694</v>
      </c>
      <c r="D25" s="119">
        <f>SUM(D14:D24)</f>
        <v>876470158</v>
      </c>
      <c r="E25" s="119">
        <f t="shared" si="0"/>
        <v>45815464</v>
      </c>
      <c r="F25" s="120">
        <f t="shared" si="1"/>
        <v>5.5155847948533954E-2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151711022</v>
      </c>
      <c r="D27" s="113">
        <v>160015874</v>
      </c>
      <c r="E27" s="113">
        <f t="shared" ref="E27:E38" si="2">D27-C27</f>
        <v>8304852</v>
      </c>
      <c r="F27" s="114">
        <f t="shared" ref="F27:F38" si="3">IF(C27=0,0,E27/C27)</f>
        <v>5.4741256703155029E-2</v>
      </c>
    </row>
    <row r="28" spans="1:6" x14ac:dyDescent="0.2">
      <c r="A28" s="115">
        <v>2</v>
      </c>
      <c r="B28" s="116" t="s">
        <v>114</v>
      </c>
      <c r="C28" s="113">
        <v>82095149</v>
      </c>
      <c r="D28" s="113">
        <v>81834038</v>
      </c>
      <c r="E28" s="113">
        <f t="shared" si="2"/>
        <v>-261111</v>
      </c>
      <c r="F28" s="114">
        <f t="shared" si="3"/>
        <v>-3.1805898787028207E-3</v>
      </c>
    </row>
    <row r="29" spans="1:6" x14ac:dyDescent="0.2">
      <c r="A29" s="115">
        <v>3</v>
      </c>
      <c r="B29" s="116" t="s">
        <v>115</v>
      </c>
      <c r="C29" s="113">
        <v>286369150</v>
      </c>
      <c r="D29" s="113">
        <v>307573351</v>
      </c>
      <c r="E29" s="113">
        <f t="shared" si="2"/>
        <v>21204201</v>
      </c>
      <c r="F29" s="114">
        <f t="shared" si="3"/>
        <v>7.4044990530579155E-2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1284733</v>
      </c>
      <c r="D31" s="113">
        <v>836199</v>
      </c>
      <c r="E31" s="113">
        <f t="shared" si="2"/>
        <v>-448534</v>
      </c>
      <c r="F31" s="114">
        <f t="shared" si="3"/>
        <v>-0.34912623868150033</v>
      </c>
    </row>
    <row r="32" spans="1:6" x14ac:dyDescent="0.2">
      <c r="A32" s="115">
        <v>6</v>
      </c>
      <c r="B32" s="116" t="s">
        <v>118</v>
      </c>
      <c r="C32" s="113">
        <v>129472200</v>
      </c>
      <c r="D32" s="113">
        <v>119227133</v>
      </c>
      <c r="E32" s="113">
        <f t="shared" si="2"/>
        <v>-10245067</v>
      </c>
      <c r="F32" s="114">
        <f t="shared" si="3"/>
        <v>-7.9129473354125443E-2</v>
      </c>
    </row>
    <row r="33" spans="1:6" x14ac:dyDescent="0.2">
      <c r="A33" s="115">
        <v>7</v>
      </c>
      <c r="B33" s="116" t="s">
        <v>119</v>
      </c>
      <c r="C33" s="113">
        <v>168089979</v>
      </c>
      <c r="D33" s="113">
        <v>174364989</v>
      </c>
      <c r="E33" s="113">
        <f t="shared" si="2"/>
        <v>6275010</v>
      </c>
      <c r="F33" s="114">
        <f t="shared" si="3"/>
        <v>3.7331255779382302E-2</v>
      </c>
    </row>
    <row r="34" spans="1:6" x14ac:dyDescent="0.2">
      <c r="A34" s="115">
        <v>8</v>
      </c>
      <c r="B34" s="116" t="s">
        <v>120</v>
      </c>
      <c r="C34" s="113">
        <v>5611077</v>
      </c>
      <c r="D34" s="113">
        <v>6494074</v>
      </c>
      <c r="E34" s="113">
        <f t="shared" si="2"/>
        <v>882997</v>
      </c>
      <c r="F34" s="114">
        <f t="shared" si="3"/>
        <v>0.15736675864544364</v>
      </c>
    </row>
    <row r="35" spans="1:6" x14ac:dyDescent="0.2">
      <c r="A35" s="115">
        <v>9</v>
      </c>
      <c r="B35" s="116" t="s">
        <v>121</v>
      </c>
      <c r="C35" s="113">
        <v>37791733</v>
      </c>
      <c r="D35" s="113">
        <v>33171524</v>
      </c>
      <c r="E35" s="113">
        <f t="shared" si="2"/>
        <v>-4620209</v>
      </c>
      <c r="F35" s="114">
        <f t="shared" si="3"/>
        <v>-0.12225448883225334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862425043</v>
      </c>
      <c r="D38" s="119">
        <f>SUM(D27:D37)</f>
        <v>883517182</v>
      </c>
      <c r="E38" s="119">
        <f t="shared" si="2"/>
        <v>21092139</v>
      </c>
      <c r="F38" s="120">
        <f t="shared" si="3"/>
        <v>2.4456779370215946E-2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422052282</v>
      </c>
      <c r="D41" s="119">
        <f t="shared" si="4"/>
        <v>475237198</v>
      </c>
      <c r="E41" s="123">
        <f t="shared" ref="E41:E52" si="5">D41-C41</f>
        <v>53184916</v>
      </c>
      <c r="F41" s="124">
        <f t="shared" ref="F41:F52" si="6">IF(C41=0,0,E41/C41)</f>
        <v>0.12601499451198322</v>
      </c>
    </row>
    <row r="42" spans="1:6" ht="15.75" x14ac:dyDescent="0.25">
      <c r="A42" s="121">
        <v>2</v>
      </c>
      <c r="B42" s="122" t="s">
        <v>114</v>
      </c>
      <c r="C42" s="119">
        <f t="shared" si="4"/>
        <v>207116736</v>
      </c>
      <c r="D42" s="119">
        <f t="shared" si="4"/>
        <v>205006945</v>
      </c>
      <c r="E42" s="123">
        <f t="shared" si="5"/>
        <v>-2109791</v>
      </c>
      <c r="F42" s="124">
        <f t="shared" si="6"/>
        <v>-1.0186482467549121E-2</v>
      </c>
    </row>
    <row r="43" spans="1:6" ht="15.75" x14ac:dyDescent="0.25">
      <c r="A43" s="121">
        <v>3</v>
      </c>
      <c r="B43" s="122" t="s">
        <v>115</v>
      </c>
      <c r="C43" s="119">
        <f t="shared" si="4"/>
        <v>516578722</v>
      </c>
      <c r="D43" s="119">
        <f t="shared" si="4"/>
        <v>530402255</v>
      </c>
      <c r="E43" s="123">
        <f t="shared" si="5"/>
        <v>13823533</v>
      </c>
      <c r="F43" s="124">
        <f t="shared" si="6"/>
        <v>2.6759780090206658E-2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2478874</v>
      </c>
      <c r="D45" s="119">
        <f t="shared" si="4"/>
        <v>1246548</v>
      </c>
      <c r="E45" s="123">
        <f t="shared" si="5"/>
        <v>-1232326</v>
      </c>
      <c r="F45" s="124">
        <f t="shared" si="6"/>
        <v>-0.49713135883469672</v>
      </c>
    </row>
    <row r="46" spans="1:6" ht="15.75" x14ac:dyDescent="0.25">
      <c r="A46" s="121">
        <v>6</v>
      </c>
      <c r="B46" s="122" t="s">
        <v>118</v>
      </c>
      <c r="C46" s="119">
        <f t="shared" si="4"/>
        <v>212073088</v>
      </c>
      <c r="D46" s="119">
        <f t="shared" si="4"/>
        <v>193087981</v>
      </c>
      <c r="E46" s="123">
        <f t="shared" si="5"/>
        <v>-18985107</v>
      </c>
      <c r="F46" s="124">
        <f t="shared" si="6"/>
        <v>-8.9521528540198361E-2</v>
      </c>
    </row>
    <row r="47" spans="1:6" ht="15.75" x14ac:dyDescent="0.25">
      <c r="A47" s="121">
        <v>7</v>
      </c>
      <c r="B47" s="122" t="s">
        <v>119</v>
      </c>
      <c r="C47" s="119">
        <f t="shared" si="4"/>
        <v>273725862</v>
      </c>
      <c r="D47" s="119">
        <f t="shared" si="4"/>
        <v>288203215</v>
      </c>
      <c r="E47" s="123">
        <f t="shared" si="5"/>
        <v>14477353</v>
      </c>
      <c r="F47" s="124">
        <f t="shared" si="6"/>
        <v>5.2889971353894213E-2</v>
      </c>
    </row>
    <row r="48" spans="1:6" ht="15.75" x14ac:dyDescent="0.25">
      <c r="A48" s="121">
        <v>8</v>
      </c>
      <c r="B48" s="122" t="s">
        <v>120</v>
      </c>
      <c r="C48" s="119">
        <f t="shared" si="4"/>
        <v>13098167</v>
      </c>
      <c r="D48" s="119">
        <f t="shared" si="4"/>
        <v>13424347</v>
      </c>
      <c r="E48" s="123">
        <f t="shared" si="5"/>
        <v>326180</v>
      </c>
      <c r="F48" s="124">
        <f t="shared" si="6"/>
        <v>2.4902721121207266E-2</v>
      </c>
    </row>
    <row r="49" spans="1:6" ht="15.75" x14ac:dyDescent="0.25">
      <c r="A49" s="121">
        <v>9</v>
      </c>
      <c r="B49" s="122" t="s">
        <v>121</v>
      </c>
      <c r="C49" s="119">
        <f t="shared" si="4"/>
        <v>45956006</v>
      </c>
      <c r="D49" s="119">
        <f t="shared" si="4"/>
        <v>53378851</v>
      </c>
      <c r="E49" s="123">
        <f t="shared" si="5"/>
        <v>7422845</v>
      </c>
      <c r="F49" s="124">
        <f t="shared" si="6"/>
        <v>0.16152067261893907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1693079737</v>
      </c>
      <c r="D52" s="128">
        <f>SUM(D41:D51)</f>
        <v>1759987340</v>
      </c>
      <c r="E52" s="127">
        <f t="shared" si="5"/>
        <v>66907603</v>
      </c>
      <c r="F52" s="129">
        <f t="shared" si="6"/>
        <v>3.951828229812427E-2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87286898</v>
      </c>
      <c r="D57" s="113">
        <v>102871768</v>
      </c>
      <c r="E57" s="113">
        <f t="shared" ref="E57:E68" si="7">D57-C57</f>
        <v>15584870</v>
      </c>
      <c r="F57" s="114">
        <f t="shared" ref="F57:F68" si="8">IF(C57=0,0,E57/C57)</f>
        <v>0.17854764411492777</v>
      </c>
    </row>
    <row r="58" spans="1:6" x14ac:dyDescent="0.2">
      <c r="A58" s="115">
        <v>2</v>
      </c>
      <c r="B58" s="116" t="s">
        <v>114</v>
      </c>
      <c r="C58" s="113">
        <v>35019884</v>
      </c>
      <c r="D58" s="113">
        <v>38459124</v>
      </c>
      <c r="E58" s="113">
        <f t="shared" si="7"/>
        <v>3439240</v>
      </c>
      <c r="F58" s="114">
        <f t="shared" si="8"/>
        <v>9.82082065149045E-2</v>
      </c>
    </row>
    <row r="59" spans="1:6" x14ac:dyDescent="0.2">
      <c r="A59" s="115">
        <v>3</v>
      </c>
      <c r="B59" s="116" t="s">
        <v>115</v>
      </c>
      <c r="C59" s="113">
        <v>49876097</v>
      </c>
      <c r="D59" s="113">
        <v>40320958</v>
      </c>
      <c r="E59" s="113">
        <f t="shared" si="7"/>
        <v>-9555139</v>
      </c>
      <c r="F59" s="114">
        <f t="shared" si="8"/>
        <v>-0.19157752059067493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184899</v>
      </c>
      <c r="D61" s="113">
        <v>91862</v>
      </c>
      <c r="E61" s="113">
        <f t="shared" si="7"/>
        <v>-93037</v>
      </c>
      <c r="F61" s="114">
        <f t="shared" si="8"/>
        <v>-0.50317741036998576</v>
      </c>
    </row>
    <row r="62" spans="1:6" x14ac:dyDescent="0.2">
      <c r="A62" s="115">
        <v>6</v>
      </c>
      <c r="B62" s="116" t="s">
        <v>118</v>
      </c>
      <c r="C62" s="113">
        <v>36792289</v>
      </c>
      <c r="D62" s="113">
        <v>34767627</v>
      </c>
      <c r="E62" s="113">
        <f t="shared" si="7"/>
        <v>-2024662</v>
      </c>
      <c r="F62" s="114">
        <f t="shared" si="8"/>
        <v>-5.5029519908369934E-2</v>
      </c>
    </row>
    <row r="63" spans="1:6" x14ac:dyDescent="0.2">
      <c r="A63" s="115">
        <v>7</v>
      </c>
      <c r="B63" s="116" t="s">
        <v>119</v>
      </c>
      <c r="C63" s="113">
        <v>42246104</v>
      </c>
      <c r="D63" s="113">
        <v>54595644</v>
      </c>
      <c r="E63" s="113">
        <f t="shared" si="7"/>
        <v>12349540</v>
      </c>
      <c r="F63" s="114">
        <f t="shared" si="8"/>
        <v>0.29232376078987071</v>
      </c>
    </row>
    <row r="64" spans="1:6" x14ac:dyDescent="0.2">
      <c r="A64" s="115">
        <v>8</v>
      </c>
      <c r="B64" s="116" t="s">
        <v>120</v>
      </c>
      <c r="C64" s="113">
        <v>4324370</v>
      </c>
      <c r="D64" s="113">
        <v>3642665</v>
      </c>
      <c r="E64" s="113">
        <f t="shared" si="7"/>
        <v>-681705</v>
      </c>
      <c r="F64" s="114">
        <f t="shared" si="8"/>
        <v>-0.15764261614986691</v>
      </c>
    </row>
    <row r="65" spans="1:6" x14ac:dyDescent="0.2">
      <c r="A65" s="115">
        <v>9</v>
      </c>
      <c r="B65" s="116" t="s">
        <v>121</v>
      </c>
      <c r="C65" s="113">
        <v>1903873</v>
      </c>
      <c r="D65" s="113">
        <v>10449109</v>
      </c>
      <c r="E65" s="113">
        <f t="shared" si="7"/>
        <v>8545236</v>
      </c>
      <c r="F65" s="114">
        <f t="shared" si="8"/>
        <v>4.4883434977017904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257634414</v>
      </c>
      <c r="D68" s="119">
        <f>SUM(D57:D67)</f>
        <v>285198757</v>
      </c>
      <c r="E68" s="119">
        <f t="shared" si="7"/>
        <v>27564343</v>
      </c>
      <c r="F68" s="120">
        <f t="shared" si="8"/>
        <v>0.10699014379344524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24332945</v>
      </c>
      <c r="D70" s="113">
        <v>27226592</v>
      </c>
      <c r="E70" s="113">
        <f t="shared" ref="E70:E81" si="9">D70-C70</f>
        <v>2893647</v>
      </c>
      <c r="F70" s="114">
        <f t="shared" ref="F70:F81" si="10">IF(C70=0,0,E70/C70)</f>
        <v>0.11891889781528706</v>
      </c>
    </row>
    <row r="71" spans="1:6" x14ac:dyDescent="0.2">
      <c r="A71" s="115">
        <v>2</v>
      </c>
      <c r="B71" s="116" t="s">
        <v>114</v>
      </c>
      <c r="C71" s="113">
        <v>12847287</v>
      </c>
      <c r="D71" s="113">
        <v>12392980</v>
      </c>
      <c r="E71" s="113">
        <f t="shared" si="9"/>
        <v>-454307</v>
      </c>
      <c r="F71" s="114">
        <f t="shared" si="10"/>
        <v>-3.5362096293170692E-2</v>
      </c>
    </row>
    <row r="72" spans="1:6" x14ac:dyDescent="0.2">
      <c r="A72" s="115">
        <v>3</v>
      </c>
      <c r="B72" s="116" t="s">
        <v>115</v>
      </c>
      <c r="C72" s="113">
        <v>42640833</v>
      </c>
      <c r="D72" s="113">
        <v>43186014</v>
      </c>
      <c r="E72" s="113">
        <f t="shared" si="9"/>
        <v>545181</v>
      </c>
      <c r="F72" s="114">
        <f t="shared" si="10"/>
        <v>1.2785420960233117E-2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546488</v>
      </c>
      <c r="D74" s="113">
        <v>181050</v>
      </c>
      <c r="E74" s="113">
        <f t="shared" si="9"/>
        <v>-365438</v>
      </c>
      <c r="F74" s="114">
        <f t="shared" si="10"/>
        <v>-0.66870269795494142</v>
      </c>
    </row>
    <row r="75" spans="1:6" x14ac:dyDescent="0.2">
      <c r="A75" s="115">
        <v>6</v>
      </c>
      <c r="B75" s="116" t="s">
        <v>118</v>
      </c>
      <c r="C75" s="113">
        <v>43843665</v>
      </c>
      <c r="D75" s="113">
        <v>43356708</v>
      </c>
      <c r="E75" s="113">
        <f t="shared" si="9"/>
        <v>-486957</v>
      </c>
      <c r="F75" s="114">
        <f t="shared" si="10"/>
        <v>-1.1106667291614421E-2</v>
      </c>
    </row>
    <row r="76" spans="1:6" x14ac:dyDescent="0.2">
      <c r="A76" s="115">
        <v>7</v>
      </c>
      <c r="B76" s="116" t="s">
        <v>119</v>
      </c>
      <c r="C76" s="113">
        <v>54428158</v>
      </c>
      <c r="D76" s="113">
        <v>61553145</v>
      </c>
      <c r="E76" s="113">
        <f t="shared" si="9"/>
        <v>7124987</v>
      </c>
      <c r="F76" s="114">
        <f t="shared" si="10"/>
        <v>0.13090626730377317</v>
      </c>
    </row>
    <row r="77" spans="1:6" x14ac:dyDescent="0.2">
      <c r="A77" s="115">
        <v>8</v>
      </c>
      <c r="B77" s="116" t="s">
        <v>120</v>
      </c>
      <c r="C77" s="113">
        <v>2500074</v>
      </c>
      <c r="D77" s="113">
        <v>2702132</v>
      </c>
      <c r="E77" s="113">
        <f t="shared" si="9"/>
        <v>202058</v>
      </c>
      <c r="F77" s="114">
        <f t="shared" si="10"/>
        <v>8.082080770409196E-2</v>
      </c>
    </row>
    <row r="78" spans="1:6" x14ac:dyDescent="0.2">
      <c r="A78" s="115">
        <v>9</v>
      </c>
      <c r="B78" s="116" t="s">
        <v>121</v>
      </c>
      <c r="C78" s="113">
        <v>11963371</v>
      </c>
      <c r="D78" s="113">
        <v>16413766</v>
      </c>
      <c r="E78" s="113">
        <f t="shared" si="9"/>
        <v>4450395</v>
      </c>
      <c r="F78" s="114">
        <f t="shared" si="10"/>
        <v>0.37200175435502253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193102821</v>
      </c>
      <c r="D81" s="119">
        <f>SUM(D70:D80)</f>
        <v>207012387</v>
      </c>
      <c r="E81" s="119">
        <f t="shared" si="9"/>
        <v>13909566</v>
      </c>
      <c r="F81" s="120">
        <f t="shared" si="10"/>
        <v>7.2031915059386942E-2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111619843</v>
      </c>
      <c r="D84" s="119">
        <f t="shared" si="11"/>
        <v>130098360</v>
      </c>
      <c r="E84" s="119">
        <f t="shared" ref="E84:E95" si="12">D84-C84</f>
        <v>18478517</v>
      </c>
      <c r="F84" s="120">
        <f t="shared" ref="F84:F95" si="13">IF(C84=0,0,E84/C84)</f>
        <v>0.16554867399338663</v>
      </c>
    </row>
    <row r="85" spans="1:6" ht="15.75" x14ac:dyDescent="0.25">
      <c r="A85" s="130">
        <v>2</v>
      </c>
      <c r="B85" s="122" t="s">
        <v>114</v>
      </c>
      <c r="C85" s="119">
        <f t="shared" si="11"/>
        <v>47867171</v>
      </c>
      <c r="D85" s="119">
        <f t="shared" si="11"/>
        <v>50852104</v>
      </c>
      <c r="E85" s="119">
        <f t="shared" si="12"/>
        <v>2984933</v>
      </c>
      <c r="F85" s="120">
        <f t="shared" si="13"/>
        <v>6.2358667488412886E-2</v>
      </c>
    </row>
    <row r="86" spans="1:6" ht="15.75" x14ac:dyDescent="0.25">
      <c r="A86" s="130">
        <v>3</v>
      </c>
      <c r="B86" s="122" t="s">
        <v>115</v>
      </c>
      <c r="C86" s="119">
        <f t="shared" si="11"/>
        <v>92516930</v>
      </c>
      <c r="D86" s="119">
        <f t="shared" si="11"/>
        <v>83506972</v>
      </c>
      <c r="E86" s="119">
        <f t="shared" si="12"/>
        <v>-9009958</v>
      </c>
      <c r="F86" s="120">
        <f t="shared" si="13"/>
        <v>-9.7387126875048705E-2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731387</v>
      </c>
      <c r="D88" s="119">
        <f t="shared" si="11"/>
        <v>272912</v>
      </c>
      <c r="E88" s="119">
        <f t="shared" si="12"/>
        <v>-458475</v>
      </c>
      <c r="F88" s="120">
        <f t="shared" si="13"/>
        <v>-0.62685691706305968</v>
      </c>
    </row>
    <row r="89" spans="1:6" ht="15.75" x14ac:dyDescent="0.25">
      <c r="A89" s="130">
        <v>6</v>
      </c>
      <c r="B89" s="122" t="s">
        <v>118</v>
      </c>
      <c r="C89" s="119">
        <f t="shared" si="11"/>
        <v>80635954</v>
      </c>
      <c r="D89" s="119">
        <f t="shared" si="11"/>
        <v>78124335</v>
      </c>
      <c r="E89" s="119">
        <f t="shared" si="12"/>
        <v>-2511619</v>
      </c>
      <c r="F89" s="120">
        <f t="shared" si="13"/>
        <v>-3.1147631737574531E-2</v>
      </c>
    </row>
    <row r="90" spans="1:6" ht="15.75" x14ac:dyDescent="0.25">
      <c r="A90" s="130">
        <v>7</v>
      </c>
      <c r="B90" s="122" t="s">
        <v>119</v>
      </c>
      <c r="C90" s="119">
        <f t="shared" si="11"/>
        <v>96674262</v>
      </c>
      <c r="D90" s="119">
        <f t="shared" si="11"/>
        <v>116148789</v>
      </c>
      <c r="E90" s="119">
        <f t="shared" si="12"/>
        <v>19474527</v>
      </c>
      <c r="F90" s="120">
        <f t="shared" si="13"/>
        <v>0.20144479613405272</v>
      </c>
    </row>
    <row r="91" spans="1:6" ht="15.75" x14ac:dyDescent="0.25">
      <c r="A91" s="130">
        <v>8</v>
      </c>
      <c r="B91" s="122" t="s">
        <v>120</v>
      </c>
      <c r="C91" s="119">
        <f t="shared" si="11"/>
        <v>6824444</v>
      </c>
      <c r="D91" s="119">
        <f t="shared" si="11"/>
        <v>6344797</v>
      </c>
      <c r="E91" s="119">
        <f t="shared" si="12"/>
        <v>-479647</v>
      </c>
      <c r="F91" s="120">
        <f t="shared" si="13"/>
        <v>-7.028367439164275E-2</v>
      </c>
    </row>
    <row r="92" spans="1:6" ht="15.75" x14ac:dyDescent="0.25">
      <c r="A92" s="130">
        <v>9</v>
      </c>
      <c r="B92" s="122" t="s">
        <v>121</v>
      </c>
      <c r="C92" s="119">
        <f t="shared" si="11"/>
        <v>13867244</v>
      </c>
      <c r="D92" s="119">
        <f t="shared" si="11"/>
        <v>26862875</v>
      </c>
      <c r="E92" s="119">
        <f t="shared" si="12"/>
        <v>12995631</v>
      </c>
      <c r="F92" s="120">
        <f t="shared" si="13"/>
        <v>0.93714591017508597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450737235</v>
      </c>
      <c r="D95" s="128">
        <f>SUM(D84:D94)</f>
        <v>492211144</v>
      </c>
      <c r="E95" s="128">
        <f t="shared" si="12"/>
        <v>41473909</v>
      </c>
      <c r="F95" s="129">
        <f t="shared" si="13"/>
        <v>9.2013496510888429E-2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4893</v>
      </c>
      <c r="D100" s="133">
        <v>5686</v>
      </c>
      <c r="E100" s="133">
        <f t="shared" ref="E100:E111" si="14">D100-C100</f>
        <v>793</v>
      </c>
      <c r="F100" s="114">
        <f t="shared" ref="F100:F111" si="15">IF(C100=0,0,E100/C100)</f>
        <v>0.16206826078070713</v>
      </c>
    </row>
    <row r="101" spans="1:6" x14ac:dyDescent="0.2">
      <c r="A101" s="115">
        <v>2</v>
      </c>
      <c r="B101" s="116" t="s">
        <v>114</v>
      </c>
      <c r="C101" s="133">
        <v>2065</v>
      </c>
      <c r="D101" s="133">
        <v>2234</v>
      </c>
      <c r="E101" s="133">
        <f t="shared" si="14"/>
        <v>169</v>
      </c>
      <c r="F101" s="114">
        <f t="shared" si="15"/>
        <v>8.1840193704600481E-2</v>
      </c>
    </row>
    <row r="102" spans="1:6" x14ac:dyDescent="0.2">
      <c r="A102" s="115">
        <v>3</v>
      </c>
      <c r="B102" s="116" t="s">
        <v>115</v>
      </c>
      <c r="C102" s="133">
        <v>6057</v>
      </c>
      <c r="D102" s="133">
        <v>6240</v>
      </c>
      <c r="E102" s="133">
        <f t="shared" si="14"/>
        <v>183</v>
      </c>
      <c r="F102" s="114">
        <f t="shared" si="15"/>
        <v>3.0212976721149084E-2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31</v>
      </c>
      <c r="D104" s="133">
        <v>16</v>
      </c>
      <c r="E104" s="133">
        <f t="shared" si="14"/>
        <v>-15</v>
      </c>
      <c r="F104" s="114">
        <f t="shared" si="15"/>
        <v>-0.4838709677419355</v>
      </c>
    </row>
    <row r="105" spans="1:6" x14ac:dyDescent="0.2">
      <c r="A105" s="115">
        <v>6</v>
      </c>
      <c r="B105" s="116" t="s">
        <v>118</v>
      </c>
      <c r="C105" s="133">
        <v>2076</v>
      </c>
      <c r="D105" s="133">
        <v>1937</v>
      </c>
      <c r="E105" s="133">
        <f t="shared" si="14"/>
        <v>-139</v>
      </c>
      <c r="F105" s="114">
        <f t="shared" si="15"/>
        <v>-6.6955684007707128E-2</v>
      </c>
    </row>
    <row r="106" spans="1:6" x14ac:dyDescent="0.2">
      <c r="A106" s="115">
        <v>7</v>
      </c>
      <c r="B106" s="116" t="s">
        <v>119</v>
      </c>
      <c r="C106" s="133">
        <v>2771</v>
      </c>
      <c r="D106" s="133">
        <v>2827</v>
      </c>
      <c r="E106" s="133">
        <f t="shared" si="14"/>
        <v>56</v>
      </c>
      <c r="F106" s="114">
        <f t="shared" si="15"/>
        <v>2.0209310718152292E-2</v>
      </c>
    </row>
    <row r="107" spans="1:6" x14ac:dyDescent="0.2">
      <c r="A107" s="115">
        <v>8</v>
      </c>
      <c r="B107" s="116" t="s">
        <v>120</v>
      </c>
      <c r="C107" s="133">
        <v>99</v>
      </c>
      <c r="D107" s="133">
        <v>90</v>
      </c>
      <c r="E107" s="133">
        <f t="shared" si="14"/>
        <v>-9</v>
      </c>
      <c r="F107" s="114">
        <f t="shared" si="15"/>
        <v>-9.0909090909090912E-2</v>
      </c>
    </row>
    <row r="108" spans="1:6" x14ac:dyDescent="0.2">
      <c r="A108" s="115">
        <v>9</v>
      </c>
      <c r="B108" s="116" t="s">
        <v>121</v>
      </c>
      <c r="C108" s="133">
        <v>215</v>
      </c>
      <c r="D108" s="133">
        <v>785</v>
      </c>
      <c r="E108" s="133">
        <f t="shared" si="14"/>
        <v>570</v>
      </c>
      <c r="F108" s="114">
        <f t="shared" si="15"/>
        <v>2.6511627906976742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18207</v>
      </c>
      <c r="D111" s="134">
        <f>SUM(D100:D110)</f>
        <v>19815</v>
      </c>
      <c r="E111" s="134">
        <f t="shared" si="14"/>
        <v>1608</v>
      </c>
      <c r="F111" s="120">
        <f t="shared" si="15"/>
        <v>8.8317680013181743E-2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35973</v>
      </c>
      <c r="D113" s="133">
        <v>41277</v>
      </c>
      <c r="E113" s="133">
        <f t="shared" ref="E113:E124" si="16">D113-C113</f>
        <v>5304</v>
      </c>
      <c r="F113" s="114">
        <f t="shared" ref="F113:F124" si="17">IF(C113=0,0,E113/C113)</f>
        <v>0.14744391627053624</v>
      </c>
    </row>
    <row r="114" spans="1:6" x14ac:dyDescent="0.2">
      <c r="A114" s="115">
        <v>2</v>
      </c>
      <c r="B114" s="116" t="s">
        <v>114</v>
      </c>
      <c r="C114" s="133">
        <v>14249</v>
      </c>
      <c r="D114" s="133">
        <v>15618</v>
      </c>
      <c r="E114" s="133">
        <f t="shared" si="16"/>
        <v>1369</v>
      </c>
      <c r="F114" s="114">
        <f t="shared" si="17"/>
        <v>9.6076917678433571E-2</v>
      </c>
    </row>
    <row r="115" spans="1:6" x14ac:dyDescent="0.2">
      <c r="A115" s="115">
        <v>3</v>
      </c>
      <c r="B115" s="116" t="s">
        <v>115</v>
      </c>
      <c r="C115" s="133">
        <v>29184</v>
      </c>
      <c r="D115" s="133">
        <v>28455</v>
      </c>
      <c r="E115" s="133">
        <f t="shared" si="16"/>
        <v>-729</v>
      </c>
      <c r="F115" s="114">
        <f t="shared" si="17"/>
        <v>-2.4979440789473683E-2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140</v>
      </c>
      <c r="D117" s="133">
        <v>42</v>
      </c>
      <c r="E117" s="133">
        <f t="shared" si="16"/>
        <v>-98</v>
      </c>
      <c r="F117" s="114">
        <f t="shared" si="17"/>
        <v>-0.7</v>
      </c>
    </row>
    <row r="118" spans="1:6" x14ac:dyDescent="0.2">
      <c r="A118" s="115">
        <v>6</v>
      </c>
      <c r="B118" s="116" t="s">
        <v>118</v>
      </c>
      <c r="C118" s="133">
        <v>8662</v>
      </c>
      <c r="D118" s="133">
        <v>8322</v>
      </c>
      <c r="E118" s="133">
        <f t="shared" si="16"/>
        <v>-340</v>
      </c>
      <c r="F118" s="114">
        <f t="shared" si="17"/>
        <v>-3.9251904871854072E-2</v>
      </c>
    </row>
    <row r="119" spans="1:6" x14ac:dyDescent="0.2">
      <c r="A119" s="115">
        <v>7</v>
      </c>
      <c r="B119" s="116" t="s">
        <v>119</v>
      </c>
      <c r="C119" s="133">
        <v>11689</v>
      </c>
      <c r="D119" s="133">
        <v>12217</v>
      </c>
      <c r="E119" s="133">
        <f t="shared" si="16"/>
        <v>528</v>
      </c>
      <c r="F119" s="114">
        <f t="shared" si="17"/>
        <v>4.5170673282573362E-2</v>
      </c>
    </row>
    <row r="120" spans="1:6" x14ac:dyDescent="0.2">
      <c r="A120" s="115">
        <v>8</v>
      </c>
      <c r="B120" s="116" t="s">
        <v>120</v>
      </c>
      <c r="C120" s="133">
        <v>457</v>
      </c>
      <c r="D120" s="133">
        <v>466</v>
      </c>
      <c r="E120" s="133">
        <f t="shared" si="16"/>
        <v>9</v>
      </c>
      <c r="F120" s="114">
        <f t="shared" si="17"/>
        <v>1.9693654266958426E-2</v>
      </c>
    </row>
    <row r="121" spans="1:6" x14ac:dyDescent="0.2">
      <c r="A121" s="115">
        <v>9</v>
      </c>
      <c r="B121" s="116" t="s">
        <v>121</v>
      </c>
      <c r="C121" s="133">
        <v>881</v>
      </c>
      <c r="D121" s="133">
        <v>3075</v>
      </c>
      <c r="E121" s="133">
        <f t="shared" si="16"/>
        <v>2194</v>
      </c>
      <c r="F121" s="114">
        <f t="shared" si="17"/>
        <v>2.4903518728717366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101235</v>
      </c>
      <c r="D124" s="134">
        <f>SUM(D113:D123)</f>
        <v>109472</v>
      </c>
      <c r="E124" s="134">
        <f t="shared" si="16"/>
        <v>8237</v>
      </c>
      <c r="F124" s="120">
        <f t="shared" si="17"/>
        <v>8.1365140514644149E-2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42244</v>
      </c>
      <c r="D126" s="133">
        <v>43870</v>
      </c>
      <c r="E126" s="133">
        <f t="shared" ref="E126:E137" si="18">D126-C126</f>
        <v>1626</v>
      </c>
      <c r="F126" s="114">
        <f t="shared" ref="F126:F137" si="19">IF(C126=0,0,E126/C126)</f>
        <v>3.8490673231701543E-2</v>
      </c>
    </row>
    <row r="127" spans="1:6" x14ac:dyDescent="0.2">
      <c r="A127" s="115">
        <v>2</v>
      </c>
      <c r="B127" s="116" t="s">
        <v>114</v>
      </c>
      <c r="C127" s="133">
        <v>20607</v>
      </c>
      <c r="D127" s="133">
        <v>21701</v>
      </c>
      <c r="E127" s="133">
        <f t="shared" si="18"/>
        <v>1094</v>
      </c>
      <c r="F127" s="114">
        <f t="shared" si="19"/>
        <v>5.3088756247876935E-2</v>
      </c>
    </row>
    <row r="128" spans="1:6" x14ac:dyDescent="0.2">
      <c r="A128" s="115">
        <v>3</v>
      </c>
      <c r="B128" s="116" t="s">
        <v>115</v>
      </c>
      <c r="C128" s="133">
        <v>104092</v>
      </c>
      <c r="D128" s="133">
        <v>113563</v>
      </c>
      <c r="E128" s="133">
        <f t="shared" si="18"/>
        <v>9471</v>
      </c>
      <c r="F128" s="114">
        <f t="shared" si="19"/>
        <v>9.09868193521116E-2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399</v>
      </c>
      <c r="D130" s="133">
        <v>345</v>
      </c>
      <c r="E130" s="133">
        <f t="shared" si="18"/>
        <v>-54</v>
      </c>
      <c r="F130" s="114">
        <f t="shared" si="19"/>
        <v>-0.13533834586466165</v>
      </c>
    </row>
    <row r="131" spans="1:6" x14ac:dyDescent="0.2">
      <c r="A131" s="115">
        <v>6</v>
      </c>
      <c r="B131" s="116" t="s">
        <v>118</v>
      </c>
      <c r="C131" s="133">
        <v>38781</v>
      </c>
      <c r="D131" s="133">
        <v>38562</v>
      </c>
      <c r="E131" s="133">
        <f t="shared" si="18"/>
        <v>-219</v>
      </c>
      <c r="F131" s="114">
        <f t="shared" si="19"/>
        <v>-5.6470952270441712E-3</v>
      </c>
    </row>
    <row r="132" spans="1:6" x14ac:dyDescent="0.2">
      <c r="A132" s="115">
        <v>7</v>
      </c>
      <c r="B132" s="116" t="s">
        <v>119</v>
      </c>
      <c r="C132" s="133">
        <v>54533</v>
      </c>
      <c r="D132" s="133">
        <v>54879</v>
      </c>
      <c r="E132" s="133">
        <f t="shared" si="18"/>
        <v>346</v>
      </c>
      <c r="F132" s="114">
        <f t="shared" si="19"/>
        <v>6.3447820585700405E-3</v>
      </c>
    </row>
    <row r="133" spans="1:6" x14ac:dyDescent="0.2">
      <c r="A133" s="115">
        <v>8</v>
      </c>
      <c r="B133" s="116" t="s">
        <v>120</v>
      </c>
      <c r="C133" s="133">
        <v>1878</v>
      </c>
      <c r="D133" s="133">
        <v>2190</v>
      </c>
      <c r="E133" s="133">
        <f t="shared" si="18"/>
        <v>312</v>
      </c>
      <c r="F133" s="114">
        <f t="shared" si="19"/>
        <v>0.16613418530351437</v>
      </c>
    </row>
    <row r="134" spans="1:6" x14ac:dyDescent="0.2">
      <c r="A134" s="115">
        <v>9</v>
      </c>
      <c r="B134" s="116" t="s">
        <v>121</v>
      </c>
      <c r="C134" s="133">
        <v>14508</v>
      </c>
      <c r="D134" s="133">
        <v>12967</v>
      </c>
      <c r="E134" s="133">
        <f t="shared" si="18"/>
        <v>-1541</v>
      </c>
      <c r="F134" s="114">
        <f t="shared" si="19"/>
        <v>-0.1062172594430659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277042</v>
      </c>
      <c r="D137" s="134">
        <f>SUM(D126:D136)</f>
        <v>288077</v>
      </c>
      <c r="E137" s="134">
        <f t="shared" si="18"/>
        <v>11035</v>
      </c>
      <c r="F137" s="120">
        <f t="shared" si="19"/>
        <v>3.9831505692277704E-2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23471567</v>
      </c>
      <c r="D142" s="113">
        <v>22827748</v>
      </c>
      <c r="E142" s="113">
        <f t="shared" ref="E142:E153" si="20">D142-C142</f>
        <v>-643819</v>
      </c>
      <c r="F142" s="114">
        <f t="shared" ref="F142:F153" si="21">IF(C142=0,0,E142/C142)</f>
        <v>-2.7429740843463925E-2</v>
      </c>
    </row>
    <row r="143" spans="1:6" x14ac:dyDescent="0.2">
      <c r="A143" s="115">
        <v>2</v>
      </c>
      <c r="B143" s="116" t="s">
        <v>114</v>
      </c>
      <c r="C143" s="113">
        <v>11333395</v>
      </c>
      <c r="D143" s="113">
        <v>10992157</v>
      </c>
      <c r="E143" s="113">
        <f t="shared" si="20"/>
        <v>-341238</v>
      </c>
      <c r="F143" s="114">
        <f t="shared" si="21"/>
        <v>-3.010907146534644E-2</v>
      </c>
    </row>
    <row r="144" spans="1:6" x14ac:dyDescent="0.2">
      <c r="A144" s="115">
        <v>3</v>
      </c>
      <c r="B144" s="116" t="s">
        <v>115</v>
      </c>
      <c r="C144" s="113">
        <v>108272737</v>
      </c>
      <c r="D144" s="113">
        <v>120439985</v>
      </c>
      <c r="E144" s="113">
        <f t="shared" si="20"/>
        <v>12167248</v>
      </c>
      <c r="F144" s="114">
        <f t="shared" si="21"/>
        <v>0.11237591601660536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302488</v>
      </c>
      <c r="D146" s="113">
        <v>279649</v>
      </c>
      <c r="E146" s="113">
        <f t="shared" si="20"/>
        <v>-22839</v>
      </c>
      <c r="F146" s="114">
        <f t="shared" si="21"/>
        <v>-7.5503821639205521E-2</v>
      </c>
    </row>
    <row r="147" spans="1:6" x14ac:dyDescent="0.2">
      <c r="A147" s="115">
        <v>6</v>
      </c>
      <c r="B147" s="116" t="s">
        <v>118</v>
      </c>
      <c r="C147" s="113">
        <v>24834176</v>
      </c>
      <c r="D147" s="113">
        <v>22751435</v>
      </c>
      <c r="E147" s="113">
        <f t="shared" si="20"/>
        <v>-2082741</v>
      </c>
      <c r="F147" s="114">
        <f t="shared" si="21"/>
        <v>-8.3865919288000537E-2</v>
      </c>
    </row>
    <row r="148" spans="1:6" x14ac:dyDescent="0.2">
      <c r="A148" s="115">
        <v>7</v>
      </c>
      <c r="B148" s="116" t="s">
        <v>119</v>
      </c>
      <c r="C148" s="113">
        <v>31058209</v>
      </c>
      <c r="D148" s="113">
        <v>29609688</v>
      </c>
      <c r="E148" s="113">
        <f t="shared" si="20"/>
        <v>-1448521</v>
      </c>
      <c r="F148" s="114">
        <f t="shared" si="21"/>
        <v>-4.6638909539181733E-2</v>
      </c>
    </row>
    <row r="149" spans="1:6" x14ac:dyDescent="0.2">
      <c r="A149" s="115">
        <v>8</v>
      </c>
      <c r="B149" s="116" t="s">
        <v>120</v>
      </c>
      <c r="C149" s="113">
        <v>1513901</v>
      </c>
      <c r="D149" s="113">
        <v>2007781</v>
      </c>
      <c r="E149" s="113">
        <f t="shared" si="20"/>
        <v>493880</v>
      </c>
      <c r="F149" s="114">
        <f t="shared" si="21"/>
        <v>0.32623005071005301</v>
      </c>
    </row>
    <row r="150" spans="1:6" x14ac:dyDescent="0.2">
      <c r="A150" s="115">
        <v>9</v>
      </c>
      <c r="B150" s="116" t="s">
        <v>121</v>
      </c>
      <c r="C150" s="113">
        <v>21348487</v>
      </c>
      <c r="D150" s="113">
        <v>14490390</v>
      </c>
      <c r="E150" s="113">
        <f t="shared" si="20"/>
        <v>-6858097</v>
      </c>
      <c r="F150" s="114">
        <f t="shared" si="21"/>
        <v>-0.3212451074401666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222134960</v>
      </c>
      <c r="D153" s="119">
        <f>SUM(D142:D152)</f>
        <v>223398833</v>
      </c>
      <c r="E153" s="119">
        <f t="shared" si="20"/>
        <v>1263873</v>
      </c>
      <c r="F153" s="120">
        <f t="shared" si="21"/>
        <v>5.6896627167556156E-3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4694313</v>
      </c>
      <c r="D155" s="113">
        <v>3325148</v>
      </c>
      <c r="E155" s="113">
        <f t="shared" ref="E155:E166" si="22">D155-C155</f>
        <v>-1369165</v>
      </c>
      <c r="F155" s="114">
        <f t="shared" ref="F155:F166" si="23">IF(C155=0,0,E155/C155)</f>
        <v>-0.29166461631339879</v>
      </c>
    </row>
    <row r="156" spans="1:6" x14ac:dyDescent="0.2">
      <c r="A156" s="115">
        <v>2</v>
      </c>
      <c r="B156" s="116" t="s">
        <v>114</v>
      </c>
      <c r="C156" s="113">
        <v>3400018</v>
      </c>
      <c r="D156" s="113">
        <v>1436701</v>
      </c>
      <c r="E156" s="113">
        <f t="shared" si="22"/>
        <v>-1963317</v>
      </c>
      <c r="F156" s="114">
        <f t="shared" si="23"/>
        <v>-0.57744311941877957</v>
      </c>
    </row>
    <row r="157" spans="1:6" x14ac:dyDescent="0.2">
      <c r="A157" s="115">
        <v>3</v>
      </c>
      <c r="B157" s="116" t="s">
        <v>115</v>
      </c>
      <c r="C157" s="113">
        <v>27068184</v>
      </c>
      <c r="D157" s="113">
        <v>13391932</v>
      </c>
      <c r="E157" s="113">
        <f t="shared" si="22"/>
        <v>-13676252</v>
      </c>
      <c r="F157" s="114">
        <f t="shared" si="23"/>
        <v>-0.50525192233065952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241990</v>
      </c>
      <c r="D159" s="113">
        <v>53649</v>
      </c>
      <c r="E159" s="113">
        <f t="shared" si="22"/>
        <v>-188341</v>
      </c>
      <c r="F159" s="114">
        <f t="shared" si="23"/>
        <v>-0.77830075622959627</v>
      </c>
    </row>
    <row r="160" spans="1:6" x14ac:dyDescent="0.2">
      <c r="A160" s="115">
        <v>6</v>
      </c>
      <c r="B160" s="116" t="s">
        <v>118</v>
      </c>
      <c r="C160" s="113">
        <v>12290863</v>
      </c>
      <c r="D160" s="113">
        <v>8535883</v>
      </c>
      <c r="E160" s="113">
        <f t="shared" si="22"/>
        <v>-3754980</v>
      </c>
      <c r="F160" s="114">
        <f t="shared" si="23"/>
        <v>-0.30550987347267639</v>
      </c>
    </row>
    <row r="161" spans="1:6" x14ac:dyDescent="0.2">
      <c r="A161" s="115">
        <v>7</v>
      </c>
      <c r="B161" s="116" t="s">
        <v>119</v>
      </c>
      <c r="C161" s="113">
        <v>18802820</v>
      </c>
      <c r="D161" s="113">
        <v>9468979</v>
      </c>
      <c r="E161" s="113">
        <f t="shared" si="22"/>
        <v>-9333841</v>
      </c>
      <c r="F161" s="114">
        <f t="shared" si="23"/>
        <v>-0.49640644328882583</v>
      </c>
    </row>
    <row r="162" spans="1:6" x14ac:dyDescent="0.2">
      <c r="A162" s="115">
        <v>8</v>
      </c>
      <c r="B162" s="116" t="s">
        <v>120</v>
      </c>
      <c r="C162" s="113">
        <v>1211121</v>
      </c>
      <c r="D162" s="113">
        <v>792584</v>
      </c>
      <c r="E162" s="113">
        <f t="shared" si="22"/>
        <v>-418537</v>
      </c>
      <c r="F162" s="114">
        <f t="shared" si="23"/>
        <v>-0.3455781874808545</v>
      </c>
    </row>
    <row r="163" spans="1:6" x14ac:dyDescent="0.2">
      <c r="A163" s="115">
        <v>9</v>
      </c>
      <c r="B163" s="116" t="s">
        <v>121</v>
      </c>
      <c r="C163" s="113">
        <v>17078789</v>
      </c>
      <c r="D163" s="113">
        <v>3947603</v>
      </c>
      <c r="E163" s="113">
        <f t="shared" si="22"/>
        <v>-13131186</v>
      </c>
      <c r="F163" s="114">
        <f t="shared" si="23"/>
        <v>-0.7688593143225787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84788098</v>
      </c>
      <c r="D166" s="119">
        <f>SUM(D155:D165)</f>
        <v>40952479</v>
      </c>
      <c r="E166" s="119">
        <f t="shared" si="22"/>
        <v>-43835619</v>
      </c>
      <c r="F166" s="120">
        <f t="shared" si="23"/>
        <v>-0.51700203252583876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6149</v>
      </c>
      <c r="D168" s="133">
        <v>5750</v>
      </c>
      <c r="E168" s="133">
        <f t="shared" ref="E168:E179" si="24">D168-C168</f>
        <v>-399</v>
      </c>
      <c r="F168" s="114">
        <f t="shared" ref="F168:F179" si="25">IF(C168=0,0,E168/C168)</f>
        <v>-6.4888599772320699E-2</v>
      </c>
    </row>
    <row r="169" spans="1:6" x14ac:dyDescent="0.2">
      <c r="A169" s="115">
        <v>2</v>
      </c>
      <c r="B169" s="116" t="s">
        <v>114</v>
      </c>
      <c r="C169" s="133">
        <v>2715</v>
      </c>
      <c r="D169" s="133">
        <v>2802</v>
      </c>
      <c r="E169" s="133">
        <f t="shared" si="24"/>
        <v>87</v>
      </c>
      <c r="F169" s="114">
        <f t="shared" si="25"/>
        <v>3.2044198895027624E-2</v>
      </c>
    </row>
    <row r="170" spans="1:6" x14ac:dyDescent="0.2">
      <c r="A170" s="115">
        <v>3</v>
      </c>
      <c r="B170" s="116" t="s">
        <v>115</v>
      </c>
      <c r="C170" s="133">
        <v>39450</v>
      </c>
      <c r="D170" s="133">
        <v>45211</v>
      </c>
      <c r="E170" s="133">
        <f t="shared" si="24"/>
        <v>5761</v>
      </c>
      <c r="F170" s="114">
        <f t="shared" si="25"/>
        <v>0.14603295310519646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123</v>
      </c>
      <c r="D172" s="133">
        <v>121</v>
      </c>
      <c r="E172" s="133">
        <f t="shared" si="24"/>
        <v>-2</v>
      </c>
      <c r="F172" s="114">
        <f t="shared" si="25"/>
        <v>-1.6260162601626018E-2</v>
      </c>
    </row>
    <row r="173" spans="1:6" x14ac:dyDescent="0.2">
      <c r="A173" s="115">
        <v>6</v>
      </c>
      <c r="B173" s="116" t="s">
        <v>118</v>
      </c>
      <c r="C173" s="133">
        <v>7992</v>
      </c>
      <c r="D173" s="133">
        <v>7050</v>
      </c>
      <c r="E173" s="133">
        <f t="shared" si="24"/>
        <v>-942</v>
      </c>
      <c r="F173" s="114">
        <f t="shared" si="25"/>
        <v>-0.11786786786786786</v>
      </c>
    </row>
    <row r="174" spans="1:6" x14ac:dyDescent="0.2">
      <c r="A174" s="115">
        <v>7</v>
      </c>
      <c r="B174" s="116" t="s">
        <v>119</v>
      </c>
      <c r="C174" s="133">
        <v>10161</v>
      </c>
      <c r="D174" s="133">
        <v>9111</v>
      </c>
      <c r="E174" s="133">
        <f t="shared" si="24"/>
        <v>-1050</v>
      </c>
      <c r="F174" s="114">
        <f t="shared" si="25"/>
        <v>-0.10333628579864186</v>
      </c>
    </row>
    <row r="175" spans="1:6" x14ac:dyDescent="0.2">
      <c r="A175" s="115">
        <v>8</v>
      </c>
      <c r="B175" s="116" t="s">
        <v>120</v>
      </c>
      <c r="C175" s="133">
        <v>527</v>
      </c>
      <c r="D175" s="133">
        <v>703</v>
      </c>
      <c r="E175" s="133">
        <f t="shared" si="24"/>
        <v>176</v>
      </c>
      <c r="F175" s="114">
        <f t="shared" si="25"/>
        <v>0.33396584440227706</v>
      </c>
    </row>
    <row r="176" spans="1:6" x14ac:dyDescent="0.2">
      <c r="A176" s="115">
        <v>9</v>
      </c>
      <c r="B176" s="116" t="s">
        <v>121</v>
      </c>
      <c r="C176" s="133">
        <v>6789</v>
      </c>
      <c r="D176" s="133">
        <v>5526</v>
      </c>
      <c r="E176" s="133">
        <f t="shared" si="24"/>
        <v>-1263</v>
      </c>
      <c r="F176" s="114">
        <f t="shared" si="25"/>
        <v>-0.18603623508616882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73906</v>
      </c>
      <c r="D179" s="134">
        <f>SUM(D168:D178)</f>
        <v>76274</v>
      </c>
      <c r="E179" s="134">
        <f t="shared" si="24"/>
        <v>2368</v>
      </c>
      <c r="F179" s="120">
        <f t="shared" si="25"/>
        <v>3.2040700349092087E-2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FILING&amp;RBRIDGEPORT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53745825</v>
      </c>
      <c r="D15" s="157">
        <v>58048061</v>
      </c>
      <c r="E15" s="157">
        <f>+D15-C15</f>
        <v>4302236</v>
      </c>
      <c r="F15" s="161">
        <f>IF(C15=0,0,E15/C15)</f>
        <v>8.0047817667697904E-2</v>
      </c>
    </row>
    <row r="16" spans="1:6" ht="15" customHeight="1" x14ac:dyDescent="0.2">
      <c r="A16" s="147">
        <v>2</v>
      </c>
      <c r="B16" s="160" t="s">
        <v>157</v>
      </c>
      <c r="C16" s="157">
        <v>13355748</v>
      </c>
      <c r="D16" s="157">
        <v>14415875</v>
      </c>
      <c r="E16" s="157">
        <f>+D16-C16</f>
        <v>1060127</v>
      </c>
      <c r="F16" s="161">
        <f>IF(C16=0,0,E16/C16)</f>
        <v>7.93760858620573E-2</v>
      </c>
    </row>
    <row r="17" spans="1:6" ht="15" customHeight="1" x14ac:dyDescent="0.2">
      <c r="A17" s="147">
        <v>3</v>
      </c>
      <c r="B17" s="160" t="s">
        <v>158</v>
      </c>
      <c r="C17" s="157">
        <v>86349427</v>
      </c>
      <c r="D17" s="157">
        <v>84157064</v>
      </c>
      <c r="E17" s="157">
        <f>+D17-C17</f>
        <v>-2192363</v>
      </c>
      <c r="F17" s="161">
        <f>IF(C17=0,0,E17/C17)</f>
        <v>-2.5389433099538693E-2</v>
      </c>
    </row>
    <row r="18" spans="1:6" ht="15.75" customHeight="1" x14ac:dyDescent="0.25">
      <c r="A18" s="147"/>
      <c r="B18" s="162" t="s">
        <v>159</v>
      </c>
      <c r="C18" s="158">
        <f>SUM(C15:C17)</f>
        <v>153451000</v>
      </c>
      <c r="D18" s="158">
        <f>SUM(D15:D17)</f>
        <v>156621000</v>
      </c>
      <c r="E18" s="158">
        <f>+D18-C18</f>
        <v>3170000</v>
      </c>
      <c r="F18" s="159">
        <f>IF(C18=0,0,E18/C18)</f>
        <v>2.0658060227694834E-2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13784956</v>
      </c>
      <c r="D21" s="157">
        <v>15773784</v>
      </c>
      <c r="E21" s="157">
        <f>+D21-C21</f>
        <v>1988828</v>
      </c>
      <c r="F21" s="161">
        <f>IF(C21=0,0,E21/C21)</f>
        <v>0.14427525194857349</v>
      </c>
    </row>
    <row r="22" spans="1:6" ht="15" customHeight="1" x14ac:dyDescent="0.2">
      <c r="A22" s="147">
        <v>2</v>
      </c>
      <c r="B22" s="160" t="s">
        <v>162</v>
      </c>
      <c r="C22" s="157">
        <v>2616814</v>
      </c>
      <c r="D22" s="157">
        <v>2895000</v>
      </c>
      <c r="E22" s="157">
        <f>+D22-C22</f>
        <v>278186</v>
      </c>
      <c r="F22" s="161">
        <f>IF(C22=0,0,E22/C22)</f>
        <v>0.10630713531798591</v>
      </c>
    </row>
    <row r="23" spans="1:6" ht="15" customHeight="1" x14ac:dyDescent="0.2">
      <c r="A23" s="147">
        <v>3</v>
      </c>
      <c r="B23" s="160" t="s">
        <v>163</v>
      </c>
      <c r="C23" s="157">
        <v>31703230</v>
      </c>
      <c r="D23" s="157">
        <v>31916216</v>
      </c>
      <c r="E23" s="157">
        <f>+D23-C23</f>
        <v>212986</v>
      </c>
      <c r="F23" s="161">
        <f>IF(C23=0,0,E23/C23)</f>
        <v>6.7181167344778437E-3</v>
      </c>
    </row>
    <row r="24" spans="1:6" ht="15.75" customHeight="1" x14ac:dyDescent="0.25">
      <c r="A24" s="147"/>
      <c r="B24" s="162" t="s">
        <v>164</v>
      </c>
      <c r="C24" s="158">
        <f>SUM(C21:C23)</f>
        <v>48105000</v>
      </c>
      <c r="D24" s="158">
        <f>SUM(D21:D23)</f>
        <v>50585000</v>
      </c>
      <c r="E24" s="158">
        <f>+D24-C24</f>
        <v>2480000</v>
      </c>
      <c r="F24" s="159">
        <f>IF(C24=0,0,E24/C24)</f>
        <v>5.1553892526764372E-2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1877442</v>
      </c>
      <c r="D27" s="157">
        <v>1877442</v>
      </c>
      <c r="E27" s="157">
        <f>+D27-C27</f>
        <v>0</v>
      </c>
      <c r="F27" s="161">
        <f>IF(C27=0,0,E27/C27)</f>
        <v>0</v>
      </c>
    </row>
    <row r="28" spans="1:6" ht="15" customHeight="1" x14ac:dyDescent="0.2">
      <c r="A28" s="147">
        <v>2</v>
      </c>
      <c r="B28" s="160" t="s">
        <v>167</v>
      </c>
      <c r="C28" s="157">
        <v>25569000</v>
      </c>
      <c r="D28" s="157">
        <v>27676000</v>
      </c>
      <c r="E28" s="157">
        <f>+D28-C28</f>
        <v>2107000</v>
      </c>
      <c r="F28" s="161">
        <f>IF(C28=0,0,E28/C28)</f>
        <v>8.2404474167937738E-2</v>
      </c>
    </row>
    <row r="29" spans="1:6" ht="15" customHeight="1" x14ac:dyDescent="0.2">
      <c r="A29" s="147">
        <v>3</v>
      </c>
      <c r="B29" s="160" t="s">
        <v>168</v>
      </c>
      <c r="C29" s="157">
        <v>44874388</v>
      </c>
      <c r="D29" s="157">
        <v>49765859</v>
      </c>
      <c r="E29" s="157">
        <f>+D29-C29</f>
        <v>4891471</v>
      </c>
      <c r="F29" s="161">
        <f>IF(C29=0,0,E29/C29)</f>
        <v>0.10900362585446291</v>
      </c>
    </row>
    <row r="30" spans="1:6" ht="15.75" customHeight="1" x14ac:dyDescent="0.25">
      <c r="A30" s="147"/>
      <c r="B30" s="162" t="s">
        <v>169</v>
      </c>
      <c r="C30" s="158">
        <f>SUM(C27:C29)</f>
        <v>72320830</v>
      </c>
      <c r="D30" s="158">
        <f>SUM(D27:D29)</f>
        <v>79319301</v>
      </c>
      <c r="E30" s="158">
        <f>+D30-C30</f>
        <v>6998471</v>
      </c>
      <c r="F30" s="159">
        <f>IF(C30=0,0,E30/C30)</f>
        <v>9.6769782647682559E-2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37229000</v>
      </c>
      <c r="D33" s="157">
        <v>40470000</v>
      </c>
      <c r="E33" s="157">
        <f>+D33-C33</f>
        <v>3241000</v>
      </c>
      <c r="F33" s="161">
        <f>IF(C33=0,0,E33/C33)</f>
        <v>8.7055789841252784E-2</v>
      </c>
    </row>
    <row r="34" spans="1:6" ht="15" customHeight="1" x14ac:dyDescent="0.2">
      <c r="A34" s="147">
        <v>2</v>
      </c>
      <c r="B34" s="160" t="s">
        <v>173</v>
      </c>
      <c r="C34" s="157">
        <v>12879000</v>
      </c>
      <c r="D34" s="157">
        <v>12094000</v>
      </c>
      <c r="E34" s="157">
        <f>+D34-C34</f>
        <v>-785000</v>
      </c>
      <c r="F34" s="161">
        <f>IF(C34=0,0,E34/C34)</f>
        <v>-6.09519372622098E-2</v>
      </c>
    </row>
    <row r="35" spans="1:6" ht="15.75" customHeight="1" x14ac:dyDescent="0.25">
      <c r="A35" s="147"/>
      <c r="B35" s="162" t="s">
        <v>174</v>
      </c>
      <c r="C35" s="158">
        <f>SUM(C33:C34)</f>
        <v>50108000</v>
      </c>
      <c r="D35" s="158">
        <f>SUM(D33:D34)</f>
        <v>52564000</v>
      </c>
      <c r="E35" s="158">
        <f>+D35-C35</f>
        <v>2456000</v>
      </c>
      <c r="F35" s="159">
        <f>IF(C35=0,0,E35/C35)</f>
        <v>4.9014129480322501E-2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16106000</v>
      </c>
      <c r="D38" s="157">
        <v>16206000</v>
      </c>
      <c r="E38" s="157">
        <f>+D38-C38</f>
        <v>100000</v>
      </c>
      <c r="F38" s="161">
        <f>IF(C38=0,0,E38/C38)</f>
        <v>6.2088662610207375E-3</v>
      </c>
    </row>
    <row r="39" spans="1:6" ht="15" customHeight="1" x14ac:dyDescent="0.2">
      <c r="A39" s="147">
        <v>2</v>
      </c>
      <c r="B39" s="160" t="s">
        <v>178</v>
      </c>
      <c r="C39" s="157">
        <v>14851000</v>
      </c>
      <c r="D39" s="157">
        <v>14942000</v>
      </c>
      <c r="E39" s="157">
        <f>+D39-C39</f>
        <v>91000</v>
      </c>
      <c r="F39" s="161">
        <f>IF(C39=0,0,E39/C39)</f>
        <v>6.1275334994276478E-3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30957000</v>
      </c>
      <c r="D41" s="158">
        <f>SUM(D38:D40)</f>
        <v>31148000</v>
      </c>
      <c r="E41" s="158">
        <f>+D41-C41</f>
        <v>191000</v>
      </c>
      <c r="F41" s="159">
        <f>IF(C41=0,0,E41/C41)</f>
        <v>6.1698484995316083E-3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2566000</v>
      </c>
      <c r="D47" s="157">
        <v>3048000</v>
      </c>
      <c r="E47" s="157">
        <f>+D47-C47</f>
        <v>482000</v>
      </c>
      <c r="F47" s="161">
        <f>IF(C47=0,0,E47/C47)</f>
        <v>0.18784099766173032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-285000</v>
      </c>
      <c r="D50" s="157">
        <v>6225000</v>
      </c>
      <c r="E50" s="157">
        <f>+D50-C50</f>
        <v>6510000</v>
      </c>
      <c r="F50" s="161">
        <f>IF(C50=0,0,E50/C50)</f>
        <v>-22.842105263157894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350604</v>
      </c>
      <c r="D53" s="157">
        <v>426410</v>
      </c>
      <c r="E53" s="157">
        <f t="shared" ref="E53:E59" si="0">+D53-C53</f>
        <v>75806</v>
      </c>
      <c r="F53" s="161">
        <f t="shared" ref="F53:F59" si="1">IF(C53=0,0,E53/C53)</f>
        <v>0.21621544534574619</v>
      </c>
    </row>
    <row r="54" spans="1:6" ht="15" customHeight="1" x14ac:dyDescent="0.2">
      <c r="A54" s="147">
        <v>2</v>
      </c>
      <c r="B54" s="160" t="s">
        <v>189</v>
      </c>
      <c r="C54" s="157">
        <v>1713841</v>
      </c>
      <c r="D54" s="157">
        <v>798743</v>
      </c>
      <c r="E54" s="157">
        <f t="shared" si="0"/>
        <v>-915098</v>
      </c>
      <c r="F54" s="161">
        <f t="shared" si="1"/>
        <v>-0.53394568107543228</v>
      </c>
    </row>
    <row r="55" spans="1:6" ht="15" customHeight="1" x14ac:dyDescent="0.2">
      <c r="A55" s="147">
        <v>3</v>
      </c>
      <c r="B55" s="160" t="s">
        <v>190</v>
      </c>
      <c r="C55" s="157">
        <v>0</v>
      </c>
      <c r="D55" s="157">
        <v>0</v>
      </c>
      <c r="E55" s="157">
        <f t="shared" si="0"/>
        <v>0</v>
      </c>
      <c r="F55" s="161">
        <f t="shared" si="1"/>
        <v>0</v>
      </c>
    </row>
    <row r="56" spans="1:6" ht="15" customHeight="1" x14ac:dyDescent="0.2">
      <c r="A56" s="147">
        <v>4</v>
      </c>
      <c r="B56" s="160" t="s">
        <v>191</v>
      </c>
      <c r="C56" s="157">
        <v>3572578</v>
      </c>
      <c r="D56" s="157">
        <v>4025277</v>
      </c>
      <c r="E56" s="157">
        <f t="shared" si="0"/>
        <v>452699</v>
      </c>
      <c r="F56" s="161">
        <f t="shared" si="1"/>
        <v>0.12671493806433337</v>
      </c>
    </row>
    <row r="57" spans="1:6" ht="15" customHeight="1" x14ac:dyDescent="0.2">
      <c r="A57" s="147">
        <v>5</v>
      </c>
      <c r="B57" s="160" t="s">
        <v>192</v>
      </c>
      <c r="C57" s="157">
        <v>52135</v>
      </c>
      <c r="D57" s="157">
        <v>62410</v>
      </c>
      <c r="E57" s="157">
        <f t="shared" si="0"/>
        <v>10275</v>
      </c>
      <c r="F57" s="161">
        <f t="shared" si="1"/>
        <v>0.19708449218375371</v>
      </c>
    </row>
    <row r="58" spans="1:6" ht="15" customHeight="1" x14ac:dyDescent="0.2">
      <c r="A58" s="147">
        <v>6</v>
      </c>
      <c r="B58" s="160" t="s">
        <v>193</v>
      </c>
      <c r="C58" s="157">
        <v>1727</v>
      </c>
      <c r="D58" s="157">
        <v>262</v>
      </c>
      <c r="E58" s="157">
        <f t="shared" si="0"/>
        <v>-1465</v>
      </c>
      <c r="F58" s="161">
        <f t="shared" si="1"/>
        <v>-0.84829183555298204</v>
      </c>
    </row>
    <row r="59" spans="1:6" ht="15.75" customHeight="1" x14ac:dyDescent="0.25">
      <c r="A59" s="147"/>
      <c r="B59" s="162" t="s">
        <v>194</v>
      </c>
      <c r="C59" s="158">
        <f>SUM(C53:C58)</f>
        <v>5690885</v>
      </c>
      <c r="D59" s="158">
        <f>SUM(D53:D58)</f>
        <v>5313102</v>
      </c>
      <c r="E59" s="158">
        <f t="shared" si="0"/>
        <v>-377783</v>
      </c>
      <c r="F59" s="159">
        <f t="shared" si="1"/>
        <v>-6.6383875267203601E-2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412432</v>
      </c>
      <c r="D62" s="157">
        <v>408000</v>
      </c>
      <c r="E62" s="157">
        <f t="shared" ref="E62:E90" si="2">+D62-C62</f>
        <v>-4432</v>
      </c>
      <c r="F62" s="161">
        <f t="shared" ref="F62:F90" si="3">IF(C62=0,0,E62/C62)</f>
        <v>-1.074601388835008E-2</v>
      </c>
    </row>
    <row r="63" spans="1:6" ht="15" customHeight="1" x14ac:dyDescent="0.2">
      <c r="A63" s="147">
        <v>2</v>
      </c>
      <c r="B63" s="160" t="s">
        <v>198</v>
      </c>
      <c r="C63" s="157">
        <v>948577</v>
      </c>
      <c r="D63" s="157">
        <v>148411</v>
      </c>
      <c r="E63" s="157">
        <f t="shared" si="2"/>
        <v>-800166</v>
      </c>
      <c r="F63" s="161">
        <f t="shared" si="3"/>
        <v>-0.84354353942800642</v>
      </c>
    </row>
    <row r="64" spans="1:6" ht="15" customHeight="1" x14ac:dyDescent="0.2">
      <c r="A64" s="147">
        <v>3</v>
      </c>
      <c r="B64" s="160" t="s">
        <v>199</v>
      </c>
      <c r="C64" s="157">
        <v>628109</v>
      </c>
      <c r="D64" s="157">
        <v>633481</v>
      </c>
      <c r="E64" s="157">
        <f t="shared" si="2"/>
        <v>5372</v>
      </c>
      <c r="F64" s="161">
        <f t="shared" si="3"/>
        <v>8.552655669636958E-3</v>
      </c>
    </row>
    <row r="65" spans="1:6" ht="15" customHeight="1" x14ac:dyDescent="0.2">
      <c r="A65" s="147">
        <v>4</v>
      </c>
      <c r="B65" s="160" t="s">
        <v>200</v>
      </c>
      <c r="C65" s="157">
        <v>635782</v>
      </c>
      <c r="D65" s="157">
        <v>762801</v>
      </c>
      <c r="E65" s="157">
        <f t="shared" si="2"/>
        <v>127019</v>
      </c>
      <c r="F65" s="161">
        <f t="shared" si="3"/>
        <v>0.19978388818808962</v>
      </c>
    </row>
    <row r="66" spans="1:6" ht="15" customHeight="1" x14ac:dyDescent="0.2">
      <c r="A66" s="147">
        <v>5</v>
      </c>
      <c r="B66" s="160" t="s">
        <v>201</v>
      </c>
      <c r="C66" s="157">
        <v>70806</v>
      </c>
      <c r="D66" s="157">
        <v>14442</v>
      </c>
      <c r="E66" s="157">
        <f t="shared" si="2"/>
        <v>-56364</v>
      </c>
      <c r="F66" s="161">
        <f t="shared" si="3"/>
        <v>-0.79603423438691634</v>
      </c>
    </row>
    <row r="67" spans="1:6" ht="15" customHeight="1" x14ac:dyDescent="0.2">
      <c r="A67" s="147">
        <v>6</v>
      </c>
      <c r="B67" s="160" t="s">
        <v>202</v>
      </c>
      <c r="C67" s="157">
        <v>3275359</v>
      </c>
      <c r="D67" s="157">
        <v>3722969</v>
      </c>
      <c r="E67" s="157">
        <f t="shared" si="2"/>
        <v>447610</v>
      </c>
      <c r="F67" s="161">
        <f t="shared" si="3"/>
        <v>0.13665982873938398</v>
      </c>
    </row>
    <row r="68" spans="1:6" ht="15" customHeight="1" x14ac:dyDescent="0.2">
      <c r="A68" s="147">
        <v>7</v>
      </c>
      <c r="B68" s="160" t="s">
        <v>203</v>
      </c>
      <c r="C68" s="157">
        <v>9478420</v>
      </c>
      <c r="D68" s="157">
        <v>10150275</v>
      </c>
      <c r="E68" s="157">
        <f t="shared" si="2"/>
        <v>671855</v>
      </c>
      <c r="F68" s="161">
        <f t="shared" si="3"/>
        <v>7.0882594356443368E-2</v>
      </c>
    </row>
    <row r="69" spans="1:6" ht="15" customHeight="1" x14ac:dyDescent="0.2">
      <c r="A69" s="147">
        <v>8</v>
      </c>
      <c r="B69" s="160" t="s">
        <v>204</v>
      </c>
      <c r="C69" s="157">
        <v>765438</v>
      </c>
      <c r="D69" s="157">
        <v>631621</v>
      </c>
      <c r="E69" s="157">
        <f t="shared" si="2"/>
        <v>-133817</v>
      </c>
      <c r="F69" s="161">
        <f t="shared" si="3"/>
        <v>-0.17482408764655008</v>
      </c>
    </row>
    <row r="70" spans="1:6" ht="15" customHeight="1" x14ac:dyDescent="0.2">
      <c r="A70" s="147">
        <v>9</v>
      </c>
      <c r="B70" s="160" t="s">
        <v>205</v>
      </c>
      <c r="C70" s="157">
        <v>606795</v>
      </c>
      <c r="D70" s="157">
        <v>676834</v>
      </c>
      <c r="E70" s="157">
        <f t="shared" si="2"/>
        <v>70039</v>
      </c>
      <c r="F70" s="161">
        <f t="shared" si="3"/>
        <v>0.11542448438105127</v>
      </c>
    </row>
    <row r="71" spans="1:6" ht="15" customHeight="1" x14ac:dyDescent="0.2">
      <c r="A71" s="147">
        <v>10</v>
      </c>
      <c r="B71" s="160" t="s">
        <v>206</v>
      </c>
      <c r="C71" s="157">
        <v>4954</v>
      </c>
      <c r="D71" s="157">
        <v>5740</v>
      </c>
      <c r="E71" s="157">
        <f t="shared" si="2"/>
        <v>786</v>
      </c>
      <c r="F71" s="161">
        <f t="shared" si="3"/>
        <v>0.1586596689543803</v>
      </c>
    </row>
    <row r="72" spans="1:6" ht="15" customHeight="1" x14ac:dyDescent="0.2">
      <c r="A72" s="147">
        <v>11</v>
      </c>
      <c r="B72" s="160" t="s">
        <v>207</v>
      </c>
      <c r="C72" s="157">
        <v>221091</v>
      </c>
      <c r="D72" s="157">
        <v>443411</v>
      </c>
      <c r="E72" s="157">
        <f t="shared" si="2"/>
        <v>222320</v>
      </c>
      <c r="F72" s="161">
        <f t="shared" si="3"/>
        <v>1.0055587970564157</v>
      </c>
    </row>
    <row r="73" spans="1:6" ht="15" customHeight="1" x14ac:dyDescent="0.2">
      <c r="A73" s="147">
        <v>12</v>
      </c>
      <c r="B73" s="160" t="s">
        <v>208</v>
      </c>
      <c r="C73" s="157">
        <v>5104234</v>
      </c>
      <c r="D73" s="157">
        <v>5499527</v>
      </c>
      <c r="E73" s="157">
        <f t="shared" si="2"/>
        <v>395293</v>
      </c>
      <c r="F73" s="161">
        <f t="shared" si="3"/>
        <v>7.7444137553254813E-2</v>
      </c>
    </row>
    <row r="74" spans="1:6" ht="15" customHeight="1" x14ac:dyDescent="0.2">
      <c r="A74" s="147">
        <v>13</v>
      </c>
      <c r="B74" s="160" t="s">
        <v>209</v>
      </c>
      <c r="C74" s="157">
        <v>527232</v>
      </c>
      <c r="D74" s="157">
        <v>484662</v>
      </c>
      <c r="E74" s="157">
        <f t="shared" si="2"/>
        <v>-42570</v>
      </c>
      <c r="F74" s="161">
        <f t="shared" si="3"/>
        <v>-8.0742443554260745E-2</v>
      </c>
    </row>
    <row r="75" spans="1:6" ht="15" customHeight="1" x14ac:dyDescent="0.2">
      <c r="A75" s="147">
        <v>14</v>
      </c>
      <c r="B75" s="160" t="s">
        <v>210</v>
      </c>
      <c r="C75" s="157">
        <v>465300</v>
      </c>
      <c r="D75" s="157">
        <v>407476</v>
      </c>
      <c r="E75" s="157">
        <f t="shared" si="2"/>
        <v>-57824</v>
      </c>
      <c r="F75" s="161">
        <f t="shared" si="3"/>
        <v>-0.12427251235761874</v>
      </c>
    </row>
    <row r="76" spans="1:6" ht="15" customHeight="1" x14ac:dyDescent="0.2">
      <c r="A76" s="147">
        <v>15</v>
      </c>
      <c r="B76" s="160" t="s">
        <v>211</v>
      </c>
      <c r="C76" s="157">
        <v>0</v>
      </c>
      <c r="D76" s="157">
        <v>0</v>
      </c>
      <c r="E76" s="157">
        <f t="shared" si="2"/>
        <v>0</v>
      </c>
      <c r="F76" s="161">
        <f t="shared" si="3"/>
        <v>0</v>
      </c>
    </row>
    <row r="77" spans="1:6" ht="15" customHeight="1" x14ac:dyDescent="0.2">
      <c r="A77" s="147">
        <v>16</v>
      </c>
      <c r="B77" s="160" t="s">
        <v>212</v>
      </c>
      <c r="C77" s="157">
        <v>5161234</v>
      </c>
      <c r="D77" s="157">
        <v>5461092</v>
      </c>
      <c r="E77" s="157">
        <f t="shared" si="2"/>
        <v>299858</v>
      </c>
      <c r="F77" s="161">
        <f t="shared" si="3"/>
        <v>5.8098121495750825E-2</v>
      </c>
    </row>
    <row r="78" spans="1:6" ht="15" customHeight="1" x14ac:dyDescent="0.2">
      <c r="A78" s="147">
        <v>17</v>
      </c>
      <c r="B78" s="160" t="s">
        <v>213</v>
      </c>
      <c r="C78" s="157">
        <v>177274</v>
      </c>
      <c r="D78" s="157">
        <v>179524</v>
      </c>
      <c r="E78" s="157">
        <f t="shared" si="2"/>
        <v>2250</v>
      </c>
      <c r="F78" s="161">
        <f t="shared" si="3"/>
        <v>1.2692216568701557E-2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601994</v>
      </c>
      <c r="D80" s="157">
        <v>616851</v>
      </c>
      <c r="E80" s="157">
        <f t="shared" si="2"/>
        <v>14857</v>
      </c>
      <c r="F80" s="161">
        <f t="shared" si="3"/>
        <v>2.4679647969913322E-2</v>
      </c>
    </row>
    <row r="81" spans="1:6" ht="15" customHeight="1" x14ac:dyDescent="0.2">
      <c r="A81" s="147">
        <v>20</v>
      </c>
      <c r="B81" s="160" t="s">
        <v>216</v>
      </c>
      <c r="C81" s="157">
        <v>1052918</v>
      </c>
      <c r="D81" s="157">
        <v>1245850</v>
      </c>
      <c r="E81" s="157">
        <f t="shared" si="2"/>
        <v>192932</v>
      </c>
      <c r="F81" s="161">
        <f t="shared" si="3"/>
        <v>0.18323554160912817</v>
      </c>
    </row>
    <row r="82" spans="1:6" ht="15" customHeight="1" x14ac:dyDescent="0.2">
      <c r="A82" s="147">
        <v>21</v>
      </c>
      <c r="B82" s="160" t="s">
        <v>217</v>
      </c>
      <c r="C82" s="157">
        <v>3611620</v>
      </c>
      <c r="D82" s="157">
        <v>473989</v>
      </c>
      <c r="E82" s="157">
        <f t="shared" si="2"/>
        <v>-3137631</v>
      </c>
      <c r="F82" s="161">
        <f t="shared" si="3"/>
        <v>-0.86876000243657969</v>
      </c>
    </row>
    <row r="83" spans="1:6" ht="15" customHeight="1" x14ac:dyDescent="0.2">
      <c r="A83" s="147">
        <v>22</v>
      </c>
      <c r="B83" s="160" t="s">
        <v>218</v>
      </c>
      <c r="C83" s="157">
        <v>283566</v>
      </c>
      <c r="D83" s="157">
        <v>249757</v>
      </c>
      <c r="E83" s="157">
        <f t="shared" si="2"/>
        <v>-33809</v>
      </c>
      <c r="F83" s="161">
        <f t="shared" si="3"/>
        <v>-0.11922797514511613</v>
      </c>
    </row>
    <row r="84" spans="1:6" ht="15" customHeight="1" x14ac:dyDescent="0.2">
      <c r="A84" s="147">
        <v>23</v>
      </c>
      <c r="B84" s="160" t="s">
        <v>219</v>
      </c>
      <c r="C84" s="157">
        <v>2328543</v>
      </c>
      <c r="D84" s="157">
        <v>2446103</v>
      </c>
      <c r="E84" s="157">
        <f t="shared" si="2"/>
        <v>117560</v>
      </c>
      <c r="F84" s="161">
        <f t="shared" si="3"/>
        <v>5.0486505939551042E-2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162951</v>
      </c>
      <c r="D86" s="157">
        <v>139787</v>
      </c>
      <c r="E86" s="157">
        <f t="shared" si="2"/>
        <v>-23164</v>
      </c>
      <c r="F86" s="161">
        <f t="shared" si="3"/>
        <v>-0.14215316260716412</v>
      </c>
    </row>
    <row r="87" spans="1:6" ht="15" customHeight="1" x14ac:dyDescent="0.2">
      <c r="A87" s="147">
        <v>26</v>
      </c>
      <c r="B87" s="160" t="s">
        <v>222</v>
      </c>
      <c r="C87" s="157">
        <v>0</v>
      </c>
      <c r="D87" s="157">
        <v>0</v>
      </c>
      <c r="E87" s="157">
        <f t="shared" si="2"/>
        <v>0</v>
      </c>
      <c r="F87" s="161">
        <f t="shared" si="3"/>
        <v>0</v>
      </c>
    </row>
    <row r="88" spans="1:6" ht="15" customHeight="1" x14ac:dyDescent="0.2">
      <c r="A88" s="147">
        <v>27</v>
      </c>
      <c r="B88" s="160" t="s">
        <v>223</v>
      </c>
      <c r="C88" s="157">
        <v>0</v>
      </c>
      <c r="D88" s="157">
        <v>0</v>
      </c>
      <c r="E88" s="157">
        <f t="shared" si="2"/>
        <v>0</v>
      </c>
      <c r="F88" s="161">
        <f t="shared" si="3"/>
        <v>0</v>
      </c>
    </row>
    <row r="89" spans="1:6" ht="15" customHeight="1" x14ac:dyDescent="0.2">
      <c r="A89" s="147">
        <v>28</v>
      </c>
      <c r="B89" s="160" t="s">
        <v>224</v>
      </c>
      <c r="C89" s="157">
        <v>4361611</v>
      </c>
      <c r="D89" s="157">
        <v>4237874</v>
      </c>
      <c r="E89" s="157">
        <f t="shared" si="2"/>
        <v>-123737</v>
      </c>
      <c r="F89" s="161">
        <f t="shared" si="3"/>
        <v>-2.8369563448001209E-2</v>
      </c>
    </row>
    <row r="90" spans="1:6" ht="15.75" customHeight="1" x14ac:dyDescent="0.25">
      <c r="A90" s="147"/>
      <c r="B90" s="162" t="s">
        <v>225</v>
      </c>
      <c r="C90" s="158">
        <f>SUM(C62:C89)</f>
        <v>40886240</v>
      </c>
      <c r="D90" s="158">
        <f>SUM(D62:D89)</f>
        <v>39040477</v>
      </c>
      <c r="E90" s="158">
        <f t="shared" si="2"/>
        <v>-1845763</v>
      </c>
      <c r="F90" s="159">
        <f t="shared" si="3"/>
        <v>-4.5143867472284077E-2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22696045</v>
      </c>
      <c r="D93" s="157">
        <v>19592120</v>
      </c>
      <c r="E93" s="157">
        <f>+D93-C93</f>
        <v>-3103925</v>
      </c>
      <c r="F93" s="161">
        <f>IF(C93=0,0,E93/C93)</f>
        <v>-0.1367606118158472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426496000</v>
      </c>
      <c r="D95" s="158">
        <f>+D93+D90+D59+D50+D47+D44+D41+D35+D30+D24+D18</f>
        <v>443456000</v>
      </c>
      <c r="E95" s="158">
        <f>+D95-C95</f>
        <v>16960000</v>
      </c>
      <c r="F95" s="159">
        <f>IF(C95=0,0,E95/C95)</f>
        <v>3.9765906362545018E-2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27514622</v>
      </c>
      <c r="D103" s="157">
        <v>34776450</v>
      </c>
      <c r="E103" s="157">
        <f t="shared" ref="E103:E121" si="4">D103-C103</f>
        <v>7261828</v>
      </c>
      <c r="F103" s="161">
        <f t="shared" ref="F103:F121" si="5">IF(C103=0,0,E103/C103)</f>
        <v>0.26392614079888144</v>
      </c>
    </row>
    <row r="104" spans="1:6" ht="15" customHeight="1" x14ac:dyDescent="0.2">
      <c r="A104" s="147">
        <v>2</v>
      </c>
      <c r="B104" s="169" t="s">
        <v>234</v>
      </c>
      <c r="C104" s="157">
        <v>3836655</v>
      </c>
      <c r="D104" s="157">
        <v>3428009</v>
      </c>
      <c r="E104" s="157">
        <f t="shared" si="4"/>
        <v>-408646</v>
      </c>
      <c r="F104" s="161">
        <f t="shared" si="5"/>
        <v>-0.10651101024199465</v>
      </c>
    </row>
    <row r="105" spans="1:6" ht="15" customHeight="1" x14ac:dyDescent="0.2">
      <c r="A105" s="147">
        <v>3</v>
      </c>
      <c r="B105" s="169" t="s">
        <v>235</v>
      </c>
      <c r="C105" s="157">
        <v>11486083</v>
      </c>
      <c r="D105" s="157">
        <v>15975168</v>
      </c>
      <c r="E105" s="157">
        <f t="shared" si="4"/>
        <v>4489085</v>
      </c>
      <c r="F105" s="161">
        <f t="shared" si="5"/>
        <v>0.39082818746826048</v>
      </c>
    </row>
    <row r="106" spans="1:6" ht="15" customHeight="1" x14ac:dyDescent="0.2">
      <c r="A106" s="147">
        <v>4</v>
      </c>
      <c r="B106" s="169" t="s">
        <v>236</v>
      </c>
      <c r="C106" s="157">
        <v>1122400</v>
      </c>
      <c r="D106" s="157">
        <v>72425</v>
      </c>
      <c r="E106" s="157">
        <f t="shared" si="4"/>
        <v>-1049975</v>
      </c>
      <c r="F106" s="161">
        <f t="shared" si="5"/>
        <v>-0.9354730933713471</v>
      </c>
    </row>
    <row r="107" spans="1:6" ht="15" customHeight="1" x14ac:dyDescent="0.2">
      <c r="A107" s="147">
        <v>5</v>
      </c>
      <c r="B107" s="169" t="s">
        <v>237</v>
      </c>
      <c r="C107" s="157">
        <v>21328532</v>
      </c>
      <c r="D107" s="157">
        <v>21261779</v>
      </c>
      <c r="E107" s="157">
        <f t="shared" si="4"/>
        <v>-66753</v>
      </c>
      <c r="F107" s="161">
        <f t="shared" si="5"/>
        <v>-3.1297512646439991E-3</v>
      </c>
    </row>
    <row r="108" spans="1:6" ht="15" customHeight="1" x14ac:dyDescent="0.2">
      <c r="A108" s="147">
        <v>6</v>
      </c>
      <c r="B108" s="169" t="s">
        <v>238</v>
      </c>
      <c r="C108" s="157">
        <v>0</v>
      </c>
      <c r="D108" s="157">
        <v>0</v>
      </c>
      <c r="E108" s="157">
        <f t="shared" si="4"/>
        <v>0</v>
      </c>
      <c r="F108" s="161">
        <f t="shared" si="5"/>
        <v>0</v>
      </c>
    </row>
    <row r="109" spans="1:6" ht="15" customHeight="1" x14ac:dyDescent="0.2">
      <c r="A109" s="147">
        <v>7</v>
      </c>
      <c r="B109" s="169" t="s">
        <v>239</v>
      </c>
      <c r="C109" s="157">
        <v>50555994</v>
      </c>
      <c r="D109" s="157">
        <v>53082174</v>
      </c>
      <c r="E109" s="157">
        <f t="shared" si="4"/>
        <v>2526180</v>
      </c>
      <c r="F109" s="161">
        <f t="shared" si="5"/>
        <v>4.9967962255870191E-2</v>
      </c>
    </row>
    <row r="110" spans="1:6" ht="15" customHeight="1" x14ac:dyDescent="0.2">
      <c r="A110" s="147">
        <v>8</v>
      </c>
      <c r="B110" s="169" t="s">
        <v>240</v>
      </c>
      <c r="C110" s="157">
        <v>0</v>
      </c>
      <c r="D110" s="157">
        <v>0</v>
      </c>
      <c r="E110" s="157">
        <f t="shared" si="4"/>
        <v>0</v>
      </c>
      <c r="F110" s="161">
        <f t="shared" si="5"/>
        <v>0</v>
      </c>
    </row>
    <row r="111" spans="1:6" ht="15" customHeight="1" x14ac:dyDescent="0.2">
      <c r="A111" s="147">
        <v>9</v>
      </c>
      <c r="B111" s="169" t="s">
        <v>241</v>
      </c>
      <c r="C111" s="157">
        <v>907918</v>
      </c>
      <c r="D111" s="157">
        <v>1038133</v>
      </c>
      <c r="E111" s="157">
        <f t="shared" si="4"/>
        <v>130215</v>
      </c>
      <c r="F111" s="161">
        <f t="shared" si="5"/>
        <v>0.14342154247410008</v>
      </c>
    </row>
    <row r="112" spans="1:6" ht="15" customHeight="1" x14ac:dyDescent="0.2">
      <c r="A112" s="147">
        <v>10</v>
      </c>
      <c r="B112" s="169" t="s">
        <v>242</v>
      </c>
      <c r="C112" s="157">
        <v>4627497</v>
      </c>
      <c r="D112" s="157">
        <v>5010086</v>
      </c>
      <c r="E112" s="157">
        <f t="shared" si="4"/>
        <v>382589</v>
      </c>
      <c r="F112" s="161">
        <f t="shared" si="5"/>
        <v>8.2677309137099392E-2</v>
      </c>
    </row>
    <row r="113" spans="1:6" ht="15" customHeight="1" x14ac:dyDescent="0.2">
      <c r="A113" s="147">
        <v>11</v>
      </c>
      <c r="B113" s="169" t="s">
        <v>243</v>
      </c>
      <c r="C113" s="157">
        <v>4076217</v>
      </c>
      <c r="D113" s="157">
        <v>4707580</v>
      </c>
      <c r="E113" s="157">
        <f t="shared" si="4"/>
        <v>631363</v>
      </c>
      <c r="F113" s="161">
        <f t="shared" si="5"/>
        <v>0.15488944774039262</v>
      </c>
    </row>
    <row r="114" spans="1:6" ht="15" customHeight="1" x14ac:dyDescent="0.2">
      <c r="A114" s="147">
        <v>12</v>
      </c>
      <c r="B114" s="169" t="s">
        <v>244</v>
      </c>
      <c r="C114" s="157">
        <v>0</v>
      </c>
      <c r="D114" s="157">
        <v>0</v>
      </c>
      <c r="E114" s="157">
        <f t="shared" si="4"/>
        <v>0</v>
      </c>
      <c r="F114" s="161">
        <f t="shared" si="5"/>
        <v>0</v>
      </c>
    </row>
    <row r="115" spans="1:6" ht="15" customHeight="1" x14ac:dyDescent="0.2">
      <c r="A115" s="147">
        <v>13</v>
      </c>
      <c r="B115" s="169" t="s">
        <v>245</v>
      </c>
      <c r="C115" s="157">
        <v>5444812</v>
      </c>
      <c r="D115" s="157">
        <v>4770394</v>
      </c>
      <c r="E115" s="157">
        <f t="shared" si="4"/>
        <v>-674418</v>
      </c>
      <c r="F115" s="161">
        <f t="shared" si="5"/>
        <v>-0.12386433177123471</v>
      </c>
    </row>
    <row r="116" spans="1:6" ht="15" customHeight="1" x14ac:dyDescent="0.2">
      <c r="A116" s="147">
        <v>14</v>
      </c>
      <c r="B116" s="169" t="s">
        <v>246</v>
      </c>
      <c r="C116" s="157">
        <v>3078103</v>
      </c>
      <c r="D116" s="157">
        <v>2677637</v>
      </c>
      <c r="E116" s="157">
        <f t="shared" si="4"/>
        <v>-400466</v>
      </c>
      <c r="F116" s="161">
        <f t="shared" si="5"/>
        <v>-0.1301015593045457</v>
      </c>
    </row>
    <row r="117" spans="1:6" ht="15" customHeight="1" x14ac:dyDescent="0.2">
      <c r="A117" s="147">
        <v>15</v>
      </c>
      <c r="B117" s="169" t="s">
        <v>203</v>
      </c>
      <c r="C117" s="157">
        <v>6704194</v>
      </c>
      <c r="D117" s="157">
        <v>7519375</v>
      </c>
      <c r="E117" s="157">
        <f t="shared" si="4"/>
        <v>815181</v>
      </c>
      <c r="F117" s="161">
        <f t="shared" si="5"/>
        <v>0.1215926925742304</v>
      </c>
    </row>
    <row r="118" spans="1:6" ht="15" customHeight="1" x14ac:dyDescent="0.2">
      <c r="A118" s="147">
        <v>16</v>
      </c>
      <c r="B118" s="169" t="s">
        <v>247</v>
      </c>
      <c r="C118" s="157">
        <v>2787140</v>
      </c>
      <c r="D118" s="157">
        <v>3438561</v>
      </c>
      <c r="E118" s="157">
        <f t="shared" si="4"/>
        <v>651421</v>
      </c>
      <c r="F118" s="161">
        <f t="shared" si="5"/>
        <v>0.23372381724635288</v>
      </c>
    </row>
    <row r="119" spans="1:6" ht="15" customHeight="1" x14ac:dyDescent="0.2">
      <c r="A119" s="147">
        <v>17</v>
      </c>
      <c r="B119" s="169" t="s">
        <v>248</v>
      </c>
      <c r="C119" s="157">
        <v>16634188</v>
      </c>
      <c r="D119" s="157">
        <v>16124254</v>
      </c>
      <c r="E119" s="157">
        <f t="shared" si="4"/>
        <v>-509934</v>
      </c>
      <c r="F119" s="161">
        <f t="shared" si="5"/>
        <v>-3.0655779530687041E-2</v>
      </c>
    </row>
    <row r="120" spans="1:6" ht="15" customHeight="1" x14ac:dyDescent="0.2">
      <c r="A120" s="147">
        <v>18</v>
      </c>
      <c r="B120" s="169" t="s">
        <v>249</v>
      </c>
      <c r="C120" s="157">
        <v>36308032</v>
      </c>
      <c r="D120" s="157">
        <v>35206796</v>
      </c>
      <c r="E120" s="157">
        <f t="shared" si="4"/>
        <v>-1101236</v>
      </c>
      <c r="F120" s="161">
        <f t="shared" si="5"/>
        <v>-3.0330368773498931E-2</v>
      </c>
    </row>
    <row r="121" spans="1:6" ht="15.75" customHeight="1" x14ac:dyDescent="0.25">
      <c r="A121" s="147"/>
      <c r="B121" s="165" t="s">
        <v>250</v>
      </c>
      <c r="C121" s="158">
        <f>SUM(C103:C120)</f>
        <v>196412387</v>
      </c>
      <c r="D121" s="158">
        <f>SUM(D103:D120)</f>
        <v>209088821</v>
      </c>
      <c r="E121" s="158">
        <f t="shared" si="4"/>
        <v>12676434</v>
      </c>
      <c r="F121" s="159">
        <f t="shared" si="5"/>
        <v>6.4539890755464416E-2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0</v>
      </c>
      <c r="D124" s="157">
        <v>0</v>
      </c>
      <c r="E124" s="157">
        <f t="shared" ref="E124:E130" si="6">D124-C124</f>
        <v>0</v>
      </c>
      <c r="F124" s="161">
        <f t="shared" ref="F124:F130" si="7">IF(C124=0,0,E124/C124)</f>
        <v>0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3457287</v>
      </c>
      <c r="D126" s="157">
        <v>3744861</v>
      </c>
      <c r="E126" s="157">
        <f t="shared" si="6"/>
        <v>287574</v>
      </c>
      <c r="F126" s="161">
        <f t="shared" si="7"/>
        <v>8.317909389645696E-2</v>
      </c>
    </row>
    <row r="127" spans="1:6" ht="15" customHeight="1" x14ac:dyDescent="0.2">
      <c r="A127" s="147">
        <v>4</v>
      </c>
      <c r="B127" s="169" t="s">
        <v>255</v>
      </c>
      <c r="C127" s="157">
        <v>2853284</v>
      </c>
      <c r="D127" s="157">
        <v>160474</v>
      </c>
      <c r="E127" s="157">
        <f t="shared" si="6"/>
        <v>-2692810</v>
      </c>
      <c r="F127" s="161">
        <f t="shared" si="7"/>
        <v>-0.94375813974353762</v>
      </c>
    </row>
    <row r="128" spans="1:6" ht="15" customHeight="1" x14ac:dyDescent="0.2">
      <c r="A128" s="147">
        <v>5</v>
      </c>
      <c r="B128" s="169" t="s">
        <v>256</v>
      </c>
      <c r="C128" s="157">
        <v>3373658</v>
      </c>
      <c r="D128" s="157">
        <v>3759917</v>
      </c>
      <c r="E128" s="157">
        <f t="shared" si="6"/>
        <v>386259</v>
      </c>
      <c r="F128" s="161">
        <f t="shared" si="7"/>
        <v>0.11449263677586762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9684229</v>
      </c>
      <c r="D130" s="158">
        <f>SUM(D124:D129)</f>
        <v>7665252</v>
      </c>
      <c r="E130" s="158">
        <f t="shared" si="6"/>
        <v>-2018977</v>
      </c>
      <c r="F130" s="159">
        <f t="shared" si="7"/>
        <v>-0.20848092295215243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24024837</v>
      </c>
      <c r="D133" s="157">
        <v>24696802</v>
      </c>
      <c r="E133" s="157">
        <f t="shared" ref="E133:E167" si="8">D133-C133</f>
        <v>671965</v>
      </c>
      <c r="F133" s="161">
        <f t="shared" ref="F133:F167" si="9">IF(C133=0,0,E133/C133)</f>
        <v>2.7969596630353831E-2</v>
      </c>
    </row>
    <row r="134" spans="1:6" ht="15" customHeight="1" x14ac:dyDescent="0.2">
      <c r="A134" s="147">
        <v>2</v>
      </c>
      <c r="B134" s="169" t="s">
        <v>261</v>
      </c>
      <c r="C134" s="157">
        <v>1409368</v>
      </c>
      <c r="D134" s="157">
        <v>1394795</v>
      </c>
      <c r="E134" s="157">
        <f t="shared" si="8"/>
        <v>-14573</v>
      </c>
      <c r="F134" s="161">
        <f t="shared" si="9"/>
        <v>-1.0340095702470894E-2</v>
      </c>
    </row>
    <row r="135" spans="1:6" ht="15" customHeight="1" x14ac:dyDescent="0.2">
      <c r="A135" s="147">
        <v>3</v>
      </c>
      <c r="B135" s="169" t="s">
        <v>262</v>
      </c>
      <c r="C135" s="157">
        <v>1257162</v>
      </c>
      <c r="D135" s="157">
        <v>1333226</v>
      </c>
      <c r="E135" s="157">
        <f t="shared" si="8"/>
        <v>76064</v>
      </c>
      <c r="F135" s="161">
        <f t="shared" si="9"/>
        <v>6.050453322642587E-2</v>
      </c>
    </row>
    <row r="136" spans="1:6" ht="15" customHeight="1" x14ac:dyDescent="0.2">
      <c r="A136" s="147">
        <v>4</v>
      </c>
      <c r="B136" s="169" t="s">
        <v>263</v>
      </c>
      <c r="C136" s="157">
        <v>4328261</v>
      </c>
      <c r="D136" s="157">
        <v>4703042</v>
      </c>
      <c r="E136" s="157">
        <f t="shared" si="8"/>
        <v>374781</v>
      </c>
      <c r="F136" s="161">
        <f t="shared" si="9"/>
        <v>8.6589279158535037E-2</v>
      </c>
    </row>
    <row r="137" spans="1:6" ht="15" customHeight="1" x14ac:dyDescent="0.2">
      <c r="A137" s="147">
        <v>5</v>
      </c>
      <c r="B137" s="169" t="s">
        <v>264</v>
      </c>
      <c r="C137" s="157">
        <v>11415739</v>
      </c>
      <c r="D137" s="157">
        <v>10234410</v>
      </c>
      <c r="E137" s="157">
        <f t="shared" si="8"/>
        <v>-1181329</v>
      </c>
      <c r="F137" s="161">
        <f t="shared" si="9"/>
        <v>-0.10348248151083342</v>
      </c>
    </row>
    <row r="138" spans="1:6" ht="15" customHeight="1" x14ac:dyDescent="0.2">
      <c r="A138" s="147">
        <v>6</v>
      </c>
      <c r="B138" s="169" t="s">
        <v>265</v>
      </c>
      <c r="C138" s="157">
        <v>1925293</v>
      </c>
      <c r="D138" s="157">
        <v>1671518</v>
      </c>
      <c r="E138" s="157">
        <f t="shared" si="8"/>
        <v>-253775</v>
      </c>
      <c r="F138" s="161">
        <f t="shared" si="9"/>
        <v>-0.13181110615371272</v>
      </c>
    </row>
    <row r="139" spans="1:6" ht="15" customHeight="1" x14ac:dyDescent="0.2">
      <c r="A139" s="147">
        <v>7</v>
      </c>
      <c r="B139" s="169" t="s">
        <v>266</v>
      </c>
      <c r="C139" s="157">
        <v>4863403</v>
      </c>
      <c r="D139" s="157">
        <v>4756287</v>
      </c>
      <c r="E139" s="157">
        <f t="shared" si="8"/>
        <v>-107116</v>
      </c>
      <c r="F139" s="161">
        <f t="shared" si="9"/>
        <v>-2.2024907251157265E-2</v>
      </c>
    </row>
    <row r="140" spans="1:6" ht="15" customHeight="1" x14ac:dyDescent="0.2">
      <c r="A140" s="147">
        <v>8</v>
      </c>
      <c r="B140" s="169" t="s">
        <v>267</v>
      </c>
      <c r="C140" s="157">
        <v>729758</v>
      </c>
      <c r="D140" s="157">
        <v>1142824</v>
      </c>
      <c r="E140" s="157">
        <f t="shared" si="8"/>
        <v>413066</v>
      </c>
      <c r="F140" s="161">
        <f t="shared" si="9"/>
        <v>0.56603147892863115</v>
      </c>
    </row>
    <row r="141" spans="1:6" ht="15" customHeight="1" x14ac:dyDescent="0.2">
      <c r="A141" s="147">
        <v>9</v>
      </c>
      <c r="B141" s="169" t="s">
        <v>268</v>
      </c>
      <c r="C141" s="157">
        <v>1564798</v>
      </c>
      <c r="D141" s="157">
        <v>1510592</v>
      </c>
      <c r="E141" s="157">
        <f t="shared" si="8"/>
        <v>-54206</v>
      </c>
      <c r="F141" s="161">
        <f t="shared" si="9"/>
        <v>-3.4640892945926566E-2</v>
      </c>
    </row>
    <row r="142" spans="1:6" ht="15" customHeight="1" x14ac:dyDescent="0.2">
      <c r="A142" s="147">
        <v>10</v>
      </c>
      <c r="B142" s="169" t="s">
        <v>269</v>
      </c>
      <c r="C142" s="157">
        <v>13457780</v>
      </c>
      <c r="D142" s="157">
        <v>13920082</v>
      </c>
      <c r="E142" s="157">
        <f t="shared" si="8"/>
        <v>462302</v>
      </c>
      <c r="F142" s="161">
        <f t="shared" si="9"/>
        <v>3.4352025371197921E-2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14460914</v>
      </c>
      <c r="D144" s="157">
        <v>14147335</v>
      </c>
      <c r="E144" s="157">
        <f t="shared" si="8"/>
        <v>-313579</v>
      </c>
      <c r="F144" s="161">
        <f t="shared" si="9"/>
        <v>-2.1684590614396849E-2</v>
      </c>
    </row>
    <row r="145" spans="1:6" ht="15" customHeight="1" x14ac:dyDescent="0.2">
      <c r="A145" s="147">
        <v>13</v>
      </c>
      <c r="B145" s="169" t="s">
        <v>272</v>
      </c>
      <c r="C145" s="157">
        <v>859843</v>
      </c>
      <c r="D145" s="157">
        <v>1435905</v>
      </c>
      <c r="E145" s="157">
        <f t="shared" si="8"/>
        <v>576062</v>
      </c>
      <c r="F145" s="161">
        <f t="shared" si="9"/>
        <v>0.66996184187113228</v>
      </c>
    </row>
    <row r="146" spans="1:6" ht="15" customHeight="1" x14ac:dyDescent="0.2">
      <c r="A146" s="147">
        <v>14</v>
      </c>
      <c r="B146" s="169" t="s">
        <v>273</v>
      </c>
      <c r="C146" s="157">
        <v>199578</v>
      </c>
      <c r="D146" s="157">
        <v>188949</v>
      </c>
      <c r="E146" s="157">
        <f t="shared" si="8"/>
        <v>-10629</v>
      </c>
      <c r="F146" s="161">
        <f t="shared" si="9"/>
        <v>-5.3257373057150587E-2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2842875</v>
      </c>
      <c r="D150" s="157">
        <v>2882362</v>
      </c>
      <c r="E150" s="157">
        <f t="shared" si="8"/>
        <v>39487</v>
      </c>
      <c r="F150" s="161">
        <f t="shared" si="9"/>
        <v>1.3889812249923052E-2</v>
      </c>
    </row>
    <row r="151" spans="1:6" ht="15" customHeight="1" x14ac:dyDescent="0.2">
      <c r="A151" s="147">
        <v>19</v>
      </c>
      <c r="B151" s="169" t="s">
        <v>278</v>
      </c>
      <c r="C151" s="157">
        <v>326636</v>
      </c>
      <c r="D151" s="157">
        <v>275942</v>
      </c>
      <c r="E151" s="157">
        <f t="shared" si="8"/>
        <v>-50694</v>
      </c>
      <c r="F151" s="161">
        <f t="shared" si="9"/>
        <v>-0.15520028410830405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1998482</v>
      </c>
      <c r="D154" s="157">
        <v>1939830</v>
      </c>
      <c r="E154" s="157">
        <f t="shared" si="8"/>
        <v>-58652</v>
      </c>
      <c r="F154" s="161">
        <f t="shared" si="9"/>
        <v>-2.9348275340983807E-2</v>
      </c>
    </row>
    <row r="155" spans="1:6" ht="15" customHeight="1" x14ac:dyDescent="0.2">
      <c r="A155" s="147">
        <v>23</v>
      </c>
      <c r="B155" s="169" t="s">
        <v>282</v>
      </c>
      <c r="C155" s="157">
        <v>664614</v>
      </c>
      <c r="D155" s="157">
        <v>746311</v>
      </c>
      <c r="E155" s="157">
        <f t="shared" si="8"/>
        <v>81697</v>
      </c>
      <c r="F155" s="161">
        <f t="shared" si="9"/>
        <v>0.12292398294348299</v>
      </c>
    </row>
    <row r="156" spans="1:6" ht="15" customHeight="1" x14ac:dyDescent="0.2">
      <c r="A156" s="147">
        <v>24</v>
      </c>
      <c r="B156" s="169" t="s">
        <v>283</v>
      </c>
      <c r="C156" s="157">
        <v>23067128</v>
      </c>
      <c r="D156" s="157">
        <v>24100559</v>
      </c>
      <c r="E156" s="157">
        <f t="shared" si="8"/>
        <v>1033431</v>
      </c>
      <c r="F156" s="161">
        <f t="shared" si="9"/>
        <v>4.4801025944799025E-2</v>
      </c>
    </row>
    <row r="157" spans="1:6" ht="15" customHeight="1" x14ac:dyDescent="0.2">
      <c r="A157" s="147">
        <v>25</v>
      </c>
      <c r="B157" s="169" t="s">
        <v>284</v>
      </c>
      <c r="C157" s="157">
        <v>0</v>
      </c>
      <c r="D157" s="157">
        <v>0</v>
      </c>
      <c r="E157" s="157">
        <f t="shared" si="8"/>
        <v>0</v>
      </c>
      <c r="F157" s="161">
        <f t="shared" si="9"/>
        <v>0</v>
      </c>
    </row>
    <row r="158" spans="1:6" ht="15" customHeight="1" x14ac:dyDescent="0.2">
      <c r="A158" s="147">
        <v>26</v>
      </c>
      <c r="B158" s="169" t="s">
        <v>285</v>
      </c>
      <c r="C158" s="157">
        <v>400846</v>
      </c>
      <c r="D158" s="157">
        <v>341242</v>
      </c>
      <c r="E158" s="157">
        <f t="shared" si="8"/>
        <v>-59604</v>
      </c>
      <c r="F158" s="161">
        <f t="shared" si="9"/>
        <v>-0.14869550899846823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2680642</v>
      </c>
      <c r="D160" s="157">
        <v>2827175</v>
      </c>
      <c r="E160" s="157">
        <f t="shared" si="8"/>
        <v>146533</v>
      </c>
      <c r="F160" s="161">
        <f t="shared" si="9"/>
        <v>5.4663397797990183E-2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5483029</v>
      </c>
      <c r="D164" s="157">
        <v>5355777</v>
      </c>
      <c r="E164" s="157">
        <f t="shared" si="8"/>
        <v>-127252</v>
      </c>
      <c r="F164" s="161">
        <f t="shared" si="9"/>
        <v>-2.3208339769860784E-2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0</v>
      </c>
      <c r="D166" s="157">
        <v>0</v>
      </c>
      <c r="E166" s="157">
        <f t="shared" si="8"/>
        <v>0</v>
      </c>
      <c r="F166" s="161">
        <f t="shared" si="9"/>
        <v>0</v>
      </c>
    </row>
    <row r="167" spans="1:6" ht="15.75" customHeight="1" x14ac:dyDescent="0.25">
      <c r="A167" s="147"/>
      <c r="B167" s="165" t="s">
        <v>294</v>
      </c>
      <c r="C167" s="158">
        <f>SUM(C133:C166)</f>
        <v>117960986</v>
      </c>
      <c r="D167" s="158">
        <f>SUM(D133:D166)</f>
        <v>119604965</v>
      </c>
      <c r="E167" s="158">
        <f t="shared" si="8"/>
        <v>1643979</v>
      </c>
      <c r="F167" s="159">
        <f t="shared" si="9"/>
        <v>1.3936633252624729E-2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43555342</v>
      </c>
      <c r="D170" s="157">
        <v>47670718</v>
      </c>
      <c r="E170" s="157">
        <f t="shared" ref="E170:E183" si="10">D170-C170</f>
        <v>4115376</v>
      </c>
      <c r="F170" s="161">
        <f t="shared" ref="F170:F183" si="11">IF(C170=0,0,E170/C170)</f>
        <v>9.4486136740701054E-2</v>
      </c>
    </row>
    <row r="171" spans="1:6" ht="15" customHeight="1" x14ac:dyDescent="0.2">
      <c r="A171" s="147">
        <v>2</v>
      </c>
      <c r="B171" s="169" t="s">
        <v>297</v>
      </c>
      <c r="C171" s="157">
        <v>3699447</v>
      </c>
      <c r="D171" s="157">
        <v>3613750</v>
      </c>
      <c r="E171" s="157">
        <f t="shared" si="10"/>
        <v>-85697</v>
      </c>
      <c r="F171" s="161">
        <f t="shared" si="11"/>
        <v>-2.3164813551863291E-2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2537779</v>
      </c>
      <c r="D173" s="157">
        <v>2649098</v>
      </c>
      <c r="E173" s="157">
        <f t="shared" si="10"/>
        <v>111319</v>
      </c>
      <c r="F173" s="161">
        <f t="shared" si="11"/>
        <v>4.3864733690364685E-2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0</v>
      </c>
      <c r="D175" s="157">
        <v>0</v>
      </c>
      <c r="E175" s="157">
        <f t="shared" si="10"/>
        <v>0</v>
      </c>
      <c r="F175" s="161">
        <f t="shared" si="11"/>
        <v>0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2213725</v>
      </c>
      <c r="D178" s="157">
        <v>2158616</v>
      </c>
      <c r="E178" s="157">
        <f t="shared" si="10"/>
        <v>-55109</v>
      </c>
      <c r="F178" s="161">
        <f t="shared" si="11"/>
        <v>-2.489423934770579E-2</v>
      </c>
    </row>
    <row r="179" spans="1:6" ht="15" customHeight="1" x14ac:dyDescent="0.2">
      <c r="A179" s="147">
        <v>10</v>
      </c>
      <c r="B179" s="169" t="s">
        <v>305</v>
      </c>
      <c r="C179" s="157">
        <v>9880813</v>
      </c>
      <c r="D179" s="157">
        <v>9725496</v>
      </c>
      <c r="E179" s="157">
        <f t="shared" si="10"/>
        <v>-155317</v>
      </c>
      <c r="F179" s="161">
        <f t="shared" si="11"/>
        <v>-1.5719050648969876E-2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3743113</v>
      </c>
      <c r="D181" s="157">
        <v>3240969</v>
      </c>
      <c r="E181" s="157">
        <f t="shared" si="10"/>
        <v>-502144</v>
      </c>
      <c r="F181" s="161">
        <f t="shared" si="11"/>
        <v>-0.13415144025841591</v>
      </c>
    </row>
    <row r="182" spans="1:6" ht="15" customHeight="1" x14ac:dyDescent="0.2">
      <c r="A182" s="147">
        <v>13</v>
      </c>
      <c r="B182" s="169" t="s">
        <v>308</v>
      </c>
      <c r="C182" s="157">
        <v>2009979</v>
      </c>
      <c r="D182" s="157">
        <v>1900426</v>
      </c>
      <c r="E182" s="157">
        <f t="shared" si="10"/>
        <v>-109553</v>
      </c>
      <c r="F182" s="161">
        <f t="shared" si="11"/>
        <v>-5.4504549550020175E-2</v>
      </c>
    </row>
    <row r="183" spans="1:6" ht="15.75" customHeight="1" x14ac:dyDescent="0.25">
      <c r="A183" s="147"/>
      <c r="B183" s="165" t="s">
        <v>309</v>
      </c>
      <c r="C183" s="158">
        <f>SUM(C170:C182)</f>
        <v>67640198</v>
      </c>
      <c r="D183" s="158">
        <f>SUM(D170:D182)</f>
        <v>70959073</v>
      </c>
      <c r="E183" s="158">
        <f t="shared" si="10"/>
        <v>3318875</v>
      </c>
      <c r="F183" s="159">
        <f t="shared" si="11"/>
        <v>4.9066606812712167E-2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34798200</v>
      </c>
      <c r="D186" s="157">
        <v>36137889</v>
      </c>
      <c r="E186" s="157">
        <f>D186-C186</f>
        <v>1339689</v>
      </c>
      <c r="F186" s="161">
        <f>IF(C186=0,0,E186/C186)</f>
        <v>3.8498801662154941E-2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426496000</v>
      </c>
      <c r="D188" s="158">
        <f>+D186+D183+D167+D130+D121</f>
        <v>443456000</v>
      </c>
      <c r="E188" s="158">
        <f>D188-C188</f>
        <v>16960000</v>
      </c>
      <c r="F188" s="159">
        <f>IF(C188=0,0,E188/C188)</f>
        <v>3.9765906362545018E-2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FILING&amp;RBRIDGEPORT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C39" sqref="C39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418827000</v>
      </c>
      <c r="D11" s="183">
        <v>439375000</v>
      </c>
      <c r="E11" s="76">
        <v>466074000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22885000</v>
      </c>
      <c r="D12" s="185">
        <v>24165000</v>
      </c>
      <c r="E12" s="185">
        <v>32055000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441712000</v>
      </c>
      <c r="D13" s="76">
        <f>+D11+D12</f>
        <v>463540000</v>
      </c>
      <c r="E13" s="76">
        <f>+E11+E12</f>
        <v>498129000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409234000</v>
      </c>
      <c r="D14" s="185">
        <v>426496000</v>
      </c>
      <c r="E14" s="185">
        <v>443456000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32478000</v>
      </c>
      <c r="D15" s="76">
        <f>+D13-D14</f>
        <v>37044000</v>
      </c>
      <c r="E15" s="76">
        <f>+E13-E14</f>
        <v>54673000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3969000</v>
      </c>
      <c r="D16" s="185">
        <v>5852000</v>
      </c>
      <c r="E16" s="185">
        <v>944000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36447000</v>
      </c>
      <c r="D17" s="76">
        <f>D15+D16</f>
        <v>42896000</v>
      </c>
      <c r="E17" s="76">
        <f>E15+E16</f>
        <v>55617000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7.2872749791891511E-2</v>
      </c>
      <c r="D20" s="189">
        <f>IF(+D27=0,0,+D24/+D27)</f>
        <v>7.891911238367931E-2</v>
      </c>
      <c r="E20" s="189">
        <f>IF(+E27=0,0,+E24/+E27)</f>
        <v>0.1095491040388881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8.9054727484456364E-3</v>
      </c>
      <c r="D21" s="189">
        <f>IF(D27=0,0,+D26/D27)</f>
        <v>1.2467191601049869E-2</v>
      </c>
      <c r="E21" s="189">
        <f>IF(E27=0,0,+E26/E27)</f>
        <v>1.8915068537067724E-3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8.1778222540337148E-2</v>
      </c>
      <c r="D22" s="189">
        <f>IF(D27=0,0,+D28/D27)</f>
        <v>9.1386303984729175E-2</v>
      </c>
      <c r="E22" s="189">
        <f>IF(E27=0,0,+E28/E27)</f>
        <v>0.11144061089259487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32478000</v>
      </c>
      <c r="D24" s="76">
        <f>+D15</f>
        <v>37044000</v>
      </c>
      <c r="E24" s="76">
        <f>+E15</f>
        <v>54673000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441712000</v>
      </c>
      <c r="D25" s="76">
        <f>+D13</f>
        <v>463540000</v>
      </c>
      <c r="E25" s="76">
        <f>+E13</f>
        <v>498129000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3969000</v>
      </c>
      <c r="D26" s="76">
        <f>+D16</f>
        <v>5852000</v>
      </c>
      <c r="E26" s="76">
        <f>+E16</f>
        <v>944000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445681000</v>
      </c>
      <c r="D27" s="76">
        <f>+D25+D26</f>
        <v>469392000</v>
      </c>
      <c r="E27" s="76">
        <f>+E25+E26</f>
        <v>499073000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36447000</v>
      </c>
      <c r="D28" s="76">
        <f>+D17</f>
        <v>42896000</v>
      </c>
      <c r="E28" s="76">
        <f>+E17</f>
        <v>55617000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123039000</v>
      </c>
      <c r="D31" s="76">
        <v>100811000</v>
      </c>
      <c r="E31" s="76">
        <v>110843000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175860000</v>
      </c>
      <c r="D32" s="76">
        <v>155833000</v>
      </c>
      <c r="E32" s="76">
        <v>168564000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52602000</v>
      </c>
      <c r="D33" s="76">
        <f>+D32-C32</f>
        <v>-20027000</v>
      </c>
      <c r="E33" s="76">
        <f>+E32-D32</f>
        <v>12731000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1.4267000000000001</v>
      </c>
      <c r="D34" s="193">
        <f>IF(C32=0,0,+D33/C32)</f>
        <v>-0.11388035937677699</v>
      </c>
      <c r="E34" s="193">
        <f>IF(D32=0,0,+E33/D32)</f>
        <v>8.1696431436216979E-2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0.26972117737237244</v>
      </c>
      <c r="D38" s="195">
        <f>IF((D40+D41)=0,0,+D39/(D40+D41))</f>
        <v>0.25112873695732196</v>
      </c>
      <c r="E38" s="195">
        <f>IF((E40+E41)=0,0,+E39/(E40+E41))</f>
        <v>0.25105049894237302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409234000</v>
      </c>
      <c r="D39" s="76">
        <v>426496000</v>
      </c>
      <c r="E39" s="196">
        <v>443456000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1512519567</v>
      </c>
      <c r="D40" s="76">
        <v>1693079737</v>
      </c>
      <c r="E40" s="196">
        <v>1759987340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4728741</v>
      </c>
      <c r="D41" s="76">
        <v>5236454</v>
      </c>
      <c r="E41" s="196">
        <v>6414248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1.4850939036488089</v>
      </c>
      <c r="D43" s="197">
        <f>IF(D38=0,0,IF((D46-D47)=0,0,((+D44-D45)/(D46-D47)/D38)))</f>
        <v>1.4696981164186615</v>
      </c>
      <c r="E43" s="197">
        <f>IF(E38=0,0,IF((E46-E47)=0,0,((+E44-E45)/(E46-E47)/E38)))</f>
        <v>1.6152995846872369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191706566</v>
      </c>
      <c r="D44" s="76">
        <v>198001904</v>
      </c>
      <c r="E44" s="196">
        <v>227480796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5710793</v>
      </c>
      <c r="D45" s="76">
        <v>13867244</v>
      </c>
      <c r="E45" s="196">
        <v>26862875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516542643</v>
      </c>
      <c r="D46" s="76">
        <v>544853123</v>
      </c>
      <c r="E46" s="196">
        <v>548094394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52204765</v>
      </c>
      <c r="D47" s="76">
        <v>45956006</v>
      </c>
      <c r="E47" s="76">
        <v>53378851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1.0346541286074324</v>
      </c>
      <c r="D49" s="198">
        <f>IF(D38=0,0,IF(D51=0,0,(D50/D51)/D38))</f>
        <v>1.0093960153853869</v>
      </c>
      <c r="E49" s="198">
        <f>IF(E38=0,0,IF(E51=0,0,(E50/E51)/E38))</f>
        <v>1.0595801192927086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160079187</v>
      </c>
      <c r="D50" s="199">
        <v>159487014</v>
      </c>
      <c r="E50" s="199">
        <v>180950464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573620453</v>
      </c>
      <c r="D51" s="199">
        <v>629169018</v>
      </c>
      <c r="E51" s="199">
        <v>680244143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0.68589725916342581</v>
      </c>
      <c r="D53" s="198">
        <f>IF(D38=0,0,IF(D55=0,0,(D54/D55)/D38))</f>
        <v>0.71316215262887217</v>
      </c>
      <c r="E53" s="198">
        <f>IF(E38=0,0,IF(E55=0,0,(E54/E55)/E38))</f>
        <v>0.62712813579903126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77809615</v>
      </c>
      <c r="D54" s="199">
        <v>92516930</v>
      </c>
      <c r="E54" s="199">
        <v>83506972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420590203</v>
      </c>
      <c r="D55" s="199">
        <v>516578722</v>
      </c>
      <c r="E55" s="199">
        <v>530402255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14066133.909570983</v>
      </c>
      <c r="D57" s="88">
        <f>+D60*D38</f>
        <v>17291594.747564882</v>
      </c>
      <c r="E57" s="88">
        <f>+E60*E38</f>
        <v>12584935.566532111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19484535</v>
      </c>
      <c r="D58" s="199">
        <v>13389500</v>
      </c>
      <c r="E58" s="199">
        <v>13728345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32666112</v>
      </c>
      <c r="D59" s="199">
        <v>55466000</v>
      </c>
      <c r="E59" s="199">
        <v>36400755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52150647</v>
      </c>
      <c r="D60" s="76">
        <v>68855500</v>
      </c>
      <c r="E60" s="201">
        <v>50129100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3.4371860377121602E-2</v>
      </c>
      <c r="D62" s="202">
        <f>IF(D63=0,0,+D57/D63)</f>
        <v>4.0543392546623841E-2</v>
      </c>
      <c r="E62" s="202">
        <f>IF(E63=0,0,+E57/E63)</f>
        <v>2.8379220410891071E-2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409234000</v>
      </c>
      <c r="D63" s="199">
        <v>426496000</v>
      </c>
      <c r="E63" s="199">
        <v>443456000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1.2627562471943738</v>
      </c>
      <c r="D67" s="203">
        <f>IF(D69=0,0,D68/D69)</f>
        <v>1.6132509862962516</v>
      </c>
      <c r="E67" s="203">
        <f>IF(E69=0,0,E68/E69)</f>
        <v>1.7450282258480654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143463000</v>
      </c>
      <c r="D68" s="204">
        <v>146801000</v>
      </c>
      <c r="E68" s="204">
        <v>169088000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113611000</v>
      </c>
      <c r="D69" s="204">
        <v>90997000</v>
      </c>
      <c r="E69" s="204">
        <v>96897000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60.231044922885836</v>
      </c>
      <c r="D71" s="203">
        <f>IF((D77/365)=0,0,+D74/(D77/365))</f>
        <v>61.261354758949174</v>
      </c>
      <c r="E71" s="203">
        <f>IF((E77/365)=0,0,+E74/(E77/365))</f>
        <v>77.678956023167146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30127000</v>
      </c>
      <c r="D72" s="183">
        <v>28527000</v>
      </c>
      <c r="E72" s="183">
        <v>25968000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33642000</v>
      </c>
      <c r="D73" s="206">
        <v>37860000</v>
      </c>
      <c r="E73" s="206">
        <v>61779000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63769000</v>
      </c>
      <c r="D74" s="204">
        <f>+D72+D73</f>
        <v>66387000</v>
      </c>
      <c r="E74" s="204">
        <f>+E72+E73</f>
        <v>87747000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409234000</v>
      </c>
      <c r="D75" s="204">
        <f>+D14</f>
        <v>426496000</v>
      </c>
      <c r="E75" s="204">
        <f>+E14</f>
        <v>443456000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22794000</v>
      </c>
      <c r="D76" s="204">
        <v>30957000</v>
      </c>
      <c r="E76" s="204">
        <v>31148000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386440000</v>
      </c>
      <c r="D77" s="204">
        <f>+D75-D76</f>
        <v>395539000</v>
      </c>
      <c r="E77" s="204">
        <f>+E75-E76</f>
        <v>412308000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44.822038693780492</v>
      </c>
      <c r="D79" s="203">
        <f>IF((D84/365)=0,0,+D83/(D84/365))</f>
        <v>41.3136386913229</v>
      </c>
      <c r="E79" s="203">
        <f>IF((E84/365)=0,0,+E83/(E84/365))</f>
        <v>42.807858837866952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51432000</v>
      </c>
      <c r="D80" s="212">
        <v>49732000</v>
      </c>
      <c r="E80" s="212">
        <v>54662000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10552000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10552000</v>
      </c>
      <c r="D82" s="212">
        <v>0</v>
      </c>
      <c r="E82" s="212">
        <v>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51432000</v>
      </c>
      <c r="D83" s="212">
        <f>+D80+D81-D82</f>
        <v>49732000</v>
      </c>
      <c r="E83" s="212">
        <f>+E80+E81-E82</f>
        <v>54662000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418827000</v>
      </c>
      <c r="D84" s="204">
        <f>+D11</f>
        <v>439375000</v>
      </c>
      <c r="E84" s="204">
        <f>+E11</f>
        <v>466074000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107.30777093468586</v>
      </c>
      <c r="D86" s="203">
        <f>IF((D90/365)=0,0,+D87/(D90/365))</f>
        <v>83.971251886666039</v>
      </c>
      <c r="E86" s="203">
        <f>IF((E90/365)=0,0,+E87/(E90/365))</f>
        <v>85.779089903664243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113611000</v>
      </c>
      <c r="D87" s="76">
        <f>+D69</f>
        <v>90997000</v>
      </c>
      <c r="E87" s="76">
        <f>+E69</f>
        <v>96897000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409234000</v>
      </c>
      <c r="D88" s="76">
        <f t="shared" si="0"/>
        <v>426496000</v>
      </c>
      <c r="E88" s="76">
        <f t="shared" si="0"/>
        <v>443456000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22794000</v>
      </c>
      <c r="D89" s="201">
        <f t="shared" si="0"/>
        <v>30957000</v>
      </c>
      <c r="E89" s="201">
        <f t="shared" si="0"/>
        <v>31148000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386440000</v>
      </c>
      <c r="D90" s="76">
        <f>+D88-D89</f>
        <v>395539000</v>
      </c>
      <c r="E90" s="76">
        <f>+E88-E89</f>
        <v>412308000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39.940132952085925</v>
      </c>
      <c r="D94" s="214">
        <f>IF(D96=0,0,(D95/D96)*100)</f>
        <v>32.975294926731209</v>
      </c>
      <c r="E94" s="214">
        <f>IF(E96=0,0,(E95/E96)*100)</f>
        <v>31.675019307848849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175860000</v>
      </c>
      <c r="D95" s="76">
        <f>+D32</f>
        <v>155833000</v>
      </c>
      <c r="E95" s="76">
        <f>+E32</f>
        <v>168564000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440309000</v>
      </c>
      <c r="D96" s="76">
        <v>472575000</v>
      </c>
      <c r="E96" s="76">
        <v>532167000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36.385915129627236</v>
      </c>
      <c r="D98" s="214">
        <f>IF(D104=0,0,(D101/D104)*100)</f>
        <v>38.658598506064209</v>
      </c>
      <c r="E98" s="214">
        <f>IF(E104=0,0,(E101/E104)*100)</f>
        <v>37.629348853750137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36447000</v>
      </c>
      <c r="D99" s="76">
        <f>+D28</f>
        <v>42896000</v>
      </c>
      <c r="E99" s="76">
        <f>+E28</f>
        <v>55617000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22794000</v>
      </c>
      <c r="D100" s="201">
        <f>+D76</f>
        <v>30957000</v>
      </c>
      <c r="E100" s="201">
        <f>+E76</f>
        <v>31148000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59241000</v>
      </c>
      <c r="D101" s="76">
        <f>+D99+D100</f>
        <v>73853000</v>
      </c>
      <c r="E101" s="76">
        <f>+E99+E100</f>
        <v>86765000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113611000</v>
      </c>
      <c r="D102" s="204">
        <f>+D69</f>
        <v>90997000</v>
      </c>
      <c r="E102" s="204">
        <f>+E69</f>
        <v>96897000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49202000</v>
      </c>
      <c r="D103" s="216">
        <v>100042000</v>
      </c>
      <c r="E103" s="216">
        <v>133681000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162813000</v>
      </c>
      <c r="D104" s="204">
        <f>+D102+D103</f>
        <v>191039000</v>
      </c>
      <c r="E104" s="204">
        <f>+E102+E103</f>
        <v>230578000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21.861531489100781</v>
      </c>
      <c r="D106" s="214">
        <f>IF(D109=0,0,(D107/D109)*100)</f>
        <v>39.097997068881291</v>
      </c>
      <c r="E106" s="214">
        <f>IF(E109=0,0,(E107/E109)*100)</f>
        <v>44.229350361461726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49202000</v>
      </c>
      <c r="D107" s="204">
        <f>+D103</f>
        <v>100042000</v>
      </c>
      <c r="E107" s="204">
        <f>+E103</f>
        <v>133681000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175860000</v>
      </c>
      <c r="D108" s="204">
        <f>+D32</f>
        <v>155833000</v>
      </c>
      <c r="E108" s="204">
        <f>+E32</f>
        <v>168564000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225062000</v>
      </c>
      <c r="D109" s="204">
        <f>+D107+D108</f>
        <v>255875000</v>
      </c>
      <c r="E109" s="204">
        <f>+E107+E108</f>
        <v>302245000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11.253880266075388</v>
      </c>
      <c r="D111" s="214">
        <f>IF((+D113+D115)=0,0,((+D112+D113+D114)/(+D113+D115)))</f>
        <v>11.731501381639546</v>
      </c>
      <c r="E111" s="214">
        <f>IF((+E113+E115)=0,0,((+E112+E113+E114)/(+E113+E115)))</f>
        <v>11.597753099173554</v>
      </c>
    </row>
    <row r="112" spans="1:6" ht="24" customHeight="1" x14ac:dyDescent="0.2">
      <c r="A112" s="85">
        <v>16</v>
      </c>
      <c r="B112" s="75" t="s">
        <v>373</v>
      </c>
      <c r="C112" s="218">
        <f>+C17</f>
        <v>36447000</v>
      </c>
      <c r="D112" s="76">
        <f>+D17</f>
        <v>42896000</v>
      </c>
      <c r="E112" s="76">
        <f>+E17</f>
        <v>55617000</v>
      </c>
    </row>
    <row r="113" spans="1:8" ht="24" customHeight="1" x14ac:dyDescent="0.2">
      <c r="A113" s="85">
        <v>17</v>
      </c>
      <c r="B113" s="75" t="s">
        <v>88</v>
      </c>
      <c r="C113" s="218">
        <v>1665000</v>
      </c>
      <c r="D113" s="76">
        <v>2566000</v>
      </c>
      <c r="E113" s="76">
        <v>3048000</v>
      </c>
    </row>
    <row r="114" spans="1:8" ht="24" customHeight="1" x14ac:dyDescent="0.2">
      <c r="A114" s="85">
        <v>18</v>
      </c>
      <c r="B114" s="75" t="s">
        <v>374</v>
      </c>
      <c r="C114" s="218">
        <v>22794000</v>
      </c>
      <c r="D114" s="76">
        <v>30957000</v>
      </c>
      <c r="E114" s="76">
        <v>31148000</v>
      </c>
    </row>
    <row r="115" spans="1:8" ht="24" customHeight="1" x14ac:dyDescent="0.2">
      <c r="A115" s="85">
        <v>19</v>
      </c>
      <c r="B115" s="75" t="s">
        <v>104</v>
      </c>
      <c r="C115" s="218">
        <v>3747000</v>
      </c>
      <c r="D115" s="76">
        <v>3948000</v>
      </c>
      <c r="E115" s="76">
        <v>4696000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12.520926559620953</v>
      </c>
      <c r="D119" s="214">
        <f>IF(+D121=0,0,(+D120)/(+D121))</f>
        <v>9.8096391769228291</v>
      </c>
      <c r="E119" s="214">
        <f>IF(+E121=0,0,(+E120)/(+E121))</f>
        <v>9.2908372929241043</v>
      </c>
    </row>
    <row r="120" spans="1:8" ht="24" customHeight="1" x14ac:dyDescent="0.2">
      <c r="A120" s="85">
        <v>21</v>
      </c>
      <c r="B120" s="75" t="s">
        <v>378</v>
      </c>
      <c r="C120" s="218">
        <v>285402000</v>
      </c>
      <c r="D120" s="218">
        <v>303677000</v>
      </c>
      <c r="E120" s="218">
        <v>289391000</v>
      </c>
    </row>
    <row r="121" spans="1:8" ht="24" customHeight="1" x14ac:dyDescent="0.2">
      <c r="A121" s="85">
        <v>22</v>
      </c>
      <c r="B121" s="75" t="s">
        <v>374</v>
      </c>
      <c r="C121" s="218">
        <v>22794000</v>
      </c>
      <c r="D121" s="218">
        <v>30957000</v>
      </c>
      <c r="E121" s="218">
        <v>31148000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97440</v>
      </c>
      <c r="D124" s="218">
        <v>101235</v>
      </c>
      <c r="E124" s="218">
        <v>109472</v>
      </c>
    </row>
    <row r="125" spans="1:8" ht="24" customHeight="1" x14ac:dyDescent="0.2">
      <c r="A125" s="85">
        <v>2</v>
      </c>
      <c r="B125" s="75" t="s">
        <v>381</v>
      </c>
      <c r="C125" s="218">
        <v>18453</v>
      </c>
      <c r="D125" s="218">
        <v>18207</v>
      </c>
      <c r="E125" s="218">
        <v>19815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5.2804422045195905</v>
      </c>
      <c r="D126" s="219">
        <f>IF(D125=0,0,D124/D125)</f>
        <v>5.5602240896358541</v>
      </c>
      <c r="E126" s="219">
        <f>IF(E125=0,0,E124/E125)</f>
        <v>5.5247035074438555</v>
      </c>
    </row>
    <row r="127" spans="1:8" ht="24" customHeight="1" x14ac:dyDescent="0.2">
      <c r="A127" s="85">
        <v>4</v>
      </c>
      <c r="B127" s="75" t="s">
        <v>383</v>
      </c>
      <c r="C127" s="218">
        <v>271</v>
      </c>
      <c r="D127" s="218">
        <v>281</v>
      </c>
      <c r="E127" s="218">
        <v>302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368</v>
      </c>
      <c r="E128" s="218">
        <v>383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333</v>
      </c>
      <c r="D129" s="218">
        <v>383</v>
      </c>
      <c r="E129" s="218">
        <v>383</v>
      </c>
    </row>
    <row r="130" spans="1:7" ht="24" customHeight="1" x14ac:dyDescent="0.2">
      <c r="A130" s="85">
        <v>7</v>
      </c>
      <c r="B130" s="75" t="s">
        <v>386</v>
      </c>
      <c r="C130" s="193">
        <v>0.98499999999999999</v>
      </c>
      <c r="D130" s="193">
        <v>0.98699999999999999</v>
      </c>
      <c r="E130" s="193">
        <v>0.99309999999999998</v>
      </c>
    </row>
    <row r="131" spans="1:7" ht="24" customHeight="1" x14ac:dyDescent="0.2">
      <c r="A131" s="85">
        <v>8</v>
      </c>
      <c r="B131" s="75" t="s">
        <v>387</v>
      </c>
      <c r="C131" s="193">
        <v>0.80159999999999998</v>
      </c>
      <c r="D131" s="193">
        <v>0.75360000000000005</v>
      </c>
      <c r="E131" s="193">
        <v>0.78300000000000003</v>
      </c>
    </row>
    <row r="132" spans="1:7" ht="24" customHeight="1" x14ac:dyDescent="0.2">
      <c r="A132" s="85">
        <v>9</v>
      </c>
      <c r="B132" s="75" t="s">
        <v>388</v>
      </c>
      <c r="C132" s="219">
        <v>2126</v>
      </c>
      <c r="D132" s="219">
        <v>2151</v>
      </c>
      <c r="E132" s="219">
        <v>2137.9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0.30699627834963406</v>
      </c>
      <c r="D135" s="227">
        <f>IF(D149=0,0,D143/D149)</f>
        <v>0.29466841170989694</v>
      </c>
      <c r="E135" s="227">
        <f>IF(E149=0,0,E143/E149)</f>
        <v>0.28109039863889018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0.37924828578432535</v>
      </c>
      <c r="D136" s="227">
        <f>IF(D149=0,0,D144/D149)</f>
        <v>0.37161215992983088</v>
      </c>
      <c r="E136" s="227">
        <f>IF(E149=0,0,E144/E149)</f>
        <v>0.38650513417897653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0.27807256988695866</v>
      </c>
      <c r="D137" s="227">
        <f>IF(D149=0,0,D145/D149)</f>
        <v>0.30511186845537208</v>
      </c>
      <c r="E137" s="227">
        <f>IF(E149=0,0,E145/E149)</f>
        <v>0.30136708540187568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3.4515100590430906E-2</v>
      </c>
      <c r="D139" s="227">
        <f>IF(D149=0,0,D147/D149)</f>
        <v>2.7143438667236262E-2</v>
      </c>
      <c r="E139" s="227">
        <f>IF(E149=0,0,E147/E149)</f>
        <v>3.0329110776444561E-2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1.1677653886510019E-3</v>
      </c>
      <c r="D140" s="227">
        <f>IF(D149=0,0,D148/D149)</f>
        <v>1.4641212376638349E-3</v>
      </c>
      <c r="E140" s="227">
        <f>IF(E149=0,0,E148/E149)</f>
        <v>7.082710038130161E-4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0.99999999999999989</v>
      </c>
      <c r="E141" s="227">
        <f>SUM(E135:E140)</f>
        <v>0.99999999999999989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464337878</v>
      </c>
      <c r="D143" s="229">
        <f>+D46-D147</f>
        <v>498897117</v>
      </c>
      <c r="E143" s="229">
        <f>+E46-E147</f>
        <v>494715543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573620453</v>
      </c>
      <c r="D144" s="229">
        <f>+D51</f>
        <v>629169018</v>
      </c>
      <c r="E144" s="229">
        <f>+E51</f>
        <v>680244143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420590203</v>
      </c>
      <c r="D145" s="229">
        <f>+D55</f>
        <v>516578722</v>
      </c>
      <c r="E145" s="229">
        <f>+E55</f>
        <v>530402255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52204765</v>
      </c>
      <c r="D147" s="229">
        <f>+D47</f>
        <v>45956006</v>
      </c>
      <c r="E147" s="229">
        <f>+E47</f>
        <v>53378851</v>
      </c>
    </row>
    <row r="148" spans="1:7" ht="20.100000000000001" customHeight="1" x14ac:dyDescent="0.2">
      <c r="A148" s="226">
        <v>13</v>
      </c>
      <c r="B148" s="224" t="s">
        <v>402</v>
      </c>
      <c r="C148" s="230">
        <v>1766268</v>
      </c>
      <c r="D148" s="229">
        <v>2478874</v>
      </c>
      <c r="E148" s="229">
        <v>1246548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1512519567</v>
      </c>
      <c r="D149" s="229">
        <f>SUM(D143:D148)</f>
        <v>1693079737</v>
      </c>
      <c r="E149" s="229">
        <f>SUM(E143:E148)</f>
        <v>1759987340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0.43263625016615298</v>
      </c>
      <c r="D152" s="227">
        <f>IF(D166=0,0,D160/D166)</f>
        <v>0.40851885689009032</v>
      </c>
      <c r="E152" s="227">
        <f>IF(E166=0,0,E160/E166)</f>
        <v>0.40758508507072727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0.37235286628436648</v>
      </c>
      <c r="D153" s="227">
        <f>IF(D166=0,0,D161/D166)</f>
        <v>0.35383589731609372</v>
      </c>
      <c r="E153" s="227">
        <f>IF(E166=0,0,E161/E166)</f>
        <v>0.36762772685211692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0.18098938227199415</v>
      </c>
      <c r="D154" s="227">
        <f>IF(D166=0,0,D162/D166)</f>
        <v>0.20525690538967786</v>
      </c>
      <c r="E154" s="227">
        <f>IF(E166=0,0,E162/E166)</f>
        <v>0.16965680890800799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1.3283614079741022E-2</v>
      </c>
      <c r="D156" s="227">
        <f>IF(D166=0,0,D164/D166)</f>
        <v>3.0765694340739346E-2</v>
      </c>
      <c r="E156" s="227">
        <f>IF(E166=0,0,E164/E166)</f>
        <v>5.4575917931675273E-2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7.3788719774539287E-4</v>
      </c>
      <c r="D157" s="227">
        <f>IF(D166=0,0,D165/D166)</f>
        <v>1.6226460633987781E-3</v>
      </c>
      <c r="E157" s="227">
        <f>IF(E166=0,0,E165/E166)</f>
        <v>5.5446123747251042E-4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0.99999999999999989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185995773</v>
      </c>
      <c r="D160" s="229">
        <f>+D44-D164</f>
        <v>184134660</v>
      </c>
      <c r="E160" s="229">
        <f>+E44-E164</f>
        <v>200617921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160079187</v>
      </c>
      <c r="D161" s="229">
        <f>+D50</f>
        <v>159487014</v>
      </c>
      <c r="E161" s="229">
        <f>+E50</f>
        <v>180950464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77809615</v>
      </c>
      <c r="D162" s="229">
        <f>+D54</f>
        <v>92516930</v>
      </c>
      <c r="E162" s="229">
        <f>+E54</f>
        <v>83506972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5710793</v>
      </c>
      <c r="D164" s="229">
        <f>+D45</f>
        <v>13867244</v>
      </c>
      <c r="E164" s="229">
        <f>+E45</f>
        <v>26862875</v>
      </c>
    </row>
    <row r="165" spans="1:6" ht="20.100000000000001" customHeight="1" x14ac:dyDescent="0.2">
      <c r="A165" s="226">
        <v>13</v>
      </c>
      <c r="B165" s="224" t="s">
        <v>417</v>
      </c>
      <c r="C165" s="230">
        <v>317227</v>
      </c>
      <c r="D165" s="229">
        <v>731387</v>
      </c>
      <c r="E165" s="229">
        <v>272912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429912595</v>
      </c>
      <c r="D166" s="229">
        <f>SUM(D160:D165)</f>
        <v>450737235</v>
      </c>
      <c r="E166" s="229">
        <f>SUM(E160:E165)</f>
        <v>492211144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5525</v>
      </c>
      <c r="D169" s="218">
        <v>5161</v>
      </c>
      <c r="E169" s="218">
        <v>5639</v>
      </c>
    </row>
    <row r="170" spans="1:6" ht="20.100000000000001" customHeight="1" x14ac:dyDescent="0.2">
      <c r="A170" s="226">
        <v>2</v>
      </c>
      <c r="B170" s="224" t="s">
        <v>420</v>
      </c>
      <c r="C170" s="218">
        <v>7117</v>
      </c>
      <c r="D170" s="218">
        <v>6958</v>
      </c>
      <c r="E170" s="218">
        <v>7920</v>
      </c>
    </row>
    <row r="171" spans="1:6" ht="20.100000000000001" customHeight="1" x14ac:dyDescent="0.2">
      <c r="A171" s="226">
        <v>3</v>
      </c>
      <c r="B171" s="224" t="s">
        <v>421</v>
      </c>
      <c r="C171" s="218">
        <v>5789</v>
      </c>
      <c r="D171" s="218">
        <v>6057</v>
      </c>
      <c r="E171" s="218">
        <v>6240</v>
      </c>
    </row>
    <row r="172" spans="1:6" ht="20.100000000000001" customHeight="1" x14ac:dyDescent="0.2">
      <c r="A172" s="226">
        <v>4</v>
      </c>
      <c r="B172" s="224" t="s">
        <v>422</v>
      </c>
      <c r="C172" s="218">
        <v>5789</v>
      </c>
      <c r="D172" s="218">
        <v>6057</v>
      </c>
      <c r="E172" s="218">
        <v>6240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22</v>
      </c>
      <c r="D174" s="218">
        <v>31</v>
      </c>
      <c r="E174" s="218">
        <v>16</v>
      </c>
    </row>
    <row r="175" spans="1:6" ht="20.100000000000001" customHeight="1" x14ac:dyDescent="0.2">
      <c r="A175" s="226">
        <v>7</v>
      </c>
      <c r="B175" s="224" t="s">
        <v>425</v>
      </c>
      <c r="C175" s="218">
        <v>301</v>
      </c>
      <c r="D175" s="218">
        <v>215</v>
      </c>
      <c r="E175" s="218">
        <v>785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18453</v>
      </c>
      <c r="D176" s="218">
        <f>+D169+D170+D171+D174</f>
        <v>18207</v>
      </c>
      <c r="E176" s="218">
        <f>+E169+E170+E171+E174</f>
        <v>19815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1.2422</v>
      </c>
      <c r="D179" s="231">
        <v>1.2794000000000001</v>
      </c>
      <c r="E179" s="231">
        <v>1.28301</v>
      </c>
    </row>
    <row r="180" spans="1:6" ht="20.100000000000001" customHeight="1" x14ac:dyDescent="0.2">
      <c r="A180" s="226">
        <v>2</v>
      </c>
      <c r="B180" s="224" t="s">
        <v>420</v>
      </c>
      <c r="C180" s="231">
        <v>1.5920700000000001</v>
      </c>
      <c r="D180" s="231">
        <v>1.59206</v>
      </c>
      <c r="E180" s="231">
        <v>1.6468</v>
      </c>
    </row>
    <row r="181" spans="1:6" ht="20.100000000000001" customHeight="1" x14ac:dyDescent="0.2">
      <c r="A181" s="226">
        <v>3</v>
      </c>
      <c r="B181" s="224" t="s">
        <v>421</v>
      </c>
      <c r="C181" s="231">
        <v>1.0349299999999999</v>
      </c>
      <c r="D181" s="231">
        <v>1.0716300000000001</v>
      </c>
      <c r="E181" s="231">
        <v>1.0688200000000001</v>
      </c>
    </row>
    <row r="182" spans="1:6" ht="20.100000000000001" customHeight="1" x14ac:dyDescent="0.2">
      <c r="A182" s="226">
        <v>4</v>
      </c>
      <c r="B182" s="224" t="s">
        <v>422</v>
      </c>
      <c r="C182" s="231">
        <v>1.0349299999999999</v>
      </c>
      <c r="D182" s="231">
        <v>1.0716300000000001</v>
      </c>
      <c r="E182" s="231">
        <v>1.0688200000000001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1.2058500000000001</v>
      </c>
      <c r="D184" s="231">
        <v>1.1305099999999999</v>
      </c>
      <c r="E184" s="231">
        <v>0.86004999999999998</v>
      </c>
    </row>
    <row r="185" spans="1:6" ht="20.100000000000001" customHeight="1" x14ac:dyDescent="0.2">
      <c r="A185" s="226">
        <v>7</v>
      </c>
      <c r="B185" s="224" t="s">
        <v>425</v>
      </c>
      <c r="C185" s="231">
        <v>1.1533199999999999</v>
      </c>
      <c r="D185" s="231">
        <v>1.18129</v>
      </c>
      <c r="E185" s="231">
        <v>1.03671</v>
      </c>
    </row>
    <row r="186" spans="1:6" ht="20.100000000000001" customHeight="1" x14ac:dyDescent="0.2">
      <c r="A186" s="226">
        <v>8</v>
      </c>
      <c r="B186" s="224" t="s">
        <v>429</v>
      </c>
      <c r="C186" s="231">
        <v>1.312071</v>
      </c>
      <c r="D186" s="231">
        <v>1.3295129999999999</v>
      </c>
      <c r="E186" s="231">
        <v>1.3606229999999999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10835</v>
      </c>
      <c r="D189" s="218">
        <v>13334</v>
      </c>
      <c r="E189" s="218">
        <v>15012</v>
      </c>
    </row>
    <row r="190" spans="1:6" ht="20.100000000000001" customHeight="1" x14ac:dyDescent="0.2">
      <c r="A190" s="226">
        <v>2</v>
      </c>
      <c r="B190" s="224" t="s">
        <v>433</v>
      </c>
      <c r="C190" s="218">
        <v>66060</v>
      </c>
      <c r="D190" s="218">
        <v>73906</v>
      </c>
      <c r="E190" s="218">
        <v>76274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76895</v>
      </c>
      <c r="D191" s="218">
        <f>+D190+D189</f>
        <v>87240</v>
      </c>
      <c r="E191" s="218">
        <f>+E190+E189</f>
        <v>91286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FILING&amp;RBRIDGEPORT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2</v>
      </c>
      <c r="B4" s="802"/>
      <c r="C4" s="802"/>
      <c r="D4" s="802"/>
      <c r="E4" s="802"/>
      <c r="F4" s="802"/>
    </row>
    <row r="5" spans="1:7" ht="20.25" customHeight="1" x14ac:dyDescent="0.3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3"/>
      <c r="D9" s="804"/>
      <c r="E9" s="804"/>
      <c r="F9" s="805"/>
      <c r="G9" s="245"/>
    </row>
    <row r="10" spans="1:7" ht="20.25" customHeight="1" x14ac:dyDescent="0.3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">
      <c r="A11" s="795"/>
      <c r="B11" s="787"/>
      <c r="C11" s="791"/>
      <c r="D11" s="792"/>
      <c r="E11" s="792"/>
      <c r="F11" s="793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2804119</v>
      </c>
      <c r="D14" s="258">
        <v>2365699</v>
      </c>
      <c r="E14" s="258">
        <f t="shared" ref="E14:E24" si="0">D14-C14</f>
        <v>-438420</v>
      </c>
      <c r="F14" s="259">
        <f t="shared" ref="F14:F24" si="1">IF(C14=0,0,E14/C14)</f>
        <v>-0.15634857151212198</v>
      </c>
    </row>
    <row r="15" spans="1:7" ht="20.25" customHeight="1" x14ac:dyDescent="0.3">
      <c r="A15" s="256">
        <v>2</v>
      </c>
      <c r="B15" s="257" t="s">
        <v>442</v>
      </c>
      <c r="C15" s="258">
        <v>684068</v>
      </c>
      <c r="D15" s="258">
        <v>712886</v>
      </c>
      <c r="E15" s="258">
        <f t="shared" si="0"/>
        <v>28818</v>
      </c>
      <c r="F15" s="259">
        <f t="shared" si="1"/>
        <v>4.2127390844185084E-2</v>
      </c>
    </row>
    <row r="16" spans="1:7" ht="20.25" customHeight="1" x14ac:dyDescent="0.3">
      <c r="A16" s="256">
        <v>3</v>
      </c>
      <c r="B16" s="257" t="s">
        <v>443</v>
      </c>
      <c r="C16" s="258">
        <v>1252399</v>
      </c>
      <c r="D16" s="258">
        <v>1541489</v>
      </c>
      <c r="E16" s="258">
        <f t="shared" si="0"/>
        <v>289090</v>
      </c>
      <c r="F16" s="259">
        <f t="shared" si="1"/>
        <v>0.23082899299664084</v>
      </c>
    </row>
    <row r="17" spans="1:6" ht="20.25" customHeight="1" x14ac:dyDescent="0.3">
      <c r="A17" s="256">
        <v>4</v>
      </c>
      <c r="B17" s="257" t="s">
        <v>444</v>
      </c>
      <c r="C17" s="258">
        <v>105021</v>
      </c>
      <c r="D17" s="258">
        <v>212917</v>
      </c>
      <c r="E17" s="258">
        <f t="shared" si="0"/>
        <v>107896</v>
      </c>
      <c r="F17" s="259">
        <f t="shared" si="1"/>
        <v>1.0273754772854953</v>
      </c>
    </row>
    <row r="18" spans="1:6" ht="20.25" customHeight="1" x14ac:dyDescent="0.3">
      <c r="A18" s="256">
        <v>5</v>
      </c>
      <c r="B18" s="257" t="s">
        <v>381</v>
      </c>
      <c r="C18" s="260">
        <v>30</v>
      </c>
      <c r="D18" s="260">
        <v>43</v>
      </c>
      <c r="E18" s="260">
        <f t="shared" si="0"/>
        <v>13</v>
      </c>
      <c r="F18" s="259">
        <f t="shared" si="1"/>
        <v>0.43333333333333335</v>
      </c>
    </row>
    <row r="19" spans="1:6" ht="20.25" customHeight="1" x14ac:dyDescent="0.3">
      <c r="A19" s="256">
        <v>6</v>
      </c>
      <c r="B19" s="257" t="s">
        <v>380</v>
      </c>
      <c r="C19" s="260">
        <v>330</v>
      </c>
      <c r="D19" s="260">
        <v>353</v>
      </c>
      <c r="E19" s="260">
        <f t="shared" si="0"/>
        <v>23</v>
      </c>
      <c r="F19" s="259">
        <f t="shared" si="1"/>
        <v>6.9696969696969702E-2</v>
      </c>
    </row>
    <row r="20" spans="1:6" ht="20.25" customHeight="1" x14ac:dyDescent="0.3">
      <c r="A20" s="256">
        <v>7</v>
      </c>
      <c r="B20" s="257" t="s">
        <v>445</v>
      </c>
      <c r="C20" s="260">
        <v>236</v>
      </c>
      <c r="D20" s="260">
        <v>300</v>
      </c>
      <c r="E20" s="260">
        <f t="shared" si="0"/>
        <v>64</v>
      </c>
      <c r="F20" s="259">
        <f t="shared" si="1"/>
        <v>0.2711864406779661</v>
      </c>
    </row>
    <row r="21" spans="1:6" ht="20.25" customHeight="1" x14ac:dyDescent="0.3">
      <c r="A21" s="256">
        <v>8</v>
      </c>
      <c r="B21" s="257" t="s">
        <v>446</v>
      </c>
      <c r="C21" s="260">
        <v>49</v>
      </c>
      <c r="D21" s="260">
        <v>57</v>
      </c>
      <c r="E21" s="260">
        <f t="shared" si="0"/>
        <v>8</v>
      </c>
      <c r="F21" s="259">
        <f t="shared" si="1"/>
        <v>0.16326530612244897</v>
      </c>
    </row>
    <row r="22" spans="1:6" ht="20.25" customHeight="1" x14ac:dyDescent="0.3">
      <c r="A22" s="256">
        <v>9</v>
      </c>
      <c r="B22" s="257" t="s">
        <v>447</v>
      </c>
      <c r="C22" s="260">
        <v>48</v>
      </c>
      <c r="D22" s="260">
        <v>41</v>
      </c>
      <c r="E22" s="260">
        <f t="shared" si="0"/>
        <v>-7</v>
      </c>
      <c r="F22" s="259">
        <f t="shared" si="1"/>
        <v>-0.14583333333333334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4056518</v>
      </c>
      <c r="D23" s="263">
        <f>+D14+D16</f>
        <v>3907188</v>
      </c>
      <c r="E23" s="263">
        <f t="shared" si="0"/>
        <v>-149330</v>
      </c>
      <c r="F23" s="264">
        <f t="shared" si="1"/>
        <v>-3.681235976273247E-2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789089</v>
      </c>
      <c r="D24" s="263">
        <f>+D15+D17</f>
        <v>925803</v>
      </c>
      <c r="E24" s="263">
        <f t="shared" si="0"/>
        <v>136714</v>
      </c>
      <c r="F24" s="264">
        <f t="shared" si="1"/>
        <v>0.17325548829092791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28648977</v>
      </c>
      <c r="D40" s="258">
        <v>38006441</v>
      </c>
      <c r="E40" s="258">
        <f t="shared" ref="E40:E50" si="4">D40-C40</f>
        <v>9357464</v>
      </c>
      <c r="F40" s="259">
        <f t="shared" ref="F40:F50" si="5">IF(C40=0,0,E40/C40)</f>
        <v>0.32662471682671251</v>
      </c>
    </row>
    <row r="41" spans="1:6" ht="20.25" customHeight="1" x14ac:dyDescent="0.3">
      <c r="A41" s="256">
        <v>2</v>
      </c>
      <c r="B41" s="257" t="s">
        <v>442</v>
      </c>
      <c r="C41" s="258">
        <v>7973341</v>
      </c>
      <c r="D41" s="258">
        <v>12007762</v>
      </c>
      <c r="E41" s="258">
        <f t="shared" si="4"/>
        <v>4034421</v>
      </c>
      <c r="F41" s="259">
        <f t="shared" si="5"/>
        <v>0.50598876932518</v>
      </c>
    </row>
    <row r="42" spans="1:6" ht="20.25" customHeight="1" x14ac:dyDescent="0.3">
      <c r="A42" s="256">
        <v>3</v>
      </c>
      <c r="B42" s="257" t="s">
        <v>443</v>
      </c>
      <c r="C42" s="258">
        <v>21416204</v>
      </c>
      <c r="D42" s="258">
        <v>22144110</v>
      </c>
      <c r="E42" s="258">
        <f t="shared" si="4"/>
        <v>727906</v>
      </c>
      <c r="F42" s="259">
        <f t="shared" si="5"/>
        <v>3.3988563052537231E-2</v>
      </c>
    </row>
    <row r="43" spans="1:6" ht="20.25" customHeight="1" x14ac:dyDescent="0.3">
      <c r="A43" s="256">
        <v>4</v>
      </c>
      <c r="B43" s="257" t="s">
        <v>444</v>
      </c>
      <c r="C43" s="258">
        <v>3245595</v>
      </c>
      <c r="D43" s="258">
        <v>3351672</v>
      </c>
      <c r="E43" s="258">
        <f t="shared" si="4"/>
        <v>106077</v>
      </c>
      <c r="F43" s="259">
        <f t="shared" si="5"/>
        <v>3.2683375467364224E-2</v>
      </c>
    </row>
    <row r="44" spans="1:6" ht="20.25" customHeight="1" x14ac:dyDescent="0.3">
      <c r="A44" s="256">
        <v>5</v>
      </c>
      <c r="B44" s="257" t="s">
        <v>381</v>
      </c>
      <c r="C44" s="260">
        <v>503</v>
      </c>
      <c r="D44" s="260">
        <v>653</v>
      </c>
      <c r="E44" s="260">
        <f t="shared" si="4"/>
        <v>150</v>
      </c>
      <c r="F44" s="259">
        <f t="shared" si="5"/>
        <v>0.29821073558648109</v>
      </c>
    </row>
    <row r="45" spans="1:6" ht="20.25" customHeight="1" x14ac:dyDescent="0.3">
      <c r="A45" s="256">
        <v>6</v>
      </c>
      <c r="B45" s="257" t="s">
        <v>380</v>
      </c>
      <c r="C45" s="260">
        <v>3283</v>
      </c>
      <c r="D45" s="260">
        <v>4592</v>
      </c>
      <c r="E45" s="260">
        <f t="shared" si="4"/>
        <v>1309</v>
      </c>
      <c r="F45" s="259">
        <f t="shared" si="5"/>
        <v>0.39872068230277186</v>
      </c>
    </row>
    <row r="46" spans="1:6" ht="20.25" customHeight="1" x14ac:dyDescent="0.3">
      <c r="A46" s="256">
        <v>7</v>
      </c>
      <c r="B46" s="257" t="s">
        <v>445</v>
      </c>
      <c r="C46" s="260">
        <v>4559</v>
      </c>
      <c r="D46" s="260">
        <v>5339</v>
      </c>
      <c r="E46" s="260">
        <f t="shared" si="4"/>
        <v>780</v>
      </c>
      <c r="F46" s="259">
        <f t="shared" si="5"/>
        <v>0.17109015134898004</v>
      </c>
    </row>
    <row r="47" spans="1:6" ht="20.25" customHeight="1" x14ac:dyDescent="0.3">
      <c r="A47" s="256">
        <v>8</v>
      </c>
      <c r="B47" s="257" t="s">
        <v>446</v>
      </c>
      <c r="C47" s="260">
        <v>452</v>
      </c>
      <c r="D47" s="260">
        <v>543</v>
      </c>
      <c r="E47" s="260">
        <f t="shared" si="4"/>
        <v>91</v>
      </c>
      <c r="F47" s="259">
        <f t="shared" si="5"/>
        <v>0.20132743362831859</v>
      </c>
    </row>
    <row r="48" spans="1:6" ht="20.25" customHeight="1" x14ac:dyDescent="0.3">
      <c r="A48" s="256">
        <v>9</v>
      </c>
      <c r="B48" s="257" t="s">
        <v>447</v>
      </c>
      <c r="C48" s="260">
        <v>468</v>
      </c>
      <c r="D48" s="260">
        <v>563</v>
      </c>
      <c r="E48" s="260">
        <f t="shared" si="4"/>
        <v>95</v>
      </c>
      <c r="F48" s="259">
        <f t="shared" si="5"/>
        <v>0.20299145299145299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50065181</v>
      </c>
      <c r="D49" s="263">
        <f>+D40+D42</f>
        <v>60150551</v>
      </c>
      <c r="E49" s="263">
        <f t="shared" si="4"/>
        <v>10085370</v>
      </c>
      <c r="F49" s="264">
        <f t="shared" si="5"/>
        <v>0.20144479253954958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11218936</v>
      </c>
      <c r="D50" s="263">
        <f>+D41+D43</f>
        <v>15359434</v>
      </c>
      <c r="E50" s="263">
        <f t="shared" si="4"/>
        <v>4140498</v>
      </c>
      <c r="F50" s="264">
        <f t="shared" si="5"/>
        <v>0.36906334076600489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54275620</v>
      </c>
      <c r="D66" s="258">
        <v>47168458</v>
      </c>
      <c r="E66" s="258">
        <f t="shared" ref="E66:E76" si="8">D66-C66</f>
        <v>-7107162</v>
      </c>
      <c r="F66" s="259">
        <f t="shared" ref="F66:F76" si="9">IF(C66=0,0,E66/C66)</f>
        <v>-0.13094575428157246</v>
      </c>
    </row>
    <row r="67" spans="1:6" ht="20.25" customHeight="1" x14ac:dyDescent="0.3">
      <c r="A67" s="256">
        <v>2</v>
      </c>
      <c r="B67" s="257" t="s">
        <v>442</v>
      </c>
      <c r="C67" s="258">
        <v>15829254</v>
      </c>
      <c r="D67" s="258">
        <v>14837086</v>
      </c>
      <c r="E67" s="258">
        <f t="shared" si="8"/>
        <v>-992168</v>
      </c>
      <c r="F67" s="259">
        <f t="shared" si="9"/>
        <v>-6.2679390955505551E-2</v>
      </c>
    </row>
    <row r="68" spans="1:6" ht="20.25" customHeight="1" x14ac:dyDescent="0.3">
      <c r="A68" s="256">
        <v>3</v>
      </c>
      <c r="B68" s="257" t="s">
        <v>443</v>
      </c>
      <c r="C68" s="258">
        <v>32253209</v>
      </c>
      <c r="D68" s="258">
        <v>25547603</v>
      </c>
      <c r="E68" s="258">
        <f t="shared" si="8"/>
        <v>-6705606</v>
      </c>
      <c r="F68" s="259">
        <f t="shared" si="9"/>
        <v>-0.2079050800805588</v>
      </c>
    </row>
    <row r="69" spans="1:6" ht="20.25" customHeight="1" x14ac:dyDescent="0.3">
      <c r="A69" s="256">
        <v>4</v>
      </c>
      <c r="B69" s="257" t="s">
        <v>444</v>
      </c>
      <c r="C69" s="258">
        <v>4664615</v>
      </c>
      <c r="D69" s="258">
        <v>3456876</v>
      </c>
      <c r="E69" s="258">
        <f t="shared" si="8"/>
        <v>-1207739</v>
      </c>
      <c r="F69" s="259">
        <f t="shared" si="9"/>
        <v>-0.2589150444356072</v>
      </c>
    </row>
    <row r="70" spans="1:6" ht="20.25" customHeight="1" x14ac:dyDescent="0.3">
      <c r="A70" s="256">
        <v>5</v>
      </c>
      <c r="B70" s="257" t="s">
        <v>381</v>
      </c>
      <c r="C70" s="260">
        <v>934</v>
      </c>
      <c r="D70" s="260">
        <v>864</v>
      </c>
      <c r="E70" s="260">
        <f t="shared" si="8"/>
        <v>-70</v>
      </c>
      <c r="F70" s="259">
        <f t="shared" si="9"/>
        <v>-7.4946466809421838E-2</v>
      </c>
    </row>
    <row r="71" spans="1:6" ht="20.25" customHeight="1" x14ac:dyDescent="0.3">
      <c r="A71" s="256">
        <v>6</v>
      </c>
      <c r="B71" s="257" t="s">
        <v>380</v>
      </c>
      <c r="C71" s="260">
        <v>6804</v>
      </c>
      <c r="D71" s="260">
        <v>6310</v>
      </c>
      <c r="E71" s="260">
        <f t="shared" si="8"/>
        <v>-494</v>
      </c>
      <c r="F71" s="259">
        <f t="shared" si="9"/>
        <v>-7.2604350382128161E-2</v>
      </c>
    </row>
    <row r="72" spans="1:6" ht="20.25" customHeight="1" x14ac:dyDescent="0.3">
      <c r="A72" s="256">
        <v>7</v>
      </c>
      <c r="B72" s="257" t="s">
        <v>445</v>
      </c>
      <c r="C72" s="260">
        <v>6866</v>
      </c>
      <c r="D72" s="260">
        <v>6129</v>
      </c>
      <c r="E72" s="260">
        <f t="shared" si="8"/>
        <v>-737</v>
      </c>
      <c r="F72" s="259">
        <f t="shared" si="9"/>
        <v>-0.10734051849694146</v>
      </c>
    </row>
    <row r="73" spans="1:6" ht="20.25" customHeight="1" x14ac:dyDescent="0.3">
      <c r="A73" s="256">
        <v>8</v>
      </c>
      <c r="B73" s="257" t="s">
        <v>446</v>
      </c>
      <c r="C73" s="260">
        <v>1027</v>
      </c>
      <c r="D73" s="260">
        <v>931</v>
      </c>
      <c r="E73" s="260">
        <f t="shared" si="8"/>
        <v>-96</v>
      </c>
      <c r="F73" s="259">
        <f t="shared" si="9"/>
        <v>-9.3476144109055498E-2</v>
      </c>
    </row>
    <row r="74" spans="1:6" ht="20.25" customHeight="1" x14ac:dyDescent="0.3">
      <c r="A74" s="256">
        <v>9</v>
      </c>
      <c r="B74" s="257" t="s">
        <v>447</v>
      </c>
      <c r="C74" s="260">
        <v>1056</v>
      </c>
      <c r="D74" s="260">
        <v>874</v>
      </c>
      <c r="E74" s="260">
        <f t="shared" si="8"/>
        <v>-182</v>
      </c>
      <c r="F74" s="259">
        <f t="shared" si="9"/>
        <v>-0.17234848484848486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86528829</v>
      </c>
      <c r="D75" s="263">
        <f>+D66+D68</f>
        <v>72716061</v>
      </c>
      <c r="E75" s="263">
        <f t="shared" si="8"/>
        <v>-13812768</v>
      </c>
      <c r="F75" s="264">
        <f t="shared" si="9"/>
        <v>-0.15963197652888611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20493869</v>
      </c>
      <c r="D76" s="263">
        <f>+D67+D69</f>
        <v>18293962</v>
      </c>
      <c r="E76" s="263">
        <f t="shared" si="8"/>
        <v>-2199907</v>
      </c>
      <c r="F76" s="264">
        <f t="shared" si="9"/>
        <v>-0.10734464048735746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0</v>
      </c>
      <c r="E92" s="258">
        <f t="shared" ref="E92:E102" si="12">D92-C92</f>
        <v>0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0</v>
      </c>
      <c r="E93" s="258">
        <f t="shared" si="12"/>
        <v>0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0</v>
      </c>
      <c r="E94" s="258">
        <f t="shared" si="12"/>
        <v>0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0</v>
      </c>
      <c r="E95" s="258">
        <f t="shared" si="12"/>
        <v>0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0</v>
      </c>
      <c r="E96" s="260">
        <f t="shared" si="12"/>
        <v>0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0</v>
      </c>
      <c r="E97" s="260">
        <f t="shared" si="12"/>
        <v>0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0</v>
      </c>
      <c r="E98" s="260">
        <f t="shared" si="12"/>
        <v>0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0</v>
      </c>
      <c r="E99" s="260">
        <f t="shared" si="12"/>
        <v>0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0</v>
      </c>
      <c r="E101" s="263">
        <f t="shared" si="12"/>
        <v>0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0</v>
      </c>
      <c r="E102" s="263">
        <f t="shared" si="12"/>
        <v>0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13522667</v>
      </c>
      <c r="D105" s="258">
        <v>19838815</v>
      </c>
      <c r="E105" s="258">
        <f t="shared" ref="E105:E115" si="14">D105-C105</f>
        <v>6316148</v>
      </c>
      <c r="F105" s="259">
        <f t="shared" ref="F105:F115" si="15">IF(C105=0,0,E105/C105)</f>
        <v>0.46707857259222607</v>
      </c>
    </row>
    <row r="106" spans="1:6" ht="20.25" customHeight="1" x14ac:dyDescent="0.3">
      <c r="A106" s="256">
        <v>2</v>
      </c>
      <c r="B106" s="257" t="s">
        <v>442</v>
      </c>
      <c r="C106" s="258">
        <v>3719123</v>
      </c>
      <c r="D106" s="258">
        <v>6094036</v>
      </c>
      <c r="E106" s="258">
        <f t="shared" si="14"/>
        <v>2374913</v>
      </c>
      <c r="F106" s="259">
        <f t="shared" si="15"/>
        <v>0.63856801724492573</v>
      </c>
    </row>
    <row r="107" spans="1:6" ht="20.25" customHeight="1" x14ac:dyDescent="0.3">
      <c r="A107" s="256">
        <v>3</v>
      </c>
      <c r="B107" s="257" t="s">
        <v>443</v>
      </c>
      <c r="C107" s="258">
        <v>13271572</v>
      </c>
      <c r="D107" s="258">
        <v>17081399</v>
      </c>
      <c r="E107" s="258">
        <f t="shared" si="14"/>
        <v>3809827</v>
      </c>
      <c r="F107" s="259">
        <f t="shared" si="15"/>
        <v>0.2870667468782146</v>
      </c>
    </row>
    <row r="108" spans="1:6" ht="20.25" customHeight="1" x14ac:dyDescent="0.3">
      <c r="A108" s="256">
        <v>4</v>
      </c>
      <c r="B108" s="257" t="s">
        <v>444</v>
      </c>
      <c r="C108" s="258">
        <v>1954430</v>
      </c>
      <c r="D108" s="258">
        <v>2371095</v>
      </c>
      <c r="E108" s="258">
        <f t="shared" si="14"/>
        <v>416665</v>
      </c>
      <c r="F108" s="259">
        <f t="shared" si="15"/>
        <v>0.2131900349462503</v>
      </c>
    </row>
    <row r="109" spans="1:6" ht="20.25" customHeight="1" x14ac:dyDescent="0.3">
      <c r="A109" s="256">
        <v>5</v>
      </c>
      <c r="B109" s="257" t="s">
        <v>381</v>
      </c>
      <c r="C109" s="260">
        <v>281</v>
      </c>
      <c r="D109" s="260">
        <v>397</v>
      </c>
      <c r="E109" s="260">
        <f t="shared" si="14"/>
        <v>116</v>
      </c>
      <c r="F109" s="259">
        <f t="shared" si="15"/>
        <v>0.41281138790035588</v>
      </c>
    </row>
    <row r="110" spans="1:6" ht="20.25" customHeight="1" x14ac:dyDescent="0.3">
      <c r="A110" s="256">
        <v>6</v>
      </c>
      <c r="B110" s="257" t="s">
        <v>380</v>
      </c>
      <c r="C110" s="260">
        <v>1765</v>
      </c>
      <c r="D110" s="260">
        <v>2517</v>
      </c>
      <c r="E110" s="260">
        <f t="shared" si="14"/>
        <v>752</v>
      </c>
      <c r="F110" s="259">
        <f t="shared" si="15"/>
        <v>0.42606232294617563</v>
      </c>
    </row>
    <row r="111" spans="1:6" ht="20.25" customHeight="1" x14ac:dyDescent="0.3">
      <c r="A111" s="256">
        <v>7</v>
      </c>
      <c r="B111" s="257" t="s">
        <v>445</v>
      </c>
      <c r="C111" s="260">
        <v>3049</v>
      </c>
      <c r="D111" s="260">
        <v>3934</v>
      </c>
      <c r="E111" s="260">
        <f t="shared" si="14"/>
        <v>885</v>
      </c>
      <c r="F111" s="259">
        <f t="shared" si="15"/>
        <v>0.29025910134470317</v>
      </c>
    </row>
    <row r="112" spans="1:6" ht="20.25" customHeight="1" x14ac:dyDescent="0.3">
      <c r="A112" s="256">
        <v>8</v>
      </c>
      <c r="B112" s="257" t="s">
        <v>446</v>
      </c>
      <c r="C112" s="260">
        <v>825</v>
      </c>
      <c r="D112" s="260">
        <v>954</v>
      </c>
      <c r="E112" s="260">
        <f t="shared" si="14"/>
        <v>129</v>
      </c>
      <c r="F112" s="259">
        <f t="shared" si="15"/>
        <v>0.15636363636363637</v>
      </c>
    </row>
    <row r="113" spans="1:6" ht="20.25" customHeight="1" x14ac:dyDescent="0.3">
      <c r="A113" s="256">
        <v>9</v>
      </c>
      <c r="B113" s="257" t="s">
        <v>447</v>
      </c>
      <c r="C113" s="260">
        <v>901</v>
      </c>
      <c r="D113" s="260">
        <v>431</v>
      </c>
      <c r="E113" s="260">
        <f t="shared" si="14"/>
        <v>-470</v>
      </c>
      <c r="F113" s="259">
        <f t="shared" si="15"/>
        <v>-0.52164261931187572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26794239</v>
      </c>
      <c r="D114" s="263">
        <f>+D105+D107</f>
        <v>36920214</v>
      </c>
      <c r="E114" s="263">
        <f t="shared" si="14"/>
        <v>10125975</v>
      </c>
      <c r="F114" s="264">
        <f t="shared" si="15"/>
        <v>0.3779161259254275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5673553</v>
      </c>
      <c r="D115" s="263">
        <f>+D106+D108</f>
        <v>8465131</v>
      </c>
      <c r="E115" s="263">
        <f t="shared" si="14"/>
        <v>2791578</v>
      </c>
      <c r="F115" s="264">
        <f t="shared" si="15"/>
        <v>0.49203347531961011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25770204</v>
      </c>
      <c r="D118" s="258">
        <v>15793494</v>
      </c>
      <c r="E118" s="258">
        <f t="shared" ref="E118:E128" si="16">D118-C118</f>
        <v>-9976710</v>
      </c>
      <c r="F118" s="259">
        <f t="shared" ref="F118:F128" si="17">IF(C118=0,0,E118/C118)</f>
        <v>-0.38714128921913077</v>
      </c>
    </row>
    <row r="119" spans="1:6" ht="20.25" customHeight="1" x14ac:dyDescent="0.3">
      <c r="A119" s="256">
        <v>2</v>
      </c>
      <c r="B119" s="257" t="s">
        <v>442</v>
      </c>
      <c r="C119" s="258">
        <v>6814098</v>
      </c>
      <c r="D119" s="258">
        <v>4807354</v>
      </c>
      <c r="E119" s="258">
        <f t="shared" si="16"/>
        <v>-2006744</v>
      </c>
      <c r="F119" s="259">
        <f t="shared" si="17"/>
        <v>-0.29449884636235052</v>
      </c>
    </row>
    <row r="120" spans="1:6" ht="20.25" customHeight="1" x14ac:dyDescent="0.3">
      <c r="A120" s="256">
        <v>3</v>
      </c>
      <c r="B120" s="257" t="s">
        <v>443</v>
      </c>
      <c r="C120" s="258">
        <v>13901765</v>
      </c>
      <c r="D120" s="258">
        <v>15519437</v>
      </c>
      <c r="E120" s="258">
        <f t="shared" si="16"/>
        <v>1617672</v>
      </c>
      <c r="F120" s="259">
        <f t="shared" si="17"/>
        <v>0.11636450479489475</v>
      </c>
    </row>
    <row r="121" spans="1:6" ht="20.25" customHeight="1" x14ac:dyDescent="0.3">
      <c r="A121" s="256">
        <v>4</v>
      </c>
      <c r="B121" s="257" t="s">
        <v>444</v>
      </c>
      <c r="C121" s="258">
        <v>2877626</v>
      </c>
      <c r="D121" s="258">
        <v>3000420</v>
      </c>
      <c r="E121" s="258">
        <f t="shared" si="16"/>
        <v>122794</v>
      </c>
      <c r="F121" s="259">
        <f t="shared" si="17"/>
        <v>4.2671980305988337E-2</v>
      </c>
    </row>
    <row r="122" spans="1:6" ht="20.25" customHeight="1" x14ac:dyDescent="0.3">
      <c r="A122" s="256">
        <v>5</v>
      </c>
      <c r="B122" s="257" t="s">
        <v>381</v>
      </c>
      <c r="C122" s="260">
        <v>317</v>
      </c>
      <c r="D122" s="260">
        <v>277</v>
      </c>
      <c r="E122" s="260">
        <f t="shared" si="16"/>
        <v>-40</v>
      </c>
      <c r="F122" s="259">
        <f t="shared" si="17"/>
        <v>-0.12618296529968454</v>
      </c>
    </row>
    <row r="123" spans="1:6" ht="20.25" customHeight="1" x14ac:dyDescent="0.3">
      <c r="A123" s="256">
        <v>6</v>
      </c>
      <c r="B123" s="257" t="s">
        <v>380</v>
      </c>
      <c r="C123" s="260">
        <v>2067</v>
      </c>
      <c r="D123" s="260">
        <v>1846</v>
      </c>
      <c r="E123" s="260">
        <f t="shared" si="16"/>
        <v>-221</v>
      </c>
      <c r="F123" s="259">
        <f t="shared" si="17"/>
        <v>-0.1069182389937107</v>
      </c>
    </row>
    <row r="124" spans="1:6" ht="20.25" customHeight="1" x14ac:dyDescent="0.3">
      <c r="A124" s="256">
        <v>7</v>
      </c>
      <c r="B124" s="257" t="s">
        <v>445</v>
      </c>
      <c r="C124" s="260">
        <v>3182</v>
      </c>
      <c r="D124" s="260">
        <v>3197</v>
      </c>
      <c r="E124" s="260">
        <f t="shared" si="16"/>
        <v>15</v>
      </c>
      <c r="F124" s="259">
        <f t="shared" si="17"/>
        <v>4.7140163419233183E-3</v>
      </c>
    </row>
    <row r="125" spans="1:6" ht="20.25" customHeight="1" x14ac:dyDescent="0.3">
      <c r="A125" s="256">
        <v>8</v>
      </c>
      <c r="B125" s="257" t="s">
        <v>446</v>
      </c>
      <c r="C125" s="260">
        <v>362</v>
      </c>
      <c r="D125" s="260">
        <v>317</v>
      </c>
      <c r="E125" s="260">
        <f t="shared" si="16"/>
        <v>-45</v>
      </c>
      <c r="F125" s="259">
        <f t="shared" si="17"/>
        <v>-0.12430939226519337</v>
      </c>
    </row>
    <row r="126" spans="1:6" ht="20.25" customHeight="1" x14ac:dyDescent="0.3">
      <c r="A126" s="256">
        <v>9</v>
      </c>
      <c r="B126" s="257" t="s">
        <v>447</v>
      </c>
      <c r="C126" s="260">
        <v>372</v>
      </c>
      <c r="D126" s="260">
        <v>291</v>
      </c>
      <c r="E126" s="260">
        <f t="shared" si="16"/>
        <v>-81</v>
      </c>
      <c r="F126" s="259">
        <f t="shared" si="17"/>
        <v>-0.21774193548387097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39671969</v>
      </c>
      <c r="D127" s="263">
        <f>+D118+D120</f>
        <v>31312931</v>
      </c>
      <c r="E127" s="263">
        <f t="shared" si="16"/>
        <v>-8359038</v>
      </c>
      <c r="F127" s="264">
        <f t="shared" si="17"/>
        <v>-0.21070388515377192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9691724</v>
      </c>
      <c r="D128" s="263">
        <f>+D119+D121</f>
        <v>7807774</v>
      </c>
      <c r="E128" s="263">
        <f t="shared" si="16"/>
        <v>-1883950</v>
      </c>
      <c r="F128" s="264">
        <f t="shared" si="17"/>
        <v>-0.19438750009802178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125021587</v>
      </c>
      <c r="D198" s="263">
        <f t="shared" si="28"/>
        <v>123172907</v>
      </c>
      <c r="E198" s="263">
        <f t="shared" ref="E198:E208" si="29">D198-C198</f>
        <v>-1848680</v>
      </c>
      <c r="F198" s="273">
        <f t="shared" ref="F198:F208" si="30">IF(C198=0,0,E198/C198)</f>
        <v>-1.4786886363872504E-2</v>
      </c>
    </row>
    <row r="199" spans="1:9" ht="20.25" customHeight="1" x14ac:dyDescent="0.3">
      <c r="A199" s="271"/>
      <c r="B199" s="272" t="s">
        <v>466</v>
      </c>
      <c r="C199" s="263">
        <f t="shared" si="28"/>
        <v>35019884</v>
      </c>
      <c r="D199" s="263">
        <f t="shared" si="28"/>
        <v>38459124</v>
      </c>
      <c r="E199" s="263">
        <f t="shared" si="29"/>
        <v>3439240</v>
      </c>
      <c r="F199" s="273">
        <f t="shared" si="30"/>
        <v>9.82082065149045E-2</v>
      </c>
    </row>
    <row r="200" spans="1:9" ht="20.25" customHeight="1" x14ac:dyDescent="0.3">
      <c r="A200" s="271"/>
      <c r="B200" s="272" t="s">
        <v>467</v>
      </c>
      <c r="C200" s="263">
        <f t="shared" si="28"/>
        <v>82095149</v>
      </c>
      <c r="D200" s="263">
        <f t="shared" si="28"/>
        <v>81834038</v>
      </c>
      <c r="E200" s="263">
        <f t="shared" si="29"/>
        <v>-261111</v>
      </c>
      <c r="F200" s="273">
        <f t="shared" si="30"/>
        <v>-3.1805898787028207E-3</v>
      </c>
    </row>
    <row r="201" spans="1:9" ht="20.25" customHeight="1" x14ac:dyDescent="0.3">
      <c r="A201" s="271"/>
      <c r="B201" s="272" t="s">
        <v>468</v>
      </c>
      <c r="C201" s="263">
        <f t="shared" si="28"/>
        <v>12847287</v>
      </c>
      <c r="D201" s="263">
        <f t="shared" si="28"/>
        <v>12392980</v>
      </c>
      <c r="E201" s="263">
        <f t="shared" si="29"/>
        <v>-454307</v>
      </c>
      <c r="F201" s="273">
        <f t="shared" si="30"/>
        <v>-3.5362096293170692E-2</v>
      </c>
    </row>
    <row r="202" spans="1:9" ht="20.25" customHeight="1" x14ac:dyDescent="0.3">
      <c r="A202" s="271"/>
      <c r="B202" s="272" t="s">
        <v>138</v>
      </c>
      <c r="C202" s="274">
        <f t="shared" si="28"/>
        <v>2065</v>
      </c>
      <c r="D202" s="274">
        <f t="shared" si="28"/>
        <v>2234</v>
      </c>
      <c r="E202" s="274">
        <f t="shared" si="29"/>
        <v>169</v>
      </c>
      <c r="F202" s="273">
        <f t="shared" si="30"/>
        <v>8.1840193704600481E-2</v>
      </c>
    </row>
    <row r="203" spans="1:9" ht="20.25" customHeight="1" x14ac:dyDescent="0.3">
      <c r="A203" s="271"/>
      <c r="B203" s="272" t="s">
        <v>140</v>
      </c>
      <c r="C203" s="274">
        <f t="shared" si="28"/>
        <v>14249</v>
      </c>
      <c r="D203" s="274">
        <f t="shared" si="28"/>
        <v>15618</v>
      </c>
      <c r="E203" s="274">
        <f t="shared" si="29"/>
        <v>1369</v>
      </c>
      <c r="F203" s="273">
        <f t="shared" si="30"/>
        <v>9.6076917678433571E-2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17892</v>
      </c>
      <c r="D204" s="274">
        <f t="shared" si="28"/>
        <v>18899</v>
      </c>
      <c r="E204" s="274">
        <f t="shared" si="29"/>
        <v>1007</v>
      </c>
      <c r="F204" s="273">
        <f t="shared" si="30"/>
        <v>5.6282137268052763E-2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2715</v>
      </c>
      <c r="D205" s="274">
        <f t="shared" si="28"/>
        <v>2802</v>
      </c>
      <c r="E205" s="274">
        <f t="shared" si="29"/>
        <v>87</v>
      </c>
      <c r="F205" s="273">
        <f t="shared" si="30"/>
        <v>3.2044198895027624E-2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2845</v>
      </c>
      <c r="D206" s="274">
        <f t="shared" si="28"/>
        <v>2200</v>
      </c>
      <c r="E206" s="274">
        <f t="shared" si="29"/>
        <v>-645</v>
      </c>
      <c r="F206" s="273">
        <f t="shared" si="30"/>
        <v>-0.22671353251318102</v>
      </c>
    </row>
    <row r="207" spans="1:9" ht="20.25" customHeight="1" x14ac:dyDescent="0.3">
      <c r="A207" s="271"/>
      <c r="B207" s="262" t="s">
        <v>471</v>
      </c>
      <c r="C207" s="263">
        <f>+C198+C200</f>
        <v>207116736</v>
      </c>
      <c r="D207" s="263">
        <f>+D198+D200</f>
        <v>205006945</v>
      </c>
      <c r="E207" s="263">
        <f t="shared" si="29"/>
        <v>-2109791</v>
      </c>
      <c r="F207" s="273">
        <f t="shared" si="30"/>
        <v>-1.0186482467549121E-2</v>
      </c>
    </row>
    <row r="208" spans="1:9" ht="20.25" customHeight="1" x14ac:dyDescent="0.3">
      <c r="A208" s="271"/>
      <c r="B208" s="262" t="s">
        <v>472</v>
      </c>
      <c r="C208" s="263">
        <f>+C199+C201</f>
        <v>47867171</v>
      </c>
      <c r="D208" s="263">
        <f>+D199+D201</f>
        <v>50852104</v>
      </c>
      <c r="E208" s="263">
        <f t="shared" si="29"/>
        <v>2984933</v>
      </c>
      <c r="F208" s="273">
        <f t="shared" si="30"/>
        <v>6.2358667488412886E-2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FILING&amp;RBRIDGEPORT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314</v>
      </c>
      <c r="B4" s="802"/>
      <c r="C4" s="802"/>
      <c r="D4" s="802"/>
      <c r="E4" s="802"/>
      <c r="F4" s="802"/>
    </row>
    <row r="5" spans="1:7" ht="20.25" customHeight="1" x14ac:dyDescent="0.3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">
      <c r="A11" s="795"/>
      <c r="B11" s="797"/>
      <c r="C11" s="791"/>
      <c r="D11" s="792"/>
      <c r="E11" s="792"/>
      <c r="F11" s="793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">
      <c r="A110" s="795"/>
      <c r="B110" s="797"/>
      <c r="C110" s="791"/>
      <c r="D110" s="792"/>
      <c r="E110" s="792"/>
      <c r="F110" s="793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FILING&amp;RBRIDGEPORT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161059000</v>
      </c>
      <c r="D13" s="22">
        <v>194946000</v>
      </c>
      <c r="E13" s="22">
        <f t="shared" ref="E13:E22" si="0">D13-C13</f>
        <v>33887000</v>
      </c>
      <c r="F13" s="306">
        <f t="shared" ref="F13:F22" si="1">IF(C13=0,0,E13/C13)</f>
        <v>0.21040115733985681</v>
      </c>
    </row>
    <row r="14" spans="1:8" ht="24" customHeight="1" x14ac:dyDescent="0.2">
      <c r="A14" s="304">
        <v>2</v>
      </c>
      <c r="B14" s="305" t="s">
        <v>17</v>
      </c>
      <c r="C14" s="22">
        <v>1040882000</v>
      </c>
      <c r="D14" s="22">
        <v>1160670000</v>
      </c>
      <c r="E14" s="22">
        <f t="shared" si="0"/>
        <v>119788000</v>
      </c>
      <c r="F14" s="306">
        <f t="shared" si="1"/>
        <v>0.11508316985018474</v>
      </c>
    </row>
    <row r="15" spans="1:8" ht="35.1" customHeight="1" x14ac:dyDescent="0.2">
      <c r="A15" s="304">
        <v>3</v>
      </c>
      <c r="B15" s="305" t="s">
        <v>18</v>
      </c>
      <c r="C15" s="22">
        <v>368342000</v>
      </c>
      <c r="D15" s="22">
        <v>405694000</v>
      </c>
      <c r="E15" s="22">
        <f t="shared" si="0"/>
        <v>37352000</v>
      </c>
      <c r="F15" s="306">
        <f t="shared" si="1"/>
        <v>0.10140575877852648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40473000</v>
      </c>
      <c r="D19" s="22">
        <v>45816000</v>
      </c>
      <c r="E19" s="22">
        <f t="shared" si="0"/>
        <v>5343000</v>
      </c>
      <c r="F19" s="306">
        <f t="shared" si="1"/>
        <v>0.13201393521606997</v>
      </c>
    </row>
    <row r="20" spans="1:11" ht="24" customHeight="1" x14ac:dyDescent="0.2">
      <c r="A20" s="304">
        <v>8</v>
      </c>
      <c r="B20" s="305" t="s">
        <v>23</v>
      </c>
      <c r="C20" s="22">
        <v>13846000</v>
      </c>
      <c r="D20" s="22">
        <v>25580000</v>
      </c>
      <c r="E20" s="22">
        <f t="shared" si="0"/>
        <v>11734000</v>
      </c>
      <c r="F20" s="306">
        <f t="shared" si="1"/>
        <v>0.84746497183302039</v>
      </c>
    </row>
    <row r="21" spans="1:11" ht="24" customHeight="1" x14ac:dyDescent="0.2">
      <c r="A21" s="304">
        <v>9</v>
      </c>
      <c r="B21" s="305" t="s">
        <v>24</v>
      </c>
      <c r="C21" s="22">
        <v>58405000</v>
      </c>
      <c r="D21" s="22">
        <v>57779000</v>
      </c>
      <c r="E21" s="22">
        <f t="shared" si="0"/>
        <v>-626000</v>
      </c>
      <c r="F21" s="306">
        <f t="shared" si="1"/>
        <v>-1.0718260422908998E-2</v>
      </c>
    </row>
    <row r="22" spans="1:11" ht="24" customHeight="1" x14ac:dyDescent="0.25">
      <c r="A22" s="307"/>
      <c r="B22" s="308" t="s">
        <v>25</v>
      </c>
      <c r="C22" s="309">
        <f>SUM(C13:C21)</f>
        <v>1683007000</v>
      </c>
      <c r="D22" s="309">
        <f>SUM(D13:D21)</f>
        <v>1890485000</v>
      </c>
      <c r="E22" s="309">
        <f t="shared" si="0"/>
        <v>207478000</v>
      </c>
      <c r="F22" s="310">
        <f t="shared" si="1"/>
        <v>0.12327815630000351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31833000</v>
      </c>
      <c r="D25" s="22">
        <v>30531000</v>
      </c>
      <c r="E25" s="22">
        <f>D25-C25</f>
        <v>-1302000</v>
      </c>
      <c r="F25" s="306">
        <f>IF(C25=0,0,E25/C25)</f>
        <v>-4.0900951842427667E-2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107073000</v>
      </c>
      <c r="D26" s="22">
        <v>96951000</v>
      </c>
      <c r="E26" s="22">
        <f>D26-C26</f>
        <v>-10122000</v>
      </c>
      <c r="F26" s="306">
        <f>IF(C26=0,0,E26/C26)</f>
        <v>-9.4533635930626775E-2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94644000</v>
      </c>
      <c r="D28" s="22">
        <v>78837000</v>
      </c>
      <c r="E28" s="22">
        <f>D28-C28</f>
        <v>-15807000</v>
      </c>
      <c r="F28" s="306">
        <f>IF(C28=0,0,E28/C28)</f>
        <v>-0.16701534170153418</v>
      </c>
    </row>
    <row r="29" spans="1:11" ht="35.1" customHeight="1" x14ac:dyDescent="0.25">
      <c r="A29" s="307"/>
      <c r="B29" s="308" t="s">
        <v>32</v>
      </c>
      <c r="C29" s="309">
        <f>SUM(C25:C28)</f>
        <v>233550000</v>
      </c>
      <c r="D29" s="309">
        <f>SUM(D25:D28)</f>
        <v>206319000</v>
      </c>
      <c r="E29" s="309">
        <f>D29-C29</f>
        <v>-27231000</v>
      </c>
      <c r="F29" s="310">
        <f>IF(C29=0,0,E29/C29)</f>
        <v>-0.11659601798330121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394904000</v>
      </c>
      <c r="D32" s="22">
        <v>420800000</v>
      </c>
      <c r="E32" s="22">
        <f>D32-C32</f>
        <v>25896000</v>
      </c>
      <c r="F32" s="306">
        <f>IF(C32=0,0,E32/C32)</f>
        <v>6.557543099082308E-2</v>
      </c>
    </row>
    <row r="33" spans="1:8" ht="24" customHeight="1" x14ac:dyDescent="0.2">
      <c r="A33" s="304">
        <v>7</v>
      </c>
      <c r="B33" s="305" t="s">
        <v>35</v>
      </c>
      <c r="C33" s="22">
        <v>400099000</v>
      </c>
      <c r="D33" s="22">
        <v>421351000</v>
      </c>
      <c r="E33" s="22">
        <f>D33-C33</f>
        <v>21252000</v>
      </c>
      <c r="F33" s="306">
        <f>IF(C33=0,0,E33/C33)</f>
        <v>5.3116853578739263E-2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2900150000</v>
      </c>
      <c r="D36" s="22">
        <v>2940033000</v>
      </c>
      <c r="E36" s="22">
        <f>D36-C36</f>
        <v>39883000</v>
      </c>
      <c r="F36" s="306">
        <f>IF(C36=0,0,E36/C36)</f>
        <v>1.3752047307897867E-2</v>
      </c>
    </row>
    <row r="37" spans="1:8" ht="24" customHeight="1" x14ac:dyDescent="0.2">
      <c r="A37" s="304">
        <v>2</v>
      </c>
      <c r="B37" s="305" t="s">
        <v>39</v>
      </c>
      <c r="C37" s="22">
        <v>1444576000</v>
      </c>
      <c r="D37" s="22">
        <v>1551286000</v>
      </c>
      <c r="E37" s="22">
        <f>D37-C37</f>
        <v>106710000</v>
      </c>
      <c r="F37" s="22">
        <f>IF(C37=0,0,E37/C37)</f>
        <v>7.386942604612011E-2</v>
      </c>
    </row>
    <row r="38" spans="1:8" ht="24" customHeight="1" x14ac:dyDescent="0.25">
      <c r="A38" s="307"/>
      <c r="B38" s="308" t="s">
        <v>40</v>
      </c>
      <c r="C38" s="309">
        <f>C36-C37</f>
        <v>1455574000</v>
      </c>
      <c r="D38" s="309">
        <f>D36-D37</f>
        <v>1388747000</v>
      </c>
      <c r="E38" s="309">
        <f>D38-C38</f>
        <v>-66827000</v>
      </c>
      <c r="F38" s="310">
        <f>IF(C38=0,0,E38/C38)</f>
        <v>-4.5911097615098921E-2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66043000</v>
      </c>
      <c r="D40" s="22">
        <v>157101000</v>
      </c>
      <c r="E40" s="22">
        <f>D40-C40</f>
        <v>91058000</v>
      </c>
      <c r="F40" s="306">
        <f>IF(C40=0,0,E40/C40)</f>
        <v>1.3787683781778539</v>
      </c>
    </row>
    <row r="41" spans="1:8" ht="24" customHeight="1" x14ac:dyDescent="0.25">
      <c r="A41" s="307"/>
      <c r="B41" s="308" t="s">
        <v>42</v>
      </c>
      <c r="C41" s="309">
        <f>+C38+C40</f>
        <v>1521617000</v>
      </c>
      <c r="D41" s="309">
        <f>+D38+D40</f>
        <v>1545848000</v>
      </c>
      <c r="E41" s="309">
        <f>D41-C41</f>
        <v>24231000</v>
      </c>
      <c r="F41" s="310">
        <f>IF(C41=0,0,E41/C41)</f>
        <v>1.5924506626831852E-2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4233177000</v>
      </c>
      <c r="D43" s="309">
        <f>D22+D29+D31+D32+D33+D41</f>
        <v>4484803000</v>
      </c>
      <c r="E43" s="309">
        <f>D43-C43</f>
        <v>251626000</v>
      </c>
      <c r="F43" s="310">
        <f>IF(C43=0,0,E43/C43)</f>
        <v>5.9441407718127545E-2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354226000</v>
      </c>
      <c r="D49" s="22">
        <v>377319000</v>
      </c>
      <c r="E49" s="22">
        <f t="shared" ref="E49:E56" si="2">D49-C49</f>
        <v>23093000</v>
      </c>
      <c r="F49" s="306">
        <f t="shared" ref="F49:F56" si="3">IF(C49=0,0,E49/C49)</f>
        <v>6.5192842987245425E-2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115172000</v>
      </c>
      <c r="D50" s="22">
        <v>122564000</v>
      </c>
      <c r="E50" s="22">
        <f t="shared" si="2"/>
        <v>7392000</v>
      </c>
      <c r="F50" s="306">
        <f t="shared" si="3"/>
        <v>6.4182266523113263E-2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0</v>
      </c>
      <c r="D51" s="22">
        <v>0</v>
      </c>
      <c r="E51" s="22">
        <f t="shared" si="2"/>
        <v>0</v>
      </c>
      <c r="F51" s="306">
        <f t="shared" si="3"/>
        <v>0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57727000</v>
      </c>
      <c r="D53" s="22">
        <v>51101000</v>
      </c>
      <c r="E53" s="22">
        <f t="shared" si="2"/>
        <v>-6626000</v>
      </c>
      <c r="F53" s="306">
        <f t="shared" si="3"/>
        <v>-0.11478164463769121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40432000</v>
      </c>
      <c r="D55" s="22">
        <v>92866000</v>
      </c>
      <c r="E55" s="22">
        <f t="shared" si="2"/>
        <v>52434000</v>
      </c>
      <c r="F55" s="306">
        <f t="shared" si="3"/>
        <v>1.2968440838939455</v>
      </c>
    </row>
    <row r="56" spans="1:6" ht="24" customHeight="1" x14ac:dyDescent="0.25">
      <c r="A56" s="307"/>
      <c r="B56" s="308" t="s">
        <v>54</v>
      </c>
      <c r="C56" s="309">
        <f>SUM(C49:C55)</f>
        <v>567557000</v>
      </c>
      <c r="D56" s="309">
        <f>SUM(D49:D55)</f>
        <v>643850000</v>
      </c>
      <c r="E56" s="309">
        <f t="shared" si="2"/>
        <v>76293000</v>
      </c>
      <c r="F56" s="310">
        <f t="shared" si="3"/>
        <v>0.13442350283760046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902400000</v>
      </c>
      <c r="D59" s="22">
        <v>906150000</v>
      </c>
      <c r="E59" s="22">
        <f>D59-C59</f>
        <v>3750000</v>
      </c>
      <c r="F59" s="306">
        <f>IF(C59=0,0,E59/C59)</f>
        <v>4.1555851063829786E-3</v>
      </c>
    </row>
    <row r="60" spans="1:6" ht="24" customHeight="1" x14ac:dyDescent="0.2">
      <c r="A60" s="304">
        <v>2</v>
      </c>
      <c r="B60" s="305" t="s">
        <v>57</v>
      </c>
      <c r="C60" s="22">
        <v>85709000</v>
      </c>
      <c r="D60" s="22">
        <v>107159000</v>
      </c>
      <c r="E60" s="22">
        <f>D60-C60</f>
        <v>21450000</v>
      </c>
      <c r="F60" s="306">
        <f>IF(C60=0,0,E60/C60)</f>
        <v>0.25026543303503718</v>
      </c>
    </row>
    <row r="61" spans="1:6" ht="24" customHeight="1" x14ac:dyDescent="0.25">
      <c r="A61" s="307"/>
      <c r="B61" s="308" t="s">
        <v>58</v>
      </c>
      <c r="C61" s="309">
        <f>SUM(C59:C60)</f>
        <v>988109000</v>
      </c>
      <c r="D61" s="309">
        <f>SUM(D59:D60)</f>
        <v>1013309000</v>
      </c>
      <c r="E61" s="309">
        <f>D61-C61</f>
        <v>25200000</v>
      </c>
      <c r="F61" s="310">
        <f>IF(C61=0,0,E61/C61)</f>
        <v>2.5503259255810845E-2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321442000</v>
      </c>
      <c r="D63" s="22">
        <v>339901000</v>
      </c>
      <c r="E63" s="22">
        <f>D63-C63</f>
        <v>18459000</v>
      </c>
      <c r="F63" s="306">
        <f>IF(C63=0,0,E63/C63)</f>
        <v>5.7425600886007427E-2</v>
      </c>
    </row>
    <row r="64" spans="1:6" ht="24" customHeight="1" x14ac:dyDescent="0.2">
      <c r="A64" s="304">
        <v>4</v>
      </c>
      <c r="B64" s="305" t="s">
        <v>60</v>
      </c>
      <c r="C64" s="22">
        <v>489445000</v>
      </c>
      <c r="D64" s="22">
        <v>495824000</v>
      </c>
      <c r="E64" s="22">
        <f>D64-C64</f>
        <v>6379000</v>
      </c>
      <c r="F64" s="306">
        <f>IF(C64=0,0,E64/C64)</f>
        <v>1.3033129360806629E-2</v>
      </c>
    </row>
    <row r="65" spans="1:6" ht="24" customHeight="1" x14ac:dyDescent="0.25">
      <c r="A65" s="307"/>
      <c r="B65" s="308" t="s">
        <v>61</v>
      </c>
      <c r="C65" s="309">
        <f>SUM(C61:C64)</f>
        <v>1798996000</v>
      </c>
      <c r="D65" s="309">
        <f>SUM(D61:D64)</f>
        <v>1849034000</v>
      </c>
      <c r="E65" s="309">
        <f>D65-C65</f>
        <v>50038000</v>
      </c>
      <c r="F65" s="310">
        <f>IF(C65=0,0,E65/C65)</f>
        <v>2.7814403144865246E-2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1644056000</v>
      </c>
      <c r="D70" s="22">
        <v>1750995000</v>
      </c>
      <c r="E70" s="22">
        <f>D70-C70</f>
        <v>106939000</v>
      </c>
      <c r="F70" s="306">
        <f>IF(C70=0,0,E70/C70)</f>
        <v>6.504583785467162E-2</v>
      </c>
    </row>
    <row r="71" spans="1:6" ht="24" customHeight="1" x14ac:dyDescent="0.2">
      <c r="A71" s="304">
        <v>2</v>
      </c>
      <c r="B71" s="305" t="s">
        <v>65</v>
      </c>
      <c r="C71" s="22">
        <v>141712000</v>
      </c>
      <c r="D71" s="22">
        <v>147568000</v>
      </c>
      <c r="E71" s="22">
        <f>D71-C71</f>
        <v>5856000</v>
      </c>
      <c r="F71" s="306">
        <f>IF(C71=0,0,E71/C71)</f>
        <v>4.132324714914757E-2</v>
      </c>
    </row>
    <row r="72" spans="1:6" ht="24" customHeight="1" x14ac:dyDescent="0.2">
      <c r="A72" s="304">
        <v>3</v>
      </c>
      <c r="B72" s="305" t="s">
        <v>66</v>
      </c>
      <c r="C72" s="22">
        <v>80856000</v>
      </c>
      <c r="D72" s="22">
        <v>93356000</v>
      </c>
      <c r="E72" s="22">
        <f>D72-C72</f>
        <v>12500000</v>
      </c>
      <c r="F72" s="306">
        <f>IF(C72=0,0,E72/C72)</f>
        <v>0.15459582467596716</v>
      </c>
    </row>
    <row r="73" spans="1:6" ht="24" customHeight="1" x14ac:dyDescent="0.25">
      <c r="A73" s="304"/>
      <c r="B73" s="308" t="s">
        <v>67</v>
      </c>
      <c r="C73" s="309">
        <f>SUM(C70:C72)</f>
        <v>1866624000</v>
      </c>
      <c r="D73" s="309">
        <f>SUM(D70:D72)</f>
        <v>1991919000</v>
      </c>
      <c r="E73" s="309">
        <f>D73-C73</f>
        <v>125295000</v>
      </c>
      <c r="F73" s="310">
        <f>IF(C73=0,0,E73/C73)</f>
        <v>6.7123855688130007E-2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4233177000</v>
      </c>
      <c r="D75" s="309">
        <f>D56+D65+D67+D73</f>
        <v>4484803000</v>
      </c>
      <c r="E75" s="309">
        <f>D75-C75</f>
        <v>251626000</v>
      </c>
      <c r="F75" s="310">
        <f>IF(C75=0,0,E75/C75)</f>
        <v>5.9441407718127545E-2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FILING&amp;RYALE NEW HAVEN HEALTH SERVICES CORPORATION, INC. (YNHHSC)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11767478000</v>
      </c>
      <c r="D11" s="76">
        <v>12297458000</v>
      </c>
      <c r="E11" s="76">
        <f t="shared" ref="E11:E20" si="0">D11-C11</f>
        <v>529980000</v>
      </c>
      <c r="F11" s="77">
        <f t="shared" ref="F11:F20" si="1">IF(C11=0,0,E11/C11)</f>
        <v>4.5037687769630845E-2</v>
      </c>
    </row>
    <row r="12" spans="1:7" ht="23.1" customHeight="1" x14ac:dyDescent="0.2">
      <c r="A12" s="74">
        <v>2</v>
      </c>
      <c r="B12" s="75" t="s">
        <v>72</v>
      </c>
      <c r="C12" s="76">
        <v>8106128000</v>
      </c>
      <c r="D12" s="76">
        <v>8479889000</v>
      </c>
      <c r="E12" s="76">
        <f t="shared" si="0"/>
        <v>373761000</v>
      </c>
      <c r="F12" s="77">
        <f t="shared" si="1"/>
        <v>4.6108450298342193E-2</v>
      </c>
    </row>
    <row r="13" spans="1:7" ht="23.1" customHeight="1" x14ac:dyDescent="0.2">
      <c r="A13" s="74">
        <v>3</v>
      </c>
      <c r="B13" s="75" t="s">
        <v>73</v>
      </c>
      <c r="C13" s="76">
        <v>200412000</v>
      </c>
      <c r="D13" s="76">
        <v>184456000</v>
      </c>
      <c r="E13" s="76">
        <f t="shared" si="0"/>
        <v>-15956000</v>
      </c>
      <c r="F13" s="77">
        <f t="shared" si="1"/>
        <v>-7.9615991058419655E-2</v>
      </c>
    </row>
    <row r="14" spans="1:7" ht="23.1" customHeight="1" x14ac:dyDescent="0.2">
      <c r="A14" s="74">
        <v>4</v>
      </c>
      <c r="B14" s="75" t="s">
        <v>74</v>
      </c>
      <c r="C14" s="76">
        <v>49503000</v>
      </c>
      <c r="D14" s="76">
        <v>58900000</v>
      </c>
      <c r="E14" s="76">
        <f t="shared" si="0"/>
        <v>9397000</v>
      </c>
      <c r="F14" s="77">
        <f t="shared" si="1"/>
        <v>0.18982687917903965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3411435000</v>
      </c>
      <c r="D15" s="79">
        <f>D11-D12-D13-D14</f>
        <v>3574213000</v>
      </c>
      <c r="E15" s="79">
        <f t="shared" si="0"/>
        <v>162778000</v>
      </c>
      <c r="F15" s="80">
        <f t="shared" si="1"/>
        <v>4.7715404221390707E-2</v>
      </c>
    </row>
    <row r="16" spans="1:7" ht="23.1" customHeight="1" x14ac:dyDescent="0.2">
      <c r="A16" s="74">
        <v>5</v>
      </c>
      <c r="B16" s="75" t="s">
        <v>76</v>
      </c>
      <c r="C16" s="76">
        <v>123743000</v>
      </c>
      <c r="D16" s="76">
        <v>81528000</v>
      </c>
      <c r="E16" s="76">
        <f t="shared" si="0"/>
        <v>-42215000</v>
      </c>
      <c r="F16" s="77">
        <f t="shared" si="1"/>
        <v>-0.34115061053958606</v>
      </c>
      <c r="G16" s="65"/>
    </row>
    <row r="17" spans="1:7" ht="31.5" customHeight="1" x14ac:dyDescent="0.25">
      <c r="A17" s="71"/>
      <c r="B17" s="81" t="s">
        <v>77</v>
      </c>
      <c r="C17" s="79">
        <f>C15-C16</f>
        <v>3287692000</v>
      </c>
      <c r="D17" s="79">
        <f>D15-D16</f>
        <v>3492685000</v>
      </c>
      <c r="E17" s="79">
        <f t="shared" si="0"/>
        <v>204993000</v>
      </c>
      <c r="F17" s="80">
        <f t="shared" si="1"/>
        <v>6.2351643645450976E-2</v>
      </c>
    </row>
    <row r="18" spans="1:7" ht="23.1" customHeight="1" x14ac:dyDescent="0.2">
      <c r="A18" s="74">
        <v>6</v>
      </c>
      <c r="B18" s="75" t="s">
        <v>78</v>
      </c>
      <c r="C18" s="76">
        <v>103175000</v>
      </c>
      <c r="D18" s="76">
        <v>104061000</v>
      </c>
      <c r="E18" s="76">
        <f t="shared" si="0"/>
        <v>886000</v>
      </c>
      <c r="F18" s="77">
        <f t="shared" si="1"/>
        <v>8.5873515871092796E-3</v>
      </c>
      <c r="G18" s="65"/>
    </row>
    <row r="19" spans="1:7" ht="33" customHeight="1" x14ac:dyDescent="0.2">
      <c r="A19" s="74">
        <v>7</v>
      </c>
      <c r="B19" s="82" t="s">
        <v>79</v>
      </c>
      <c r="C19" s="76">
        <v>3819000</v>
      </c>
      <c r="D19" s="76">
        <v>5534000</v>
      </c>
      <c r="E19" s="76">
        <f t="shared" si="0"/>
        <v>1715000</v>
      </c>
      <c r="F19" s="77">
        <f t="shared" si="1"/>
        <v>0.44907043728724799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3394686000</v>
      </c>
      <c r="D20" s="79">
        <f>SUM(D17:D19)</f>
        <v>3602280000</v>
      </c>
      <c r="E20" s="79">
        <f t="shared" si="0"/>
        <v>207594000</v>
      </c>
      <c r="F20" s="80">
        <f t="shared" si="1"/>
        <v>6.115263679763018E-2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1318391000</v>
      </c>
      <c r="D23" s="76">
        <v>1390520000</v>
      </c>
      <c r="E23" s="76">
        <f t="shared" ref="E23:E32" si="2">D23-C23</f>
        <v>72129000</v>
      </c>
      <c r="F23" s="77">
        <f t="shared" ref="F23:F32" si="3">IF(C23=0,0,E23/C23)</f>
        <v>5.4709869833759486E-2</v>
      </c>
    </row>
    <row r="24" spans="1:7" ht="23.1" customHeight="1" x14ac:dyDescent="0.2">
      <c r="A24" s="74">
        <v>2</v>
      </c>
      <c r="B24" s="75" t="s">
        <v>83</v>
      </c>
      <c r="C24" s="76">
        <v>425746000</v>
      </c>
      <c r="D24" s="76">
        <v>467952000</v>
      </c>
      <c r="E24" s="76">
        <f t="shared" si="2"/>
        <v>42206000</v>
      </c>
      <c r="F24" s="77">
        <f t="shared" si="3"/>
        <v>9.9134225571115175E-2</v>
      </c>
    </row>
    <row r="25" spans="1:7" ht="23.1" customHeight="1" x14ac:dyDescent="0.2">
      <c r="A25" s="74">
        <v>3</v>
      </c>
      <c r="B25" s="75" t="s">
        <v>84</v>
      </c>
      <c r="C25" s="76">
        <v>121415000</v>
      </c>
      <c r="D25" s="76">
        <v>127505000</v>
      </c>
      <c r="E25" s="76">
        <f t="shared" si="2"/>
        <v>6090000</v>
      </c>
      <c r="F25" s="77">
        <f t="shared" si="3"/>
        <v>5.015854713173825E-2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493932000</v>
      </c>
      <c r="D26" s="76">
        <v>572515000</v>
      </c>
      <c r="E26" s="76">
        <f t="shared" si="2"/>
        <v>78583000</v>
      </c>
      <c r="F26" s="77">
        <f t="shared" si="3"/>
        <v>0.15909679874962546</v>
      </c>
    </row>
    <row r="27" spans="1:7" ht="23.1" customHeight="1" x14ac:dyDescent="0.2">
      <c r="A27" s="74">
        <v>5</v>
      </c>
      <c r="B27" s="75" t="s">
        <v>86</v>
      </c>
      <c r="C27" s="76">
        <v>192072000</v>
      </c>
      <c r="D27" s="76">
        <v>185944000</v>
      </c>
      <c r="E27" s="76">
        <f t="shared" si="2"/>
        <v>-6128000</v>
      </c>
      <c r="F27" s="77">
        <f t="shared" si="3"/>
        <v>-3.1904702403265442E-2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26917000</v>
      </c>
      <c r="D29" s="76">
        <v>24188000</v>
      </c>
      <c r="E29" s="76">
        <f t="shared" si="2"/>
        <v>-2729000</v>
      </c>
      <c r="F29" s="77">
        <f t="shared" si="3"/>
        <v>-0.10138574135304826</v>
      </c>
    </row>
    <row r="30" spans="1:7" ht="23.1" customHeight="1" x14ac:dyDescent="0.2">
      <c r="A30" s="74">
        <v>8</v>
      </c>
      <c r="B30" s="75" t="s">
        <v>89</v>
      </c>
      <c r="C30" s="76">
        <v>58999000</v>
      </c>
      <c r="D30" s="76">
        <v>64096000</v>
      </c>
      <c r="E30" s="76">
        <f t="shared" si="2"/>
        <v>5097000</v>
      </c>
      <c r="F30" s="77">
        <f t="shared" si="3"/>
        <v>8.6391294767707932E-2</v>
      </c>
    </row>
    <row r="31" spans="1:7" ht="23.1" customHeight="1" x14ac:dyDescent="0.2">
      <c r="A31" s="74">
        <v>9</v>
      </c>
      <c r="B31" s="75" t="s">
        <v>90</v>
      </c>
      <c r="C31" s="76">
        <v>587102000</v>
      </c>
      <c r="D31" s="76">
        <v>609904000</v>
      </c>
      <c r="E31" s="76">
        <f t="shared" si="2"/>
        <v>22802000</v>
      </c>
      <c r="F31" s="77">
        <f t="shared" si="3"/>
        <v>3.8838225725683101E-2</v>
      </c>
    </row>
    <row r="32" spans="1:7" ht="23.1" customHeight="1" x14ac:dyDescent="0.25">
      <c r="A32" s="71"/>
      <c r="B32" s="78" t="s">
        <v>91</v>
      </c>
      <c r="C32" s="79">
        <f>SUM(C23:C31)</f>
        <v>3224574000</v>
      </c>
      <c r="D32" s="79">
        <f>SUM(D23:D31)</f>
        <v>3442624000</v>
      </c>
      <c r="E32" s="79">
        <f t="shared" si="2"/>
        <v>218050000</v>
      </c>
      <c r="F32" s="80">
        <f t="shared" si="3"/>
        <v>6.7621335407405753E-2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170112000</v>
      </c>
      <c r="D34" s="79">
        <f>+D20-D32</f>
        <v>159656000</v>
      </c>
      <c r="E34" s="79">
        <f>D34-C34</f>
        <v>-10456000</v>
      </c>
      <c r="F34" s="80">
        <f>IF(C34=0,0,E34/C34)</f>
        <v>-6.146538750940557E-2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3103000</v>
      </c>
      <c r="D37" s="76">
        <v>5099000</v>
      </c>
      <c r="E37" s="76">
        <f>D37-C37</f>
        <v>1996000</v>
      </c>
      <c r="F37" s="77">
        <f>IF(C37=0,0,E37/C37)</f>
        <v>0.64324846922333223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-23196000</v>
      </c>
      <c r="D39" s="76">
        <v>-35200000</v>
      </c>
      <c r="E39" s="76">
        <f>D39-C39</f>
        <v>-12004000</v>
      </c>
      <c r="F39" s="77">
        <f>IF(C39=0,0,E39/C39)</f>
        <v>0.51750301776168306</v>
      </c>
    </row>
    <row r="40" spans="1:6" ht="23.1" customHeight="1" x14ac:dyDescent="0.25">
      <c r="A40" s="83"/>
      <c r="B40" s="78" t="s">
        <v>97</v>
      </c>
      <c r="C40" s="79">
        <f>SUM(C37:C39)</f>
        <v>-20093000</v>
      </c>
      <c r="D40" s="79">
        <f>SUM(D37:D39)</f>
        <v>-30101000</v>
      </c>
      <c r="E40" s="79">
        <f>D40-C40</f>
        <v>-10008000</v>
      </c>
      <c r="F40" s="80">
        <f>IF(C40=0,0,E40/C40)</f>
        <v>0.49808390981934009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150019000</v>
      </c>
      <c r="D42" s="79">
        <f>D34+D40</f>
        <v>129555000</v>
      </c>
      <c r="E42" s="79">
        <f>D42-C42</f>
        <v>-20464000</v>
      </c>
      <c r="F42" s="80">
        <f>IF(C42=0,0,E42/C42)</f>
        <v>-0.13640938814416839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86913000</v>
      </c>
      <c r="D45" s="76">
        <v>14536000</v>
      </c>
      <c r="E45" s="76">
        <f>D45-C45</f>
        <v>-72377000</v>
      </c>
      <c r="F45" s="77">
        <f>IF(C45=0,0,E45/C45)</f>
        <v>-0.83275229252240746</v>
      </c>
    </row>
    <row r="46" spans="1:6" ht="23.1" customHeight="1" x14ac:dyDescent="0.2">
      <c r="A46" s="85"/>
      <c r="B46" s="75" t="s">
        <v>101</v>
      </c>
      <c r="C46" s="76">
        <v>-32631000</v>
      </c>
      <c r="D46" s="76">
        <v>0</v>
      </c>
      <c r="E46" s="76">
        <f>D46-C46</f>
        <v>32631000</v>
      </c>
      <c r="F46" s="77">
        <f>IF(C46=0,0,E46/C46)</f>
        <v>-1</v>
      </c>
    </row>
    <row r="47" spans="1:6" ht="23.1" customHeight="1" x14ac:dyDescent="0.25">
      <c r="A47" s="83"/>
      <c r="B47" s="78" t="s">
        <v>102</v>
      </c>
      <c r="C47" s="79">
        <f>SUM(C45:C46)</f>
        <v>54282000</v>
      </c>
      <c r="D47" s="79">
        <f>SUM(D45:D46)</f>
        <v>14536000</v>
      </c>
      <c r="E47" s="79">
        <f>D47-C47</f>
        <v>-39746000</v>
      </c>
      <c r="F47" s="80">
        <f>IF(C47=0,0,E47/C47)</f>
        <v>-0.73221325669651083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204301000</v>
      </c>
      <c r="D49" s="79">
        <f>D42+D47</f>
        <v>144091000</v>
      </c>
      <c r="E49" s="79">
        <f>D49-C49</f>
        <v>-60210000</v>
      </c>
      <c r="F49" s="80">
        <f>IF(C49=0,0,E49/C49)</f>
        <v>-0.29471221384134194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FILING&amp;R&amp;8YALE NEW HAVEN HEALTH SERVICES CORPORATION, INC. (YNHHSC)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2016-07-19T19:18:54Z</cp:lastPrinted>
  <dcterms:created xsi:type="dcterms:W3CDTF">2016-07-19T18:31:20Z</dcterms:created>
  <dcterms:modified xsi:type="dcterms:W3CDTF">2016-07-19T19:19:01Z</dcterms:modified>
</cp:coreProperties>
</file>