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4" i="22"/>
  <c r="C12" i="22"/>
  <c r="C33" i="22"/>
  <c r="D21" i="21"/>
  <c r="E21" i="21"/>
  <c r="F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15" i="19"/>
  <c r="C105" i="19"/>
  <c r="C137" i="19"/>
  <c r="C139" i="19"/>
  <c r="C143" i="19"/>
  <c r="C96" i="19"/>
  <c r="C95" i="19"/>
  <c r="C89" i="19"/>
  <c r="C88" i="19"/>
  <c r="C83" i="19"/>
  <c r="C78" i="19"/>
  <c r="C77" i="19"/>
  <c r="C63" i="19"/>
  <c r="C59" i="19"/>
  <c r="C60" i="19"/>
  <c r="C48" i="19"/>
  <c r="C64" i="19"/>
  <c r="C37" i="19"/>
  <c r="C36" i="19"/>
  <c r="C38" i="19"/>
  <c r="C127" i="19"/>
  <c r="C129" i="19"/>
  <c r="C133" i="19"/>
  <c r="C33" i="19"/>
  <c r="C32" i="19"/>
  <c r="C22" i="19"/>
  <c r="C21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C216" i="18"/>
  <c r="D215" i="18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E179" i="18"/>
  <c r="C179" i="18"/>
  <c r="D178" i="18"/>
  <c r="C178" i="18"/>
  <c r="E178" i="18"/>
  <c r="D177" i="18"/>
  <c r="E177" i="18"/>
  <c r="C177" i="18"/>
  <c r="D176" i="18"/>
  <c r="C176" i="18"/>
  <c r="E176" i="18"/>
  <c r="D174" i="18"/>
  <c r="C174" i="18"/>
  <c r="E174" i="18"/>
  <c r="D173" i="18"/>
  <c r="E173" i="18"/>
  <c r="C173" i="18"/>
  <c r="D167" i="18"/>
  <c r="C167" i="18"/>
  <c r="E167" i="18"/>
  <c r="D166" i="18"/>
  <c r="E166" i="18"/>
  <c r="C166" i="18"/>
  <c r="D165" i="18"/>
  <c r="C165" i="18"/>
  <c r="E165" i="18"/>
  <c r="D164" i="18"/>
  <c r="E164" i="18"/>
  <c r="C164" i="18"/>
  <c r="D162" i="18"/>
  <c r="E162" i="18"/>
  <c r="C162" i="18"/>
  <c r="D161" i="18"/>
  <c r="C161" i="18"/>
  <c r="E161" i="18"/>
  <c r="C156" i="18"/>
  <c r="C157" i="18"/>
  <c r="E155" i="18"/>
  <c r="E154" i="18"/>
  <c r="E153" i="18"/>
  <c r="E152" i="18"/>
  <c r="D151" i="18"/>
  <c r="D156" i="18"/>
  <c r="C151" i="18"/>
  <c r="E150" i="18"/>
  <c r="E149" i="18"/>
  <c r="D144" i="18"/>
  <c r="D168" i="18"/>
  <c r="E143" i="18"/>
  <c r="E142" i="18"/>
  <c r="E141" i="18"/>
  <c r="E140" i="18"/>
  <c r="D139" i="18"/>
  <c r="D175" i="18"/>
  <c r="C139" i="18"/>
  <c r="C163" i="18"/>
  <c r="E138" i="18"/>
  <c r="E137" i="18"/>
  <c r="D7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D70" i="18"/>
  <c r="D76" i="18"/>
  <c r="C70" i="18"/>
  <c r="D69" i="18"/>
  <c r="E69" i="18"/>
  <c r="C69" i="18"/>
  <c r="D65" i="18"/>
  <c r="E64" i="18"/>
  <c r="E63" i="18"/>
  <c r="E62" i="18"/>
  <c r="E61" i="18"/>
  <c r="D60" i="18"/>
  <c r="D289" i="18"/>
  <c r="C60" i="18"/>
  <c r="E59" i="18"/>
  <c r="E58" i="18"/>
  <c r="D55" i="18"/>
  <c r="D54" i="18"/>
  <c r="C54" i="18"/>
  <c r="C55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D36" i="18"/>
  <c r="D44" i="18"/>
  <c r="C36" i="18"/>
  <c r="C44" i="18"/>
  <c r="D33" i="18"/>
  <c r="D32" i="18"/>
  <c r="D294" i="18"/>
  <c r="C32" i="18"/>
  <c r="C33" i="18"/>
  <c r="E31" i="18"/>
  <c r="E30" i="18"/>
  <c r="E29" i="18"/>
  <c r="E28" i="18"/>
  <c r="E27" i="18"/>
  <c r="E26" i="18"/>
  <c r="E25" i="18"/>
  <c r="C22" i="18"/>
  <c r="C284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F249" i="17"/>
  <c r="E249" i="17"/>
  <c r="F248" i="17"/>
  <c r="E248" i="17"/>
  <c r="F245" i="17"/>
  <c r="E245" i="17"/>
  <c r="F244" i="17"/>
  <c r="E244" i="17"/>
  <c r="F243" i="17"/>
  <c r="E243" i="17"/>
  <c r="D238" i="17"/>
  <c r="E238" i="17"/>
  <c r="F238" i="17"/>
  <c r="C238" i="17"/>
  <c r="D237" i="17"/>
  <c r="D239" i="17"/>
  <c r="C237" i="17"/>
  <c r="C239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E228" i="17"/>
  <c r="F228" i="17"/>
  <c r="D226" i="17"/>
  <c r="D227" i="17"/>
  <c r="C226" i="17"/>
  <c r="C227" i="17"/>
  <c r="E225" i="17"/>
  <c r="F225" i="17"/>
  <c r="E224" i="17"/>
  <c r="F224" i="17"/>
  <c r="D223" i="17"/>
  <c r="E223" i="17"/>
  <c r="F223" i="17"/>
  <c r="C223" i="17"/>
  <c r="E222" i="17"/>
  <c r="F222" i="17"/>
  <c r="E221" i="17"/>
  <c r="F221" i="17"/>
  <c r="D204" i="17"/>
  <c r="E204" i="17"/>
  <c r="F204" i="17"/>
  <c r="C204" i="17"/>
  <c r="C285" i="17"/>
  <c r="D203" i="17"/>
  <c r="E203" i="17"/>
  <c r="F203" i="17"/>
  <c r="C203" i="17"/>
  <c r="C283" i="17"/>
  <c r="D198" i="17"/>
  <c r="E198" i="17"/>
  <c r="F198" i="17"/>
  <c r="C198" i="17"/>
  <c r="C290" i="17"/>
  <c r="D191" i="17"/>
  <c r="D280" i="17"/>
  <c r="C191" i="17"/>
  <c r="C280" i="17"/>
  <c r="D189" i="17"/>
  <c r="D278" i="17"/>
  <c r="C189" i="17"/>
  <c r="C278" i="17"/>
  <c r="D188" i="17"/>
  <c r="C188" i="17"/>
  <c r="C277" i="17"/>
  <c r="D180" i="17"/>
  <c r="E180" i="17"/>
  <c r="F180" i="17"/>
  <c r="C180" i="17"/>
  <c r="D179" i="17"/>
  <c r="E179" i="17"/>
  <c r="F179" i="17"/>
  <c r="C179" i="17"/>
  <c r="C181" i="17"/>
  <c r="D171" i="17"/>
  <c r="E171" i="17"/>
  <c r="F171" i="17"/>
  <c r="C171" i="17"/>
  <c r="C172" i="17"/>
  <c r="C173" i="17"/>
  <c r="D170" i="17"/>
  <c r="E170" i="17"/>
  <c r="F170" i="17"/>
  <c r="C170" i="17"/>
  <c r="E169" i="17"/>
  <c r="F169" i="17"/>
  <c r="E168" i="17"/>
  <c r="F168" i="17"/>
  <c r="D165" i="17"/>
  <c r="E165" i="17"/>
  <c r="F165" i="17"/>
  <c r="C165" i="17"/>
  <c r="D164" i="17"/>
  <c r="E164" i="17"/>
  <c r="F164" i="17"/>
  <c r="C164" i="17"/>
  <c r="E163" i="17"/>
  <c r="F163" i="17"/>
  <c r="D158" i="17"/>
  <c r="E158" i="17"/>
  <c r="F158" i="17"/>
  <c r="C158" i="17"/>
  <c r="C159" i="17"/>
  <c r="E157" i="17"/>
  <c r="F157" i="17"/>
  <c r="E156" i="17"/>
  <c r="F156" i="17"/>
  <c r="D155" i="17"/>
  <c r="E155" i="17"/>
  <c r="F155" i="17"/>
  <c r="C155" i="17"/>
  <c r="E154" i="17"/>
  <c r="F154" i="17"/>
  <c r="E153" i="17"/>
  <c r="F153" i="17"/>
  <c r="D145" i="17"/>
  <c r="C145" i="17"/>
  <c r="D144" i="17"/>
  <c r="D146" i="17"/>
  <c r="C144" i="17"/>
  <c r="C146" i="17"/>
  <c r="D136" i="17"/>
  <c r="D137" i="17"/>
  <c r="C136" i="17"/>
  <c r="C137" i="17"/>
  <c r="D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C123" i="17"/>
  <c r="E122" i="17"/>
  <c r="F122" i="17"/>
  <c r="E121" i="17"/>
  <c r="F121" i="17"/>
  <c r="D120" i="17"/>
  <c r="C120" i="17"/>
  <c r="E119" i="17"/>
  <c r="F119" i="17"/>
  <c r="E118" i="17"/>
  <c r="F118" i="17"/>
  <c r="D110" i="17"/>
  <c r="C110" i="17"/>
  <c r="D109" i="17"/>
  <c r="D111" i="17"/>
  <c r="E111" i="17"/>
  <c r="C109" i="17"/>
  <c r="C111" i="17"/>
  <c r="D101" i="17"/>
  <c r="D102" i="17"/>
  <c r="C101" i="17"/>
  <c r="C102" i="17"/>
  <c r="D100" i="17"/>
  <c r="C100" i="17"/>
  <c r="E99" i="17"/>
  <c r="F99" i="17"/>
  <c r="E98" i="17"/>
  <c r="F98" i="17"/>
  <c r="D95" i="17"/>
  <c r="C95" i="17"/>
  <c r="D94" i="17"/>
  <c r="C94" i="17"/>
  <c r="E93" i="17"/>
  <c r="F93" i="17"/>
  <c r="D88" i="17"/>
  <c r="D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C66" i="17"/>
  <c r="C68" i="17"/>
  <c r="D59" i="17"/>
  <c r="D60" i="17"/>
  <c r="C59" i="17"/>
  <c r="C60" i="17"/>
  <c r="D58" i="17"/>
  <c r="E58" i="17"/>
  <c r="F58" i="17"/>
  <c r="C58" i="17"/>
  <c r="E57" i="17"/>
  <c r="F57" i="17"/>
  <c r="E56" i="17"/>
  <c r="F56" i="17"/>
  <c r="D53" i="17"/>
  <c r="E53" i="17"/>
  <c r="F53" i="17"/>
  <c r="C53" i="17"/>
  <c r="D52" i="17"/>
  <c r="E52" i="17"/>
  <c r="F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E44" i="17"/>
  <c r="F44" i="17"/>
  <c r="C44" i="17"/>
  <c r="E43" i="17"/>
  <c r="F43" i="17"/>
  <c r="E42" i="17"/>
  <c r="F42" i="17"/>
  <c r="D36" i="17"/>
  <c r="E36" i="17"/>
  <c r="F36" i="17"/>
  <c r="C36" i="17"/>
  <c r="D35" i="17"/>
  <c r="D37" i="17"/>
  <c r="C35" i="17"/>
  <c r="D30" i="17"/>
  <c r="D31" i="17"/>
  <c r="C30" i="17"/>
  <c r="C31" i="17"/>
  <c r="D29" i="17"/>
  <c r="E29" i="17"/>
  <c r="F29" i="17"/>
  <c r="C29" i="17"/>
  <c r="E28" i="17"/>
  <c r="F28" i="17"/>
  <c r="E27" i="17"/>
  <c r="F27" i="17"/>
  <c r="D24" i="17"/>
  <c r="E24" i="17"/>
  <c r="F24" i="17"/>
  <c r="C24" i="17"/>
  <c r="D23" i="17"/>
  <c r="E23" i="17"/>
  <c r="F23" i="17"/>
  <c r="C23" i="17"/>
  <c r="E22" i="17"/>
  <c r="F22" i="17"/>
  <c r="D20" i="17"/>
  <c r="E20" i="17"/>
  <c r="F20" i="17"/>
  <c r="C20" i="17"/>
  <c r="E19" i="17"/>
  <c r="F19" i="17"/>
  <c r="E18" i="17"/>
  <c r="F18" i="17"/>
  <c r="D17" i="17"/>
  <c r="E17" i="17"/>
  <c r="F17" i="17"/>
  <c r="C17" i="17"/>
  <c r="E16" i="17"/>
  <c r="F16" i="17"/>
  <c r="E15" i="17"/>
  <c r="F15" i="17"/>
  <c r="D23" i="16"/>
  <c r="E23" i="16"/>
  <c r="F23" i="16"/>
  <c r="C23" i="16"/>
  <c r="F22" i="16"/>
  <c r="E22" i="16"/>
  <c r="D19" i="16"/>
  <c r="E19" i="16"/>
  <c r="F19" i="16"/>
  <c r="C19" i="16"/>
  <c r="F18" i="16"/>
  <c r="E18" i="16"/>
  <c r="F17" i="16"/>
  <c r="E17" i="16"/>
  <c r="D14" i="16"/>
  <c r="E14" i="16"/>
  <c r="F14" i="16"/>
  <c r="C14" i="16"/>
  <c r="F13" i="16"/>
  <c r="E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D55" i="15"/>
  <c r="E55" i="15"/>
  <c r="F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D30" i="15"/>
  <c r="E30" i="15"/>
  <c r="F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15" i="13"/>
  <c r="E24" i="13"/>
  <c r="C15" i="13"/>
  <c r="C24" i="13"/>
  <c r="E13" i="13"/>
  <c r="E25" i="13"/>
  <c r="E27" i="13"/>
  <c r="D13" i="13"/>
  <c r="D25" i="13"/>
  <c r="D27" i="13"/>
  <c r="C13" i="13"/>
  <c r="C25" i="13"/>
  <c r="C27" i="13"/>
  <c r="F47" i="12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D193" i="9"/>
  <c r="E193" i="9"/>
  <c r="F193" i="9"/>
  <c r="C193" i="9"/>
  <c r="D192" i="9"/>
  <c r="E192" i="9"/>
  <c r="F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/>
  <c r="F154" i="9"/>
  <c r="C154" i="9"/>
  <c r="D153" i="9"/>
  <c r="E153" i="9"/>
  <c r="F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5" i="9"/>
  <c r="D115" i="9"/>
  <c r="E115" i="9"/>
  <c r="C115" i="9"/>
  <c r="F114" i="9"/>
  <c r="D114" i="9"/>
  <c r="E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F102" i="9"/>
  <c r="D102" i="9"/>
  <c r="E102" i="9"/>
  <c r="C102" i="9"/>
  <c r="F101" i="9"/>
  <c r="D101" i="9"/>
  <c r="E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8" i="8"/>
  <c r="E90" i="8"/>
  <c r="E86" i="8"/>
  <c r="C88" i="8"/>
  <c r="C90" i="8"/>
  <c r="C86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D75" i="8"/>
  <c r="D88" i="8"/>
  <c r="D90" i="8"/>
  <c r="D86" i="8"/>
  <c r="C75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E186" i="7"/>
  <c r="F186" i="7"/>
  <c r="D183" i="7"/>
  <c r="D188" i="7"/>
  <c r="C183" i="7"/>
  <c r="F182" i="7"/>
  <c r="E182" i="7"/>
  <c r="E181" i="7"/>
  <c r="F181" i="7"/>
  <c r="F180" i="7"/>
  <c r="E180" i="7"/>
  <c r="E179" i="7"/>
  <c r="F179" i="7"/>
  <c r="E178" i="7"/>
  <c r="F178" i="7"/>
  <c r="E177" i="7"/>
  <c r="F177" i="7"/>
  <c r="F176" i="7"/>
  <c r="E176" i="7"/>
  <c r="E175" i="7"/>
  <c r="F175" i="7"/>
  <c r="E174" i="7"/>
  <c r="F174" i="7"/>
  <c r="E173" i="7"/>
  <c r="F173" i="7"/>
  <c r="F172" i="7"/>
  <c r="E172" i="7"/>
  <c r="E171" i="7"/>
  <c r="F171" i="7"/>
  <c r="E170" i="7"/>
  <c r="F170" i="7"/>
  <c r="D167" i="7"/>
  <c r="C167" i="7"/>
  <c r="E166" i="7"/>
  <c r="F166" i="7"/>
  <c r="E165" i="7"/>
  <c r="F165" i="7"/>
  <c r="E164" i="7"/>
  <c r="F164" i="7"/>
  <c r="E163" i="7"/>
  <c r="F163" i="7"/>
  <c r="F162" i="7"/>
  <c r="E162" i="7"/>
  <c r="E161" i="7"/>
  <c r="F161" i="7"/>
  <c r="E160" i="7"/>
  <c r="F160" i="7"/>
  <c r="F159" i="7"/>
  <c r="E159" i="7"/>
  <c r="E158" i="7"/>
  <c r="F158" i="7"/>
  <c r="E157" i="7"/>
  <c r="F157" i="7"/>
  <c r="E156" i="7"/>
  <c r="F156" i="7"/>
  <c r="E155" i="7"/>
  <c r="F155" i="7"/>
  <c r="E154" i="7"/>
  <c r="F154" i="7"/>
  <c r="E153" i="7"/>
  <c r="F153" i="7"/>
  <c r="E152" i="7"/>
  <c r="F152" i="7"/>
  <c r="E151" i="7"/>
  <c r="F151" i="7"/>
  <c r="E150" i="7"/>
  <c r="F150" i="7"/>
  <c r="F149" i="7"/>
  <c r="E149" i="7"/>
  <c r="F148" i="7"/>
  <c r="E148" i="7"/>
  <c r="F147" i="7"/>
  <c r="E147" i="7"/>
  <c r="E146" i="7"/>
  <c r="F146" i="7"/>
  <c r="E145" i="7"/>
  <c r="F145" i="7"/>
  <c r="E144" i="7"/>
  <c r="F144" i="7"/>
  <c r="F143" i="7"/>
  <c r="E143" i="7"/>
  <c r="E142" i="7"/>
  <c r="F142" i="7"/>
  <c r="E141" i="7"/>
  <c r="F141" i="7"/>
  <c r="E140" i="7"/>
  <c r="F140" i="7"/>
  <c r="E139" i="7"/>
  <c r="F139" i="7"/>
  <c r="E138" i="7"/>
  <c r="F138" i="7"/>
  <c r="E137" i="7"/>
  <c r="F137" i="7"/>
  <c r="E136" i="7"/>
  <c r="F136" i="7"/>
  <c r="E135" i="7"/>
  <c r="F135" i="7"/>
  <c r="E134" i="7"/>
  <c r="F134" i="7"/>
  <c r="E133" i="7"/>
  <c r="F133" i="7"/>
  <c r="D130" i="7"/>
  <c r="C130" i="7"/>
  <c r="E129" i="7"/>
  <c r="F129" i="7"/>
  <c r="E128" i="7"/>
  <c r="F128" i="7"/>
  <c r="E127" i="7"/>
  <c r="F127" i="7"/>
  <c r="E126" i="7"/>
  <c r="F126" i="7"/>
  <c r="E125" i="7"/>
  <c r="F125" i="7"/>
  <c r="F124" i="7"/>
  <c r="E124" i="7"/>
  <c r="D121" i="7"/>
  <c r="C121" i="7"/>
  <c r="E120" i="7"/>
  <c r="F120" i="7"/>
  <c r="E119" i="7"/>
  <c r="F119" i="7"/>
  <c r="E118" i="7"/>
  <c r="F118" i="7"/>
  <c r="E117" i="7"/>
  <c r="F117" i="7"/>
  <c r="E116" i="7"/>
  <c r="F116" i="7"/>
  <c r="E115" i="7"/>
  <c r="F115" i="7"/>
  <c r="E114" i="7"/>
  <c r="F114" i="7"/>
  <c r="E113" i="7"/>
  <c r="F113" i="7"/>
  <c r="E112" i="7"/>
  <c r="F112" i="7"/>
  <c r="E111" i="7"/>
  <c r="F111" i="7"/>
  <c r="F110" i="7"/>
  <c r="E110" i="7"/>
  <c r="E109" i="7"/>
  <c r="F109" i="7"/>
  <c r="E108" i="7"/>
  <c r="F108" i="7"/>
  <c r="E107" i="7"/>
  <c r="F107" i="7"/>
  <c r="E106" i="7"/>
  <c r="F106" i="7"/>
  <c r="E105" i="7"/>
  <c r="F105" i="7"/>
  <c r="E104" i="7"/>
  <c r="F104" i="7"/>
  <c r="E103" i="7"/>
  <c r="F103" i="7"/>
  <c r="C95" i="7"/>
  <c r="F93" i="7"/>
  <c r="E93" i="7"/>
  <c r="D90" i="7"/>
  <c r="C90" i="7"/>
  <c r="F89" i="7"/>
  <c r="E89" i="7"/>
  <c r="E88" i="7"/>
  <c r="F88" i="7"/>
  <c r="E87" i="7"/>
  <c r="F87" i="7"/>
  <c r="E86" i="7"/>
  <c r="F86" i="7"/>
  <c r="E85" i="7"/>
  <c r="F85" i="7"/>
  <c r="E84" i="7"/>
  <c r="F84" i="7"/>
  <c r="E83" i="7"/>
  <c r="F83" i="7"/>
  <c r="E82" i="7"/>
  <c r="F82" i="7"/>
  <c r="E81" i="7"/>
  <c r="F81" i="7"/>
  <c r="E80" i="7"/>
  <c r="F80" i="7"/>
  <c r="E79" i="7"/>
  <c r="F79" i="7"/>
  <c r="E78" i="7"/>
  <c r="F78" i="7"/>
  <c r="F77" i="7"/>
  <c r="E77" i="7"/>
  <c r="E76" i="7"/>
  <c r="F76" i="7"/>
  <c r="E75" i="7"/>
  <c r="F75" i="7"/>
  <c r="E74" i="7"/>
  <c r="F74" i="7"/>
  <c r="E73" i="7"/>
  <c r="F73" i="7"/>
  <c r="E72" i="7"/>
  <c r="F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D94" i="6"/>
  <c r="E94" i="6"/>
  <c r="F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E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/>
  <c r="F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C73" i="4"/>
  <c r="E72" i="4"/>
  <c r="F72" i="4"/>
  <c r="E71" i="4"/>
  <c r="F71" i="4"/>
  <c r="E70" i="4"/>
  <c r="F70" i="4"/>
  <c r="F67" i="4"/>
  <c r="E67" i="4"/>
  <c r="E64" i="4"/>
  <c r="F64" i="4"/>
  <c r="F63" i="4"/>
  <c r="E63" i="4"/>
  <c r="D61" i="4"/>
  <c r="D65" i="4"/>
  <c r="C61" i="4"/>
  <c r="E60" i="4"/>
  <c r="F60" i="4"/>
  <c r="F59" i="4"/>
  <c r="E59" i="4"/>
  <c r="D56" i="4"/>
  <c r="D75" i="4"/>
  <c r="C56" i="4"/>
  <c r="E55" i="4"/>
  <c r="F55" i="4"/>
  <c r="F54" i="4"/>
  <c r="E54" i="4"/>
  <c r="E53" i="4"/>
  <c r="F53" i="4"/>
  <c r="F52" i="4"/>
  <c r="E52" i="4"/>
  <c r="E51" i="4"/>
  <c r="F51" i="4"/>
  <c r="F50" i="4"/>
  <c r="E50" i="4"/>
  <c r="A50" i="4"/>
  <c r="A51" i="4"/>
  <c r="A52" i="4"/>
  <c r="A53" i="4"/>
  <c r="A54" i="4"/>
  <c r="A55" i="4"/>
  <c r="E49" i="4"/>
  <c r="F49" i="4"/>
  <c r="E40" i="4"/>
  <c r="F40" i="4"/>
  <c r="D38" i="4"/>
  <c r="D41" i="4"/>
  <c r="C38" i="4"/>
  <c r="E37" i="4"/>
  <c r="F37" i="4"/>
  <c r="E36" i="4"/>
  <c r="F36" i="4"/>
  <c r="E33" i="4"/>
  <c r="F33" i="4"/>
  <c r="F32" i="4"/>
  <c r="E32" i="4"/>
  <c r="F31" i="4"/>
  <c r="E31" i="4"/>
  <c r="D29" i="4"/>
  <c r="C29" i="4"/>
  <c r="E28" i="4"/>
  <c r="F28" i="4"/>
  <c r="F27" i="4"/>
  <c r="E27" i="4"/>
  <c r="F26" i="4"/>
  <c r="E26" i="4"/>
  <c r="F25" i="4"/>
  <c r="E25" i="4"/>
  <c r="D22" i="4"/>
  <c r="D43" i="4"/>
  <c r="C22" i="4"/>
  <c r="F21" i="4"/>
  <c r="E21" i="4"/>
  <c r="E20" i="4"/>
  <c r="F20" i="4"/>
  <c r="E19" i="4"/>
  <c r="F19" i="4"/>
  <c r="F18" i="4"/>
  <c r="E18" i="4"/>
  <c r="E17" i="4"/>
  <c r="F17" i="4"/>
  <c r="E16" i="4"/>
  <c r="F16" i="4"/>
  <c r="E15" i="4"/>
  <c r="F15" i="4"/>
  <c r="F14" i="4"/>
  <c r="E14" i="4"/>
  <c r="E13" i="4"/>
  <c r="F13" i="4"/>
  <c r="D108" i="22"/>
  <c r="D109" i="22"/>
  <c r="C109" i="22"/>
  <c r="C108" i="22"/>
  <c r="E109" i="22"/>
  <c r="E108" i="22"/>
  <c r="C103" i="22"/>
  <c r="D22" i="22"/>
  <c r="C23" i="22"/>
  <c r="E23" i="22"/>
  <c r="D33" i="22"/>
  <c r="C34" i="22"/>
  <c r="E34" i="22"/>
  <c r="D101" i="22"/>
  <c r="D103" i="22"/>
  <c r="C102" i="22"/>
  <c r="E102" i="22"/>
  <c r="E103" i="22"/>
  <c r="D111" i="22"/>
  <c r="C22" i="22"/>
  <c r="E22" i="22"/>
  <c r="D30" i="22"/>
  <c r="D36" i="22"/>
  <c r="D40" i="22"/>
  <c r="D46" i="22"/>
  <c r="F20" i="20"/>
  <c r="C41" i="20"/>
  <c r="F40" i="20"/>
  <c r="D41" i="20"/>
  <c r="E39" i="20"/>
  <c r="E41" i="20"/>
  <c r="E294" i="17"/>
  <c r="E295" i="17"/>
  <c r="E296" i="17"/>
  <c r="E297" i="17"/>
  <c r="E298" i="17"/>
  <c r="E299" i="17"/>
  <c r="E19" i="20"/>
  <c r="F19" i="20"/>
  <c r="E43" i="20"/>
  <c r="C65" i="19"/>
  <c r="C114" i="19"/>
  <c r="C116" i="19"/>
  <c r="C119" i="19"/>
  <c r="C123" i="19"/>
  <c r="E85" i="17"/>
  <c r="F85" i="17"/>
  <c r="D192" i="17"/>
  <c r="E145" i="17"/>
  <c r="C49" i="19"/>
  <c r="C258" i="18"/>
  <c r="C100" i="18"/>
  <c r="C98" i="18"/>
  <c r="C96" i="18"/>
  <c r="C89" i="18"/>
  <c r="C87" i="18"/>
  <c r="C85" i="18"/>
  <c r="C101" i="18"/>
  <c r="C99" i="18"/>
  <c r="C97" i="18"/>
  <c r="C95" i="18"/>
  <c r="C88" i="18"/>
  <c r="C86" i="18"/>
  <c r="C84" i="18"/>
  <c r="C83" i="18"/>
  <c r="E33" i="18"/>
  <c r="D258" i="18"/>
  <c r="D101" i="18"/>
  <c r="E101" i="18"/>
  <c r="D99" i="18"/>
  <c r="D97" i="18"/>
  <c r="E97" i="18"/>
  <c r="D95" i="18"/>
  <c r="D88" i="18"/>
  <c r="E88" i="18"/>
  <c r="D86" i="18"/>
  <c r="D84" i="18"/>
  <c r="D100" i="18"/>
  <c r="E100" i="18"/>
  <c r="D98" i="18"/>
  <c r="E98" i="18"/>
  <c r="D96" i="18"/>
  <c r="D89" i="18"/>
  <c r="E89" i="18"/>
  <c r="D87" i="18"/>
  <c r="E87" i="18"/>
  <c r="D85" i="18"/>
  <c r="E85" i="18"/>
  <c r="D83" i="18"/>
  <c r="E44" i="18"/>
  <c r="D259" i="18"/>
  <c r="E43" i="18"/>
  <c r="E94" i="17"/>
  <c r="E95" i="17"/>
  <c r="E100" i="17"/>
  <c r="E110" i="17"/>
  <c r="E120" i="17"/>
  <c r="C283" i="18"/>
  <c r="E21" i="18"/>
  <c r="D22" i="18"/>
  <c r="E37" i="18"/>
  <c r="E55" i="18"/>
  <c r="D66" i="18"/>
  <c r="E129" i="17"/>
  <c r="F129" i="17"/>
  <c r="E130" i="17"/>
  <c r="E135" i="17"/>
  <c r="F135" i="17"/>
  <c r="E283" i="18"/>
  <c r="E32" i="18"/>
  <c r="D295" i="18"/>
  <c r="E36" i="18"/>
  <c r="E54" i="18"/>
  <c r="C289" i="18"/>
  <c r="C71" i="18"/>
  <c r="C76" i="18"/>
  <c r="C65" i="18"/>
  <c r="C66" i="18"/>
  <c r="C295" i="18"/>
  <c r="E60" i="18"/>
  <c r="E70" i="18"/>
  <c r="D126" i="18"/>
  <c r="D124" i="18"/>
  <c r="D122" i="18"/>
  <c r="D115" i="18"/>
  <c r="D113" i="18"/>
  <c r="D111" i="18"/>
  <c r="D109" i="18"/>
  <c r="D127" i="18"/>
  <c r="D125" i="18"/>
  <c r="D123" i="18"/>
  <c r="D121" i="18"/>
  <c r="D114" i="18"/>
  <c r="D112" i="18"/>
  <c r="D110" i="18"/>
  <c r="D157" i="18"/>
  <c r="E157" i="18"/>
  <c r="E156" i="18"/>
  <c r="E289" i="18"/>
  <c r="C144" i="18"/>
  <c r="E144" i="18"/>
  <c r="D145" i="18"/>
  <c r="E151" i="18"/>
  <c r="D163" i="18"/>
  <c r="E163" i="18"/>
  <c r="C175" i="18"/>
  <c r="E175" i="18"/>
  <c r="D180" i="18"/>
  <c r="C261" i="18"/>
  <c r="C189" i="18"/>
  <c r="E188" i="18"/>
  <c r="D260" i="18"/>
  <c r="E195" i="18"/>
  <c r="D234" i="18"/>
  <c r="D211" i="18"/>
  <c r="D239" i="18"/>
  <c r="E239" i="18"/>
  <c r="E215" i="18"/>
  <c r="D241" i="18"/>
  <c r="E242" i="18"/>
  <c r="E243" i="18"/>
  <c r="E244" i="18"/>
  <c r="E245" i="18"/>
  <c r="D252" i="18"/>
  <c r="D253" i="18"/>
  <c r="E302" i="18"/>
  <c r="C303" i="18"/>
  <c r="C306" i="18"/>
  <c r="C310" i="18"/>
  <c r="E139" i="18"/>
  <c r="E261" i="18"/>
  <c r="E189" i="18"/>
  <c r="C229" i="18"/>
  <c r="E229" i="18"/>
  <c r="C210" i="18"/>
  <c r="E205" i="18"/>
  <c r="C240" i="18"/>
  <c r="E240" i="18"/>
  <c r="C222" i="18"/>
  <c r="C246" i="18"/>
  <c r="E216" i="18"/>
  <c r="E303" i="18"/>
  <c r="D306" i="18"/>
  <c r="D320" i="18"/>
  <c r="E320" i="18"/>
  <c r="E316" i="18"/>
  <c r="E326" i="18"/>
  <c r="D330" i="18"/>
  <c r="E330" i="18"/>
  <c r="C217" i="18"/>
  <c r="C241" i="18"/>
  <c r="E219" i="18"/>
  <c r="E221" i="18"/>
  <c r="D222" i="18"/>
  <c r="C223" i="18"/>
  <c r="C247" i="18"/>
  <c r="E265" i="18"/>
  <c r="E314" i="18"/>
  <c r="E218" i="18"/>
  <c r="E220" i="18"/>
  <c r="E233" i="18"/>
  <c r="E301" i="18"/>
  <c r="E324" i="18"/>
  <c r="D32" i="17"/>
  <c r="E31" i="17"/>
  <c r="F31" i="17"/>
  <c r="D90" i="17"/>
  <c r="E48" i="17"/>
  <c r="F48" i="17"/>
  <c r="D61" i="17"/>
  <c r="E60" i="17"/>
  <c r="E68" i="17"/>
  <c r="F68" i="17"/>
  <c r="E77" i="17"/>
  <c r="E89" i="17"/>
  <c r="F89" i="17"/>
  <c r="C103" i="17"/>
  <c r="F111" i="17"/>
  <c r="E137" i="17"/>
  <c r="D138" i="17"/>
  <c r="E146" i="17"/>
  <c r="F146" i="17"/>
  <c r="C32" i="17"/>
  <c r="C160" i="17"/>
  <c r="C90" i="17"/>
  <c r="F60" i="17"/>
  <c r="C61" i="17"/>
  <c r="E102" i="17"/>
  <c r="F102" i="17"/>
  <c r="D103" i="17"/>
  <c r="E103" i="17"/>
  <c r="C207" i="17"/>
  <c r="C138" i="17"/>
  <c r="F137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F94" i="17"/>
  <c r="F95" i="17"/>
  <c r="F100" i="17"/>
  <c r="F110" i="17"/>
  <c r="F120" i="17"/>
  <c r="D124" i="17"/>
  <c r="F130" i="17"/>
  <c r="F145" i="17"/>
  <c r="D159" i="17"/>
  <c r="E159" i="17"/>
  <c r="F159" i="17"/>
  <c r="D172" i="17"/>
  <c r="D181" i="17"/>
  <c r="E181" i="17"/>
  <c r="F181" i="17"/>
  <c r="C287" i="17"/>
  <c r="C284" i="17"/>
  <c r="C279" i="17"/>
  <c r="E227" i="17"/>
  <c r="E239" i="17"/>
  <c r="F239" i="17"/>
  <c r="D21" i="17"/>
  <c r="E88" i="17"/>
  <c r="F88" i="17"/>
  <c r="E101" i="17"/>
  <c r="F101" i="17"/>
  <c r="E109" i="17"/>
  <c r="F109" i="17"/>
  <c r="C193" i="17"/>
  <c r="C192" i="17"/>
  <c r="E123" i="17"/>
  <c r="F123" i="17"/>
  <c r="C124" i="17"/>
  <c r="C125" i="17"/>
  <c r="E136" i="17"/>
  <c r="F136" i="17"/>
  <c r="E144" i="17"/>
  <c r="F144" i="17"/>
  <c r="D277" i="17"/>
  <c r="D261" i="17"/>
  <c r="D214" i="17"/>
  <c r="D206" i="17"/>
  <c r="D190" i="17"/>
  <c r="E190" i="17"/>
  <c r="E188" i="17"/>
  <c r="F188" i="17"/>
  <c r="F227" i="17"/>
  <c r="C288" i="17"/>
  <c r="E189" i="17"/>
  <c r="F189" i="17"/>
  <c r="C190" i="17"/>
  <c r="E191" i="17"/>
  <c r="F191" i="17"/>
  <c r="C199" i="17"/>
  <c r="C200" i="17"/>
  <c r="C286" i="17"/>
  <c r="C205" i="17"/>
  <c r="C206" i="17"/>
  <c r="C214" i="17"/>
  <c r="C215" i="17"/>
  <c r="E226" i="17"/>
  <c r="F226" i="17"/>
  <c r="E237" i="17"/>
  <c r="F237" i="17"/>
  <c r="E250" i="17"/>
  <c r="F250" i="17"/>
  <c r="C254" i="17"/>
  <c r="C255" i="17"/>
  <c r="C261" i="17"/>
  <c r="C262" i="17"/>
  <c r="C264" i="17"/>
  <c r="C267" i="17"/>
  <c r="C269" i="17"/>
  <c r="C274" i="17"/>
  <c r="E278" i="17"/>
  <c r="F278" i="17"/>
  <c r="E280" i="17"/>
  <c r="F280" i="17"/>
  <c r="D193" i="17"/>
  <c r="D290" i="17"/>
  <c r="E290" i="17"/>
  <c r="F290" i="17"/>
  <c r="D274" i="17"/>
  <c r="E274" i="17"/>
  <c r="D199" i="17"/>
  <c r="D200" i="17"/>
  <c r="E200" i="17"/>
  <c r="D283" i="17"/>
  <c r="D267" i="17"/>
  <c r="D285" i="17"/>
  <c r="E285" i="17"/>
  <c r="F285" i="17"/>
  <c r="D269" i="17"/>
  <c r="E269" i="17"/>
  <c r="D205" i="17"/>
  <c r="E205" i="17"/>
  <c r="D215" i="17"/>
  <c r="D262" i="17"/>
  <c r="D264" i="17"/>
  <c r="F294" i="17"/>
  <c r="F295" i="17"/>
  <c r="F296" i="17"/>
  <c r="F297" i="17"/>
  <c r="F298" i="17"/>
  <c r="F299" i="17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C22" i="13"/>
  <c r="C20" i="13"/>
  <c r="C21" i="13"/>
  <c r="E20" i="13"/>
  <c r="E21" i="13"/>
  <c r="D21" i="13"/>
  <c r="D15" i="13"/>
  <c r="C17" i="13"/>
  <c r="C28" i="13"/>
  <c r="C70" i="13"/>
  <c r="C72" i="13"/>
  <c r="C69" i="13"/>
  <c r="E17" i="13"/>
  <c r="E28" i="13"/>
  <c r="E70" i="13"/>
  <c r="E72" i="13"/>
  <c r="E69" i="13"/>
  <c r="D48" i="13"/>
  <c r="D42" i="13"/>
  <c r="D20" i="12"/>
  <c r="E17" i="12"/>
  <c r="F17" i="12"/>
  <c r="C20" i="12"/>
  <c r="E15" i="12"/>
  <c r="F15" i="12"/>
  <c r="E43" i="11"/>
  <c r="F43" i="11"/>
  <c r="E41" i="11"/>
  <c r="F75" i="11"/>
  <c r="F65" i="11"/>
  <c r="F73" i="11"/>
  <c r="F41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E198" i="9"/>
  <c r="F198" i="9"/>
  <c r="E199" i="9"/>
  <c r="F199" i="9"/>
  <c r="D21" i="8"/>
  <c r="C20" i="8"/>
  <c r="C21" i="8"/>
  <c r="C140" i="8"/>
  <c r="C138" i="8"/>
  <c r="C136" i="8"/>
  <c r="C139" i="8"/>
  <c r="C137" i="8"/>
  <c r="C135" i="8"/>
  <c r="E157" i="8"/>
  <c r="E155" i="8"/>
  <c r="E153" i="8"/>
  <c r="E156" i="8"/>
  <c r="E154" i="8"/>
  <c r="E152" i="8"/>
  <c r="D156" i="8"/>
  <c r="D154" i="8"/>
  <c r="D152" i="8"/>
  <c r="D157" i="8"/>
  <c r="D155" i="8"/>
  <c r="D153" i="8"/>
  <c r="E20" i="8"/>
  <c r="E21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77" i="8"/>
  <c r="D71" i="8"/>
  <c r="C49" i="8"/>
  <c r="E49" i="8"/>
  <c r="D95" i="7"/>
  <c r="E95" i="7"/>
  <c r="F95" i="7"/>
  <c r="F167" i="7"/>
  <c r="E167" i="7"/>
  <c r="F183" i="7"/>
  <c r="E183" i="7"/>
  <c r="C188" i="7"/>
  <c r="E90" i="7"/>
  <c r="F90" i="7"/>
  <c r="E121" i="7"/>
  <c r="F121" i="7"/>
  <c r="E130" i="7"/>
  <c r="F130" i="7"/>
  <c r="F52" i="6"/>
  <c r="F95" i="6"/>
  <c r="F179" i="6"/>
  <c r="E41" i="6"/>
  <c r="F41" i="6"/>
  <c r="E84" i="6"/>
  <c r="F84" i="6"/>
  <c r="D21" i="5"/>
  <c r="E18" i="5"/>
  <c r="F18" i="5"/>
  <c r="C21" i="5"/>
  <c r="E16" i="5"/>
  <c r="F16" i="5"/>
  <c r="E41" i="4"/>
  <c r="F56" i="4"/>
  <c r="E22" i="4"/>
  <c r="F22" i="4"/>
  <c r="E29" i="4"/>
  <c r="F29" i="4"/>
  <c r="E38" i="4"/>
  <c r="F38" i="4"/>
  <c r="C41" i="4"/>
  <c r="C43" i="4"/>
  <c r="E56" i="4"/>
  <c r="E61" i="4"/>
  <c r="F61" i="4"/>
  <c r="C65" i="4"/>
  <c r="E73" i="4"/>
  <c r="F73" i="4"/>
  <c r="C75" i="4"/>
  <c r="E53" i="22"/>
  <c r="E45" i="22"/>
  <c r="E39" i="22"/>
  <c r="E35" i="22"/>
  <c r="E29" i="22"/>
  <c r="E110" i="22"/>
  <c r="C111" i="22"/>
  <c r="C54" i="22"/>
  <c r="C46" i="22"/>
  <c r="C40" i="22"/>
  <c r="C36" i="22"/>
  <c r="C30" i="22"/>
  <c r="D56" i="22"/>
  <c r="D48" i="22"/>
  <c r="D38" i="22"/>
  <c r="D113" i="22"/>
  <c r="C53" i="22"/>
  <c r="C45" i="22"/>
  <c r="C39" i="22"/>
  <c r="C35" i="22"/>
  <c r="C29" i="22"/>
  <c r="C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39" i="20"/>
  <c r="F43" i="20"/>
  <c r="E46" i="20"/>
  <c r="F46" i="20"/>
  <c r="F41" i="20"/>
  <c r="E76" i="18"/>
  <c r="C77" i="18"/>
  <c r="C259" i="18"/>
  <c r="C263" i="18"/>
  <c r="C252" i="18"/>
  <c r="E222" i="18"/>
  <c r="D246" i="18"/>
  <c r="E246" i="18"/>
  <c r="E306" i="18"/>
  <c r="D310" i="18"/>
  <c r="E310" i="18"/>
  <c r="C253" i="18"/>
  <c r="D254" i="18"/>
  <c r="E252" i="18"/>
  <c r="E241" i="18"/>
  <c r="D235" i="18"/>
  <c r="E260" i="18"/>
  <c r="D181" i="18"/>
  <c r="E145" i="18"/>
  <c r="D169" i="18"/>
  <c r="C180" i="18"/>
  <c r="E180" i="18"/>
  <c r="C145" i="18"/>
  <c r="C168" i="18"/>
  <c r="E168" i="18"/>
  <c r="D116" i="18"/>
  <c r="E295" i="18"/>
  <c r="C294" i="18"/>
  <c r="E294" i="18"/>
  <c r="E71" i="18"/>
  <c r="E66" i="18"/>
  <c r="D284" i="18"/>
  <c r="E284" i="18"/>
  <c r="E22" i="18"/>
  <c r="D263" i="18"/>
  <c r="E263" i="18"/>
  <c r="E259" i="18"/>
  <c r="E83" i="18"/>
  <c r="E96" i="18"/>
  <c r="D102" i="18"/>
  <c r="E102" i="18"/>
  <c r="E86" i="18"/>
  <c r="D103" i="18"/>
  <c r="E103" i="18"/>
  <c r="E95" i="18"/>
  <c r="E99" i="18"/>
  <c r="E258" i="18"/>
  <c r="D264" i="18"/>
  <c r="C90" i="18"/>
  <c r="C102" i="18"/>
  <c r="C234" i="18"/>
  <c r="C211" i="18"/>
  <c r="C235" i="18"/>
  <c r="E253" i="18"/>
  <c r="E217" i="18"/>
  <c r="D223" i="18"/>
  <c r="E210" i="18"/>
  <c r="E234" i="18"/>
  <c r="D117" i="18"/>
  <c r="D128" i="18"/>
  <c r="D129" i="18"/>
  <c r="E65" i="18"/>
  <c r="D90" i="18"/>
  <c r="E90" i="18"/>
  <c r="E84" i="18"/>
  <c r="C91" i="18"/>
  <c r="C105" i="18"/>
  <c r="C103" i="18"/>
  <c r="C264" i="18"/>
  <c r="C266" i="18"/>
  <c r="C267" i="18"/>
  <c r="D272" i="17"/>
  <c r="E262" i="17"/>
  <c r="D194" i="17"/>
  <c r="E193" i="17"/>
  <c r="F193" i="17"/>
  <c r="F269" i="17"/>
  <c r="D300" i="17"/>
  <c r="E264" i="17"/>
  <c r="F264" i="17"/>
  <c r="E283" i="17"/>
  <c r="F283" i="17"/>
  <c r="D286" i="17"/>
  <c r="E286" i="17"/>
  <c r="F286" i="17"/>
  <c r="E199" i="17"/>
  <c r="D288" i="17"/>
  <c r="E288" i="17"/>
  <c r="F288" i="17"/>
  <c r="F274" i="17"/>
  <c r="C270" i="17"/>
  <c r="F262" i="17"/>
  <c r="C272" i="17"/>
  <c r="C216" i="17"/>
  <c r="F205" i="17"/>
  <c r="F200" i="17"/>
  <c r="F190" i="17"/>
  <c r="E206" i="17"/>
  <c r="D271" i="17"/>
  <c r="D268" i="17"/>
  <c r="D263" i="17"/>
  <c r="E261" i="17"/>
  <c r="C194" i="17"/>
  <c r="D196" i="17"/>
  <c r="D49" i="17"/>
  <c r="D161" i="17"/>
  <c r="D126" i="17"/>
  <c r="D91" i="17"/>
  <c r="E21" i="17"/>
  <c r="D282" i="17"/>
  <c r="C291" i="17"/>
  <c r="C289" i="17"/>
  <c r="E172" i="17"/>
  <c r="F172" i="17"/>
  <c r="D173" i="17"/>
  <c r="E173" i="17"/>
  <c r="F173" i="17"/>
  <c r="E124" i="17"/>
  <c r="C266" i="17"/>
  <c r="C265" i="17"/>
  <c r="C174" i="17"/>
  <c r="C139" i="17"/>
  <c r="C104" i="17"/>
  <c r="E138" i="17"/>
  <c r="F138" i="17"/>
  <c r="D207" i="17"/>
  <c r="F103" i="17"/>
  <c r="D125" i="17"/>
  <c r="E125" i="17"/>
  <c r="F125" i="17"/>
  <c r="D255" i="17"/>
  <c r="E255" i="17"/>
  <c r="F255" i="17"/>
  <c r="E215" i="17"/>
  <c r="D270" i="17"/>
  <c r="E270" i="17"/>
  <c r="E267" i="17"/>
  <c r="F267" i="17"/>
  <c r="C300" i="17"/>
  <c r="F261" i="17"/>
  <c r="C271" i="17"/>
  <c r="C268" i="17"/>
  <c r="C263" i="17"/>
  <c r="F215" i="17"/>
  <c r="F206" i="17"/>
  <c r="F199" i="17"/>
  <c r="D254" i="17"/>
  <c r="D216" i="17"/>
  <c r="E216" i="17"/>
  <c r="E214" i="17"/>
  <c r="F214" i="17"/>
  <c r="E277" i="17"/>
  <c r="F277" i="17"/>
  <c r="D287" i="17"/>
  <c r="D284" i="17"/>
  <c r="E284" i="17"/>
  <c r="F284" i="17"/>
  <c r="D279" i="17"/>
  <c r="E279" i="17"/>
  <c r="F279" i="17"/>
  <c r="F124" i="17"/>
  <c r="D266" i="17"/>
  <c r="E266" i="17"/>
  <c r="E192" i="17"/>
  <c r="F192" i="17"/>
  <c r="C304" i="17"/>
  <c r="C196" i="17"/>
  <c r="C161" i="17"/>
  <c r="C126" i="17"/>
  <c r="C91" i="17"/>
  <c r="F21" i="17"/>
  <c r="C49" i="17"/>
  <c r="C282" i="17"/>
  <c r="C208" i="17"/>
  <c r="C210" i="17"/>
  <c r="C175" i="17"/>
  <c r="C140" i="17"/>
  <c r="C105" i="17"/>
  <c r="C62" i="17"/>
  <c r="D139" i="17"/>
  <c r="E139" i="17"/>
  <c r="D104" i="17"/>
  <c r="E104" i="17"/>
  <c r="E61" i="17"/>
  <c r="F61" i="17"/>
  <c r="E90" i="17"/>
  <c r="F90" i="17"/>
  <c r="D160" i="17"/>
  <c r="E160" i="17"/>
  <c r="F160" i="17"/>
  <c r="E37" i="17"/>
  <c r="F37" i="17"/>
  <c r="D62" i="17"/>
  <c r="D140" i="17"/>
  <c r="D105" i="17"/>
  <c r="E32" i="17"/>
  <c r="F32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D34" i="12"/>
  <c r="E20" i="12"/>
  <c r="F20" i="12"/>
  <c r="C34" i="12"/>
  <c r="D24" i="8"/>
  <c r="D20" i="8"/>
  <c r="D17" i="8"/>
  <c r="C112" i="8"/>
  <c r="C111" i="8"/>
  <c r="C28" i="8"/>
  <c r="C158" i="8"/>
  <c r="E141" i="8"/>
  <c r="E158" i="8"/>
  <c r="C141" i="8"/>
  <c r="E112" i="8"/>
  <c r="E111" i="8"/>
  <c r="E28" i="8"/>
  <c r="D141" i="8"/>
  <c r="D158" i="8"/>
  <c r="E188" i="7"/>
  <c r="F188" i="7"/>
  <c r="D35" i="5"/>
  <c r="E21" i="5"/>
  <c r="F21" i="5"/>
  <c r="C35" i="5"/>
  <c r="E43" i="4"/>
  <c r="F43" i="4"/>
  <c r="F65" i="4"/>
  <c r="F41" i="4"/>
  <c r="E65" i="4"/>
  <c r="E75" i="4"/>
  <c r="F75" i="4"/>
  <c r="D112" i="22"/>
  <c r="D55" i="22"/>
  <c r="D47" i="22"/>
  <c r="D37" i="22"/>
  <c r="E113" i="22"/>
  <c r="E56" i="22"/>
  <c r="E48" i="22"/>
  <c r="E38" i="22"/>
  <c r="C113" i="22"/>
  <c r="C56" i="22"/>
  <c r="C48" i="22"/>
  <c r="C38" i="22"/>
  <c r="C55" i="22"/>
  <c r="C47" i="22"/>
  <c r="C37" i="22"/>
  <c r="C112" i="22"/>
  <c r="E55" i="22"/>
  <c r="E47" i="22"/>
  <c r="E37" i="22"/>
  <c r="E112" i="22"/>
  <c r="C269" i="18"/>
  <c r="C268" i="18"/>
  <c r="D175" i="17"/>
  <c r="E175" i="17"/>
  <c r="F175" i="17"/>
  <c r="D174" i="17"/>
  <c r="E174" i="17"/>
  <c r="D131" i="18"/>
  <c r="E264" i="18"/>
  <c r="D266" i="18"/>
  <c r="C169" i="18"/>
  <c r="C181" i="18"/>
  <c r="E169" i="18"/>
  <c r="E181" i="18"/>
  <c r="E211" i="18"/>
  <c r="E254" i="18"/>
  <c r="C254" i="18"/>
  <c r="C127" i="18"/>
  <c r="E127" i="18"/>
  <c r="C125" i="18"/>
  <c r="E125" i="18"/>
  <c r="C123" i="18"/>
  <c r="E123" i="18"/>
  <c r="C121" i="18"/>
  <c r="C114" i="18"/>
  <c r="E114" i="18"/>
  <c r="C112" i="18"/>
  <c r="E112" i="18"/>
  <c r="C110" i="18"/>
  <c r="C126" i="18"/>
  <c r="E126" i="18"/>
  <c r="C124" i="18"/>
  <c r="E124" i="18"/>
  <c r="C122" i="18"/>
  <c r="C115" i="18"/>
  <c r="E115" i="18"/>
  <c r="C113" i="18"/>
  <c r="E113" i="18"/>
  <c r="C111" i="18"/>
  <c r="E111" i="18"/>
  <c r="C109" i="18"/>
  <c r="E77" i="18"/>
  <c r="D247" i="18"/>
  <c r="E247" i="18"/>
  <c r="E223" i="18"/>
  <c r="D91" i="18"/>
  <c r="E235" i="18"/>
  <c r="C141" i="17"/>
  <c r="C50" i="17"/>
  <c r="E140" i="17"/>
  <c r="F140" i="17"/>
  <c r="D141" i="17"/>
  <c r="D63" i="17"/>
  <c r="E63" i="17"/>
  <c r="E62" i="17"/>
  <c r="F62" i="17"/>
  <c r="C63" i="17"/>
  <c r="C106" i="17"/>
  <c r="C176" i="17"/>
  <c r="C281" i="17"/>
  <c r="C127" i="17"/>
  <c r="E287" i="17"/>
  <c r="F287" i="17"/>
  <c r="D291" i="17"/>
  <c r="D289" i="17"/>
  <c r="E289" i="17"/>
  <c r="F289" i="17"/>
  <c r="E254" i="17"/>
  <c r="F254" i="17"/>
  <c r="C273" i="17"/>
  <c r="F104" i="17"/>
  <c r="F174" i="17"/>
  <c r="E126" i="17"/>
  <c r="F126" i="17"/>
  <c r="D127" i="17"/>
  <c r="D50" i="17"/>
  <c r="E49" i="17"/>
  <c r="F49" i="17"/>
  <c r="C195" i="17"/>
  <c r="E268" i="17"/>
  <c r="F268" i="17"/>
  <c r="F216" i="17"/>
  <c r="F270" i="17"/>
  <c r="D265" i="17"/>
  <c r="E265" i="17"/>
  <c r="F265" i="17"/>
  <c r="E194" i="17"/>
  <c r="F194" i="17"/>
  <c r="D195" i="17"/>
  <c r="E195" i="17"/>
  <c r="E272" i="17"/>
  <c r="F272" i="17"/>
  <c r="E105" i="17"/>
  <c r="F105" i="17"/>
  <c r="D106" i="17"/>
  <c r="E106" i="17"/>
  <c r="C92" i="17"/>
  <c r="C162" i="17"/>
  <c r="D208" i="17"/>
  <c r="E207" i="17"/>
  <c r="F207" i="17"/>
  <c r="F139" i="17"/>
  <c r="C209" i="17"/>
  <c r="F266" i="17"/>
  <c r="C305" i="17"/>
  <c r="E282" i="17"/>
  <c r="F282" i="17"/>
  <c r="D281" i="17"/>
  <c r="E281" i="17"/>
  <c r="E91" i="17"/>
  <c r="F91" i="17"/>
  <c r="D92" i="17"/>
  <c r="E161" i="17"/>
  <c r="F161" i="17"/>
  <c r="D162" i="17"/>
  <c r="D197" i="17"/>
  <c r="E196" i="17"/>
  <c r="F196" i="17"/>
  <c r="E263" i="17"/>
  <c r="F263" i="17"/>
  <c r="D304" i="17"/>
  <c r="D273" i="17"/>
  <c r="E273" i="17"/>
  <c r="E271" i="17"/>
  <c r="F271" i="17"/>
  <c r="E300" i="17"/>
  <c r="F300" i="17"/>
  <c r="D70" i="13"/>
  <c r="D72" i="13"/>
  <c r="D69" i="13"/>
  <c r="D22" i="13"/>
  <c r="D42" i="12"/>
  <c r="E34" i="12"/>
  <c r="F34" i="12"/>
  <c r="C42" i="12"/>
  <c r="E99" i="8"/>
  <c r="E101" i="8"/>
  <c r="E98" i="8"/>
  <c r="E22" i="8"/>
  <c r="C99" i="8"/>
  <c r="C101" i="8"/>
  <c r="C98" i="8"/>
  <c r="C22" i="8"/>
  <c r="D28" i="8"/>
  <c r="D112" i="8"/>
  <c r="D111" i="8"/>
  <c r="D43" i="5"/>
  <c r="E35" i="5"/>
  <c r="F35" i="5"/>
  <c r="C43" i="5"/>
  <c r="D176" i="17"/>
  <c r="D323" i="17"/>
  <c r="E323" i="17"/>
  <c r="E109" i="18"/>
  <c r="C128" i="18"/>
  <c r="E128" i="18"/>
  <c r="E122" i="18"/>
  <c r="C129" i="18"/>
  <c r="E129" i="18"/>
  <c r="E121" i="18"/>
  <c r="C271" i="18"/>
  <c r="E91" i="18"/>
  <c r="D105" i="18"/>
  <c r="E105" i="18"/>
  <c r="C116" i="18"/>
  <c r="E116" i="18"/>
  <c r="E110" i="18"/>
  <c r="E266" i="18"/>
  <c r="D267" i="18"/>
  <c r="E162" i="17"/>
  <c r="D324" i="17"/>
  <c r="E92" i="17"/>
  <c r="D113" i="17"/>
  <c r="E208" i="17"/>
  <c r="F208" i="17"/>
  <c r="D209" i="17"/>
  <c r="E209" i="17"/>
  <c r="F209" i="17"/>
  <c r="D210" i="17"/>
  <c r="C309" i="17"/>
  <c r="C323" i="17"/>
  <c r="C183" i="17"/>
  <c r="F162" i="17"/>
  <c r="C324" i="17"/>
  <c r="C113" i="17"/>
  <c r="F92" i="17"/>
  <c r="F195" i="17"/>
  <c r="E127" i="17"/>
  <c r="F127" i="17"/>
  <c r="D148" i="17"/>
  <c r="F273" i="17"/>
  <c r="E291" i="17"/>
  <c r="F291" i="17"/>
  <c r="D305" i="17"/>
  <c r="C197" i="17"/>
  <c r="C148" i="17"/>
  <c r="F63" i="17"/>
  <c r="D322" i="17"/>
  <c r="E141" i="17"/>
  <c r="F141" i="17"/>
  <c r="C322" i="17"/>
  <c r="C211" i="17"/>
  <c r="E304" i="17"/>
  <c r="F304" i="17"/>
  <c r="D70" i="17"/>
  <c r="E50" i="17"/>
  <c r="F50" i="17"/>
  <c r="F281" i="17"/>
  <c r="F106" i="17"/>
  <c r="C70" i="17"/>
  <c r="E176" i="17"/>
  <c r="F176" i="17"/>
  <c r="D49" i="12"/>
  <c r="E49" i="12"/>
  <c r="E42" i="12"/>
  <c r="F42" i="12"/>
  <c r="C49" i="12"/>
  <c r="D99" i="8"/>
  <c r="D101" i="8"/>
  <c r="D98" i="8"/>
  <c r="D22" i="8"/>
  <c r="D50" i="5"/>
  <c r="E50" i="5"/>
  <c r="E43" i="5"/>
  <c r="F43" i="5"/>
  <c r="C50" i="5"/>
  <c r="D183" i="17"/>
  <c r="E183" i="17"/>
  <c r="F183" i="17"/>
  <c r="D269" i="18"/>
  <c r="E269" i="18"/>
  <c r="E267" i="18"/>
  <c r="D268" i="18"/>
  <c r="C117" i="18"/>
  <c r="E70" i="17"/>
  <c r="F70" i="17"/>
  <c r="E322" i="17"/>
  <c r="F322" i="17"/>
  <c r="E148" i="17"/>
  <c r="F148" i="17"/>
  <c r="F323" i="17"/>
  <c r="E197" i="17"/>
  <c r="F197" i="17"/>
  <c r="E113" i="17"/>
  <c r="F113" i="17"/>
  <c r="D325" i="17"/>
  <c r="E325" i="17"/>
  <c r="E324" i="17"/>
  <c r="F324" i="17"/>
  <c r="D309" i="17"/>
  <c r="E305" i="17"/>
  <c r="F305" i="17"/>
  <c r="C325" i="17"/>
  <c r="C310" i="17"/>
  <c r="D211" i="17"/>
  <c r="E211" i="17"/>
  <c r="F211" i="17"/>
  <c r="E210" i="17"/>
  <c r="F210" i="17"/>
  <c r="F49" i="12"/>
  <c r="F50" i="5"/>
  <c r="C131" i="18"/>
  <c r="E131" i="18"/>
  <c r="E117" i="18"/>
  <c r="D271" i="18"/>
  <c r="E271" i="18"/>
  <c r="E268" i="18"/>
  <c r="C312" i="17"/>
  <c r="E309" i="17"/>
  <c r="F309" i="17"/>
  <c r="D310" i="17"/>
  <c r="F325" i="17"/>
  <c r="D312" i="17"/>
  <c r="E310" i="17"/>
  <c r="F310" i="17"/>
  <c r="C313" i="17"/>
  <c r="E312" i="17"/>
  <c r="F312" i="17"/>
  <c r="D313" i="17"/>
  <c r="C314" i="17"/>
  <c r="C251" i="17"/>
  <c r="C256" i="17"/>
  <c r="C315" i="17"/>
  <c r="C257" i="17"/>
  <c r="C318" i="17"/>
  <c r="D315" i="17"/>
  <c r="E315" i="17"/>
  <c r="F315" i="17"/>
  <c r="D314" i="17"/>
  <c r="E313" i="17"/>
  <c r="F313" i="17"/>
  <c r="D251" i="17"/>
  <c r="E251" i="17"/>
  <c r="F251" i="17"/>
  <c r="D256" i="17"/>
  <c r="D318" i="17"/>
  <c r="E318" i="17"/>
  <c r="E314" i="17"/>
  <c r="F314" i="17"/>
  <c r="F318" i="17"/>
  <c r="D257" i="17"/>
  <c r="E257" i="17"/>
  <c r="F257" i="17"/>
  <c r="E256" i="17"/>
  <c r="F256" i="17"/>
</calcChain>
</file>

<file path=xl/sharedStrings.xml><?xml version="1.0" encoding="utf-8"?>
<sst xmlns="http://schemas.openxmlformats.org/spreadsheetml/2006/main" count="2335" uniqueCount="1009">
  <si>
    <t>DANBURY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</si>
  <si>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</si>
  <si>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</si>
  <si>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</si>
  <si>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</si>
  <si>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</si>
  <si>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</si>
  <si>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</si>
  <si>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</si>
  <si>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</si>
  <si>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</si>
  <si>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</si>
  <si>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</si>
  <si>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</si>
  <si>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</si>
  <si>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</si>
  <si>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</si>
  <si>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</si>
  <si>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</si>
  <si>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</si>
  <si>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</si>
  <si>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</si>
  <si>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</si>
  <si>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</si>
  <si>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</si>
  <si>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</si>
  <si>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</si>
  <si>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</si>
  <si>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</si>
  <si>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</si>
  <si>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</si>
  <si>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</si>
  <si>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</si>
  <si>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</si>
  <si>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</si>
  <si>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</si>
  <si>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</si>
  <si>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</si>
  <si>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</si>
  <si>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</si>
  <si>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</si>
  <si>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</si>
  <si>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</si>
  <si>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</si>
  <si>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</si>
  <si>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</si>
  <si>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</si>
  <si>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</si>
  <si>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</si>
  <si>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</si>
  <si>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</si>
  <si>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</si>
  <si>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</si>
  <si>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</si>
  <si>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</si>
  <si>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</si>
  <si>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</si>
  <si>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</si>
  <si>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</si>
  <si>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</si>
  <si>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</si>
  <si>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</si>
  <si>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</si>
  <si>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</si>
  <si>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</si>
  <si>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</si>
  <si>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</si>
  <si>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</si>
  <si>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</si>
  <si>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</si>
  <si>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</si>
  <si>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</si>
  <si>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</si>
  <si>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</si>
  <si>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</si>
  <si>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</si>
  <si>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</si>
  <si>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</si>
  <si>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</si>
  <si>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</si>
  <si>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</si>
  <si>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</si>
  <si>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</si>
  <si>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</si>
  <si>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</si>
  <si>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</si>
  <si>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</si>
  <si>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</si>
  <si>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</si>
  <si>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</si>
  <si>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</si>
  <si>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</si>
  <si>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</si>
  <si>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</si>
  <si>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</si>
  <si>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</si>
  <si>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</si>
  <si>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</si>
  <si>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</si>
  <si>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</si>
  <si>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</si>
  <si>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</si>
  <si>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</si>
  <si>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</si>
  <si>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</si>
  <si>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</si>
  <si>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</si>
  <si>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</si>
  <si>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</si>
  <si>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</si>
  <si>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</si>
  <si>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</si>
  <si>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</si>
  <si>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</si>
  <si>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</si>
  <si>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</si>
  <si>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</si>
  <si>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</si>
  <si>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</si>
  <si>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</si>
  <si>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</si>
  <si>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</si>
  <si>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</si>
  <si>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</si>
  <si>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</si>
  <si>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</si>
  <si>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</si>
  <si>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</si>
  <si>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</si>
  <si>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</si>
  <si>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</si>
  <si>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</si>
  <si>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</si>
  <si>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</si>
  <si>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</si>
  <si>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</si>
  <si>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</si>
  <si>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</si>
  <si>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</si>
  <si>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</si>
  <si>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</si>
  <si>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</si>
  <si>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</si>
  <si>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</si>
  <si>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</si>
  <si>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</si>
  <si>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</si>
  <si>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</si>
  <si>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</si>
  <si>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</si>
  <si>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</si>
  <si>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</si>
  <si>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</si>
  <si>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</si>
  <si>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</si>
  <si>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</si>
  <si>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</si>
  <si>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</si>
  <si>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</si>
  <si>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</si>
  <si>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</si>
  <si>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</si>
  <si>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</si>
  <si>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</si>
  <si>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</si>
  <si>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</si>
  <si>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</si>
  <si>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</si>
  <si>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</si>
  <si>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</si>
  <si>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</si>
  <si>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</si>
  <si>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</si>
  <si>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</si>
  <si>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</si>
  <si>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</si>
  <si>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</si>
  <si>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</si>
  <si>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</si>
  <si>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</si>
  <si>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</si>
  <si>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</si>
  <si>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</si>
  <si>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</si>
  <si>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</si>
  <si>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</si>
  <si>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</si>
  <si>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</si>
  <si>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</si>
  <si>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</si>
  <si>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</si>
  <si>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</si>
  <si>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</si>
  <si>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</si>
  <si>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</si>
  <si>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</si>
  <si>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</si>
  <si>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</si>
  <si>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</si>
  <si>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</si>
  <si>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</si>
  <si>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</si>
  <si>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</si>
  <si>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</si>
  <si>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</si>
  <si>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</si>
  <si>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</si>
  <si>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</si>
  <si>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</si>
  <si>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</si>
  <si>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</si>
  <si>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</si>
  <si>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</si>
  <si>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</si>
  <si>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</si>
  <si>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</si>
  <si>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</si>
  <si>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</si>
  <si>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</si>
  <si>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</si>
  <si>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</si>
  <si>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</si>
  <si>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</si>
  <si>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</si>
  <si>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</si>
  <si>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</si>
  <si>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</si>
  <si>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</si>
  <si>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</si>
  <si>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</si>
  <si>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</si>
  <si>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</si>
  <si>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</si>
  <si>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</si>
  <si>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</si>
  <si>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</si>
  <si>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</si>
  <si>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</si>
  <si>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</si>
  <si>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</si>
  <si>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</si>
  <si>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</si>
  <si>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</si>
  <si>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</si>
  <si>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</si>
  <si>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</si>
  <si>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</si>
  <si>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</si>
  <si>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</si>
  <si>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</si>
  <si>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</si>
  <si>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</si>
  <si>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</si>
  <si>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</si>
  <si>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</si>
  <si>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</si>
  <si>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</si>
  <si>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</si>
  <si>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</si>
  <si>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</si>
  <si>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</si>
  <si>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</si>
  <si>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</si>
  <si>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</si>
  <si>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</si>
  <si>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</si>
  <si>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</si>
  <si>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</si>
  <si>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</si>
  <si>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</si>
  <si>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</si>
  <si>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</si>
  <si>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</si>
  <si>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</si>
  <si>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</si>
  <si>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</si>
  <si>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</si>
  <si>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</si>
  <si>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</si>
  <si>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</si>
  <si>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</si>
  <si>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</si>
  <si>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</si>
  <si>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</si>
  <si>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</si>
  <si>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</si>
  <si>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</si>
  <si>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</si>
  <si>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</si>
  <si>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</si>
  <si>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</si>
  <si>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</si>
  <si>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</si>
  <si>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</si>
  <si>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</si>
  <si>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</si>
  <si>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</si>
  <si>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</si>
  <si>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</si>
  <si>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</si>
  <si>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</si>
  <si>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</si>
  <si>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</si>
  <si>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</si>
  <si>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</si>
  <si>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</si>
  <si>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</si>
  <si>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</si>
  <si>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</si>
  <si>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</si>
  <si>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</si>
  <si>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</si>
  <si>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</si>
  <si>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</si>
  <si>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</si>
  <si>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</si>
  <si>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</si>
  <si>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</si>
  <si>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</si>
  <si>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</si>
  <si>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</si>
  <si>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</si>
  <si>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</si>
  <si>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</si>
  <si>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</si>
  <si>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</si>
  <si>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</si>
  <si>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</si>
  <si>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</si>
  <si>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</si>
  <si>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</si>
  <si>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</si>
  <si>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</si>
  <si>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</si>
  <si>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</si>
  <si>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</si>
  <si>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</si>
  <si>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</si>
  <si>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</si>
  <si>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</si>
  <si>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</si>
  <si>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</si>
  <si>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</si>
  <si>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</si>
  <si>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</si>
  <si>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</si>
  <si>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</si>
  <si>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</si>
  <si>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</si>
  <si>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</si>
  <si>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</si>
  <si>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</si>
  <si>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</si>
  <si>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</si>
  <si>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</si>
  <si>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</si>
  <si>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</si>
  <si>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</si>
  <si>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</si>
  <si>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</si>
  <si>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</si>
  <si>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</si>
  <si>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</si>
  <si>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</si>
  <si>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</si>
  <si>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</si>
  <si>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</si>
  <si>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</si>
  <si>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</si>
  <si>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</si>
  <si>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</si>
  <si>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</si>
  <si>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</si>
  <si>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</si>
  <si>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</si>
  <si>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</si>
  <si>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</si>
  <si>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</si>
  <si>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</si>
  <si>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</si>
  <si>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</si>
  <si>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</si>
  <si>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</si>
  <si>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</si>
  <si>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</si>
  <si>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</si>
  <si>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</si>
  <si>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</si>
  <si>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</si>
  <si>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</si>
  <si>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</si>
  <si>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</si>
  <si>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</si>
  <si>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</si>
  <si>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</si>
  <si>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</si>
  <si>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</si>
  <si>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</si>
  <si>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</si>
  <si>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</si>
  <si>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</si>
  <si>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</si>
  <si>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</si>
  <si>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</si>
  <si>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</si>
  <si>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</si>
  <si>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</si>
  <si>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</si>
  <si>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</si>
  <si>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</si>
  <si>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</si>
  <si>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</si>
  <si>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</si>
  <si>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</si>
  <si>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</si>
  <si>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</si>
  <si>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</si>
  <si>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</si>
  <si>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</si>
  <si>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</si>
  <si>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</si>
  <si>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</si>
  <si>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</si>
  <si>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</si>
  <si>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</si>
  <si>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</si>
  <si>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</si>
  <si>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</si>
  <si>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</si>
  <si>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</si>
  <si>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</si>
  <si>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</si>
  <si>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</si>
  <si>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</si>
  <si>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</si>
  <si>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</si>
  <si>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</si>
  <si>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</si>
  <si>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</si>
  <si>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</si>
  <si>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</si>
  <si>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</si>
  <si>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</si>
  <si>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</si>
  <si>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</si>
  <si>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</si>
  <si>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</si>
  <si>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</si>
  <si>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</si>
  <si>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</si>
  <si>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</si>
  <si>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</si>
  <si>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</si>
  <si>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</si>
  <si>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</si>
  <si>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</si>
  <si>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</si>
  <si>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</si>
  <si>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</si>
  <si>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</si>
  <si>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</si>
  <si>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</si>
  <si>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</si>
  <si>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</si>
  <si>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</si>
  <si>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</si>
  <si>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</si>
  <si>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</si>
  <si>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</si>
  <si>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</si>
  <si>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</si>
  <si>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</si>
  <si>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</si>
  <si>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</si>
  <si>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</si>
  <si>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</si>
  <si>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</si>
  <si>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</si>
  <si>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</si>
  <si>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</si>
  <si>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</si>
  <si>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</si>
  <si>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</si>
  <si>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</si>
  <si>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</si>
  <si>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</si>
  <si>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</si>
  <si>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</si>
  <si>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</si>
  <si>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</si>
  <si>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</si>
  <si>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</si>
  <si>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</si>
  <si>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</si>
  <si>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</si>
  <si>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</si>
  <si>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</si>
  <si>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</si>
  <si>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</si>
  <si>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</si>
  <si>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WESTERN CONNECTICUT HEALTH NETWORK 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</si>
  <si>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</si>
  <si>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</si>
  <si>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</si>
  <si>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</si>
  <si>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</si>
  <si>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</si>
  <si>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</si>
  <si>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</si>
  <si>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</si>
  <si>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</si>
  <si>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</si>
  <si>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</si>
  <si>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</si>
  <si>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</si>
  <si>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</si>
  <si>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</si>
  <si>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</si>
  <si>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</si>
  <si>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</si>
  <si>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</si>
  <si>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</si>
  <si>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</si>
  <si>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</si>
  <si>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</si>
  <si>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</si>
  <si>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</si>
  <si>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</si>
  <si>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</si>
  <si>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</si>
  <si>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</si>
  <si>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</si>
  <si>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</si>
  <si>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</si>
  <si>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</si>
  <si>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</si>
  <si>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</si>
  <si>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</si>
  <si>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</si>
  <si>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</si>
  <si>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</si>
  <si>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</si>
  <si>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</si>
  <si>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</si>
  <si>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</si>
  <si>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</si>
  <si>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</si>
  <si>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</si>
  <si>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</si>
  <si>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</si>
  <si>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</si>
  <si>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</si>
  <si>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</si>
  <si>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</si>
  <si>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</si>
  <si>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</si>
  <si>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</si>
  <si>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</si>
  <si>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</si>
  <si>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</si>
  <si>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</si>
  <si>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</si>
  <si>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</si>
  <si>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</si>
  <si>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</si>
  <si>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</si>
  <si>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</si>
  <si>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</si>
  <si>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</si>
  <si>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</si>
  <si>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</si>
  <si>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</si>
  <si>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</si>
  <si>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</si>
  <si>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</si>
  <si>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</si>
  <si>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</si>
  <si>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</si>
  <si>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</si>
  <si>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</si>
  <si>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</si>
  <si>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</si>
  <si>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</si>
  <si>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</si>
  <si>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</si>
  <si>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</si>
  <si>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</si>
  <si>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</si>
  <si>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</si>
  <si>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</si>
  <si>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</si>
  <si>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</si>
  <si>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</si>
  <si>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</si>
  <si>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</si>
  <si>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</si>
  <si>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</si>
  <si>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</si>
  <si>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</si>
  <si>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</si>
  <si>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</si>
  <si>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</si>
  <si>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</si>
  <si>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</si>
  <si>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</si>
  <si>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</si>
  <si>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</si>
  <si>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</si>
  <si>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</si>
  <si>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</si>
  <si>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</si>
  <si>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</si>
  <si>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</si>
  <si>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</si>
  <si>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</si>
  <si>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</si>
  <si>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</si>
  <si>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</si>
  <si>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</si>
  <si>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</si>
  <si>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</si>
  <si>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</t>
  </si>
  <si>
    <t>Ridgefield Surgical Center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</si>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</sst>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58568767</v>
      </c>
      <c r="D13" s="22">
        <v>46609541</v>
      </c>
      <c r="E13" s="22">
        <f t="shared" ref="E13:E22" si="0">D13-C13</f>
        <v>-11959226</v>
      </c>
      <c r="F13" s="23">
        <f t="shared" ref="F13:F22" si="1">IF(C13=0,0,E13/C13)</f>
        <v>-0.20419118606338427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57504970</v>
      </c>
      <c r="D15" s="22">
        <v>63595267</v>
      </c>
      <c r="E15" s="22">
        <f t="shared" si="0"/>
        <v>6090297</v>
      </c>
      <c r="F15" s="23">
        <f t="shared" si="1"/>
        <v>0.1059090544695528</v>
      </c>
    </row>
    <row r="16" spans="1:8" ht="24" customHeight="1" x14ac:dyDescent="0.2">
      <c r="A16" s="20">
        <v>4</v>
      </c>
      <c r="B16" s="21" t="s">
        <v>19</v>
      </c>
      <c r="C16" s="22">
        <v>1189827</v>
      </c>
      <c r="D16" s="22">
        <v>1868637</v>
      </c>
      <c r="E16" s="22">
        <f t="shared" si="0"/>
        <v>678810</v>
      </c>
      <c r="F16" s="23">
        <f t="shared" si="1"/>
        <v>0.57051151133736244</v>
      </c>
    </row>
    <row r="17" spans="1:11" ht="24" customHeight="1" x14ac:dyDescent="0.2">
      <c r="A17" s="20">
        <v>5</v>
      </c>
      <c r="B17" s="21" t="s">
        <v>20</v>
      </c>
      <c r="C17" s="22">
        <v>7036124</v>
      </c>
      <c r="D17" s="22">
        <v>7540267</v>
      </c>
      <c r="E17" s="22">
        <f t="shared" si="0"/>
        <v>504143</v>
      </c>
      <c r="F17" s="23">
        <f t="shared" si="1"/>
        <v>7.1650670170110703E-2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9521995</v>
      </c>
      <c r="D19" s="22">
        <v>10027585</v>
      </c>
      <c r="E19" s="22">
        <f t="shared" si="0"/>
        <v>505590</v>
      </c>
      <c r="F19" s="23">
        <f t="shared" si="1"/>
        <v>5.3097066318560343E-2</v>
      </c>
    </row>
    <row r="20" spans="1:11" ht="24" customHeight="1" x14ac:dyDescent="0.2">
      <c r="A20" s="20">
        <v>8</v>
      </c>
      <c r="B20" s="21" t="s">
        <v>23</v>
      </c>
      <c r="C20" s="22">
        <v>8631701</v>
      </c>
      <c r="D20" s="22">
        <v>7591258</v>
      </c>
      <c r="E20" s="22">
        <f t="shared" si="0"/>
        <v>-1040443</v>
      </c>
      <c r="F20" s="23">
        <f t="shared" si="1"/>
        <v>-0.12053742362021112</v>
      </c>
    </row>
    <row r="21" spans="1:11" ht="24" customHeight="1" x14ac:dyDescent="0.2">
      <c r="A21" s="20">
        <v>9</v>
      </c>
      <c r="B21" s="21" t="s">
        <v>24</v>
      </c>
      <c r="C21" s="22">
        <v>0</v>
      </c>
      <c r="D21" s="22">
        <v>0</v>
      </c>
      <c r="E21" s="22">
        <f t="shared" si="0"/>
        <v>0</v>
      </c>
      <c r="F21" s="23">
        <f t="shared" si="1"/>
        <v>0</v>
      </c>
    </row>
    <row r="22" spans="1:11" ht="24" customHeight="1" x14ac:dyDescent="0.25">
      <c r="A22" s="24"/>
      <c r="B22" s="25" t="s">
        <v>25</v>
      </c>
      <c r="C22" s="26">
        <f>SUM(C13:C21)</f>
        <v>142453384</v>
      </c>
      <c r="D22" s="26">
        <f>SUM(D13:D21)</f>
        <v>137232555</v>
      </c>
      <c r="E22" s="26">
        <f t="shared" si="0"/>
        <v>-5220829</v>
      </c>
      <c r="F22" s="27">
        <f t="shared" si="1"/>
        <v>-3.6649385598309131E-2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199169615</v>
      </c>
      <c r="D28" s="22">
        <v>204451643</v>
      </c>
      <c r="E28" s="22">
        <f>D28-C28</f>
        <v>5282028</v>
      </c>
      <c r="F28" s="23">
        <f>IF(C28=0,0,E28/C28)</f>
        <v>2.6520250089352233E-2</v>
      </c>
    </row>
    <row r="29" spans="1:11" ht="24" customHeight="1" x14ac:dyDescent="0.25">
      <c r="A29" s="24"/>
      <c r="B29" s="25" t="s">
        <v>32</v>
      </c>
      <c r="C29" s="26">
        <f>SUM(C25:C28)</f>
        <v>199169615</v>
      </c>
      <c r="D29" s="26">
        <f>SUM(D25:D28)</f>
        <v>204451643</v>
      </c>
      <c r="E29" s="26">
        <f>D29-C29</f>
        <v>5282028</v>
      </c>
      <c r="F29" s="27">
        <f>IF(C29=0,0,E29/C29)</f>
        <v>2.6520250089352233E-2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184541053</v>
      </c>
      <c r="D33" s="22">
        <v>145366406</v>
      </c>
      <c r="E33" s="22">
        <f>D33-C33</f>
        <v>-39174647</v>
      </c>
      <c r="F33" s="23">
        <f>IF(C33=0,0,E33/C33)</f>
        <v>-0.21228147538531711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526021829</v>
      </c>
      <c r="D36" s="22">
        <v>690351518</v>
      </c>
      <c r="E36" s="22">
        <f>D36-C36</f>
        <v>164329689</v>
      </c>
      <c r="F36" s="23">
        <f>IF(C36=0,0,E36/C36)</f>
        <v>0.31240089277739841</v>
      </c>
    </row>
    <row r="37" spans="1:8" ht="24" customHeight="1" x14ac:dyDescent="0.2">
      <c r="A37" s="20">
        <v>2</v>
      </c>
      <c r="B37" s="21" t="s">
        <v>39</v>
      </c>
      <c r="C37" s="22">
        <v>328300919</v>
      </c>
      <c r="D37" s="22">
        <v>356467852</v>
      </c>
      <c r="E37" s="22">
        <f>D37-C37</f>
        <v>28166933</v>
      </c>
      <c r="F37" s="23">
        <f>IF(C37=0,0,E37/C37)</f>
        <v>8.5796083318304697E-2</v>
      </c>
    </row>
    <row r="38" spans="1:8" ht="24" customHeight="1" x14ac:dyDescent="0.25">
      <c r="A38" s="24"/>
      <c r="B38" s="25" t="s">
        <v>40</v>
      </c>
      <c r="C38" s="26">
        <f>C36-C37</f>
        <v>197720910</v>
      </c>
      <c r="D38" s="26">
        <f>D36-D37</f>
        <v>333883666</v>
      </c>
      <c r="E38" s="26">
        <f>D38-C38</f>
        <v>136162756</v>
      </c>
      <c r="F38" s="27">
        <f>IF(C38=0,0,E38/C38)</f>
        <v>0.68866138639560182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105866676</v>
      </c>
      <c r="D40" s="22">
        <v>17786049</v>
      </c>
      <c r="E40" s="22">
        <f>D40-C40</f>
        <v>-88080627</v>
      </c>
      <c r="F40" s="23">
        <f>IF(C40=0,0,E40/C40)</f>
        <v>-0.8319957736275766</v>
      </c>
    </row>
    <row r="41" spans="1:8" ht="24" customHeight="1" x14ac:dyDescent="0.25">
      <c r="A41" s="24"/>
      <c r="B41" s="25" t="s">
        <v>42</v>
      </c>
      <c r="C41" s="26">
        <f>+C38+C40</f>
        <v>303587586</v>
      </c>
      <c r="D41" s="26">
        <f>+D38+D40</f>
        <v>351669715</v>
      </c>
      <c r="E41" s="26">
        <f>D41-C41</f>
        <v>48082129</v>
      </c>
      <c r="F41" s="27">
        <f>IF(C41=0,0,E41/C41)</f>
        <v>0.15837975996818263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829751638</v>
      </c>
      <c r="D43" s="26">
        <f>D22+D29+D31+D32+D33+D41</f>
        <v>838720319</v>
      </c>
      <c r="E43" s="26">
        <f>D43-C43</f>
        <v>8968681</v>
      </c>
      <c r="F43" s="27">
        <f>IF(C43=0,0,E43/C43)</f>
        <v>1.0808874112761921E-2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33727097</v>
      </c>
      <c r="D49" s="22">
        <v>33072961</v>
      </c>
      <c r="E49" s="22">
        <f t="shared" ref="E49:E56" si="2">D49-C49</f>
        <v>-654136</v>
      </c>
      <c r="F49" s="23">
        <f t="shared" ref="F49:F56" si="3">IF(C49=0,0,E49/C49)</f>
        <v>-1.939496897702165E-2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28385032</v>
      </c>
      <c r="D50" s="22">
        <v>31635886</v>
      </c>
      <c r="E50" s="22">
        <f t="shared" si="2"/>
        <v>3250854</v>
      </c>
      <c r="F50" s="23">
        <f t="shared" si="3"/>
        <v>0.11452705073575398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8710030</v>
      </c>
      <c r="D51" s="22">
        <v>14656782</v>
      </c>
      <c r="E51" s="22">
        <f t="shared" si="2"/>
        <v>5946752</v>
      </c>
      <c r="F51" s="23">
        <f t="shared" si="3"/>
        <v>0.68274759099566817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2880000</v>
      </c>
      <c r="D53" s="22">
        <v>4925000</v>
      </c>
      <c r="E53" s="22">
        <f t="shared" si="2"/>
        <v>2045000</v>
      </c>
      <c r="F53" s="23">
        <f t="shared" si="3"/>
        <v>0.71006944444444442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4639931</v>
      </c>
      <c r="D55" s="22">
        <v>5005449</v>
      </c>
      <c r="E55" s="22">
        <f t="shared" si="2"/>
        <v>365518</v>
      </c>
      <c r="F55" s="23">
        <f t="shared" si="3"/>
        <v>7.8776602496890585E-2</v>
      </c>
    </row>
    <row r="56" spans="1:6" ht="24" customHeight="1" x14ac:dyDescent="0.25">
      <c r="A56" s="24"/>
      <c r="B56" s="25" t="s">
        <v>54</v>
      </c>
      <c r="C56" s="26">
        <f>SUM(C49:C55)</f>
        <v>78342090</v>
      </c>
      <c r="D56" s="26">
        <f>SUM(D49:D55)</f>
        <v>89296078</v>
      </c>
      <c r="E56" s="26">
        <f t="shared" si="2"/>
        <v>10953988</v>
      </c>
      <c r="F56" s="27">
        <f t="shared" si="3"/>
        <v>0.13982251430871961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246700000</v>
      </c>
      <c r="D60" s="22">
        <v>241775000</v>
      </c>
      <c r="E60" s="22">
        <f>D60-C60</f>
        <v>-4925000</v>
      </c>
      <c r="F60" s="23">
        <f>IF(C60=0,0,E60/C60)</f>
        <v>-1.9963518443453586E-2</v>
      </c>
    </row>
    <row r="61" spans="1:6" ht="24" customHeight="1" x14ac:dyDescent="0.25">
      <c r="A61" s="24"/>
      <c r="B61" s="25" t="s">
        <v>58</v>
      </c>
      <c r="C61" s="26">
        <f>SUM(C59:C60)</f>
        <v>246700000</v>
      </c>
      <c r="D61" s="26">
        <f>SUM(D59:D60)</f>
        <v>241775000</v>
      </c>
      <c r="E61" s="26">
        <f>D61-C61</f>
        <v>-4925000</v>
      </c>
      <c r="F61" s="27">
        <f>IF(C61=0,0,E61/C61)</f>
        <v>-1.9963518443453586E-2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0</v>
      </c>
      <c r="D63" s="22">
        <v>0</v>
      </c>
      <c r="E63" s="22">
        <f>D63-C63</f>
        <v>0</v>
      </c>
      <c r="F63" s="23">
        <f>IF(C63=0,0,E63/C63)</f>
        <v>0</v>
      </c>
    </row>
    <row r="64" spans="1:6" ht="24" customHeight="1" x14ac:dyDescent="0.2">
      <c r="A64" s="20">
        <v>4</v>
      </c>
      <c r="B64" s="21" t="s">
        <v>60</v>
      </c>
      <c r="C64" s="22">
        <v>18062437</v>
      </c>
      <c r="D64" s="22">
        <v>18355703</v>
      </c>
      <c r="E64" s="22">
        <f>D64-C64</f>
        <v>293266</v>
      </c>
      <c r="F64" s="23">
        <f>IF(C64=0,0,E64/C64)</f>
        <v>1.6236236560991189E-2</v>
      </c>
    </row>
    <row r="65" spans="1:6" ht="24" customHeight="1" x14ac:dyDescent="0.25">
      <c r="A65" s="24"/>
      <c r="B65" s="25" t="s">
        <v>61</v>
      </c>
      <c r="C65" s="26">
        <f>SUM(C61:C64)</f>
        <v>264762437</v>
      </c>
      <c r="D65" s="26">
        <f>SUM(D61:D64)</f>
        <v>260130703</v>
      </c>
      <c r="E65" s="26">
        <f>D65-C65</f>
        <v>-4631734</v>
      </c>
      <c r="F65" s="27">
        <f>IF(C65=0,0,E65/C65)</f>
        <v>-1.749392418532543E-2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400930008</v>
      </c>
      <c r="D70" s="22">
        <v>412096873</v>
      </c>
      <c r="E70" s="22">
        <f>D70-C70</f>
        <v>11166865</v>
      </c>
      <c r="F70" s="23">
        <f>IF(C70=0,0,E70/C70)</f>
        <v>2.7852405101091861E-2</v>
      </c>
    </row>
    <row r="71" spans="1:6" ht="24" customHeight="1" x14ac:dyDescent="0.2">
      <c r="A71" s="20">
        <v>2</v>
      </c>
      <c r="B71" s="21" t="s">
        <v>65</v>
      </c>
      <c r="C71" s="22">
        <v>56603735</v>
      </c>
      <c r="D71" s="22">
        <v>47726160</v>
      </c>
      <c r="E71" s="22">
        <f>D71-C71</f>
        <v>-8877575</v>
      </c>
      <c r="F71" s="23">
        <f>IF(C71=0,0,E71/C71)</f>
        <v>-0.15683726524406913</v>
      </c>
    </row>
    <row r="72" spans="1:6" ht="24" customHeight="1" x14ac:dyDescent="0.2">
      <c r="A72" s="20">
        <v>3</v>
      </c>
      <c r="B72" s="21" t="s">
        <v>66</v>
      </c>
      <c r="C72" s="22">
        <v>29113368</v>
      </c>
      <c r="D72" s="22">
        <v>29470505</v>
      </c>
      <c r="E72" s="22">
        <f>D72-C72</f>
        <v>357137</v>
      </c>
      <c r="F72" s="23">
        <f>IF(C72=0,0,E72/C72)</f>
        <v>1.2267113856424993E-2</v>
      </c>
    </row>
    <row r="73" spans="1:6" ht="24" customHeight="1" x14ac:dyDescent="0.25">
      <c r="A73" s="20"/>
      <c r="B73" s="25" t="s">
        <v>67</v>
      </c>
      <c r="C73" s="26">
        <f>SUM(C70:C72)</f>
        <v>486647111</v>
      </c>
      <c r="D73" s="26">
        <f>SUM(D70:D72)</f>
        <v>489293538</v>
      </c>
      <c r="E73" s="26">
        <f>D73-C73</f>
        <v>2646427</v>
      </c>
      <c r="F73" s="27">
        <f>IF(C73=0,0,E73/C73)</f>
        <v>5.4380822164173904E-3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829751638</v>
      </c>
      <c r="D75" s="26">
        <f>D56+D65+D67+D73</f>
        <v>838720319</v>
      </c>
      <c r="E75" s="26">
        <f>D75-C75</f>
        <v>8968681</v>
      </c>
      <c r="F75" s="27">
        <f>IF(C75=0,0,E75/C75)</f>
        <v>1.0808874112761921E-2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FILING&amp;RDANBURY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736921369</v>
      </c>
      <c r="D11" s="76">
        <v>693630862</v>
      </c>
      <c r="E11" s="76">
        <v>961369530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29907285</v>
      </c>
      <c r="D12" s="185">
        <v>18878200</v>
      </c>
      <c r="E12" s="185">
        <v>32255500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766828654</v>
      </c>
      <c r="D13" s="76">
        <f>+D11+D12</f>
        <v>712509062</v>
      </c>
      <c r="E13" s="76">
        <f>+E11+E12</f>
        <v>993625030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748965294</v>
      </c>
      <c r="D14" s="185">
        <v>689272450</v>
      </c>
      <c r="E14" s="185">
        <v>961175602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17863360</v>
      </c>
      <c r="D15" s="76">
        <f>+D13-D14</f>
        <v>23236612</v>
      </c>
      <c r="E15" s="76">
        <f>+E13-E14</f>
        <v>32449428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24649093</v>
      </c>
      <c r="D16" s="185">
        <v>10485983</v>
      </c>
      <c r="E16" s="185">
        <v>316766946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42512453</v>
      </c>
      <c r="D17" s="76">
        <f>D15+D16</f>
        <v>33722595</v>
      </c>
      <c r="E17" s="76">
        <f>E15+E16</f>
        <v>349216374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2.2569630122525733E-2</v>
      </c>
      <c r="D20" s="189">
        <f>IF(+D27=0,0,+D24/+D27)</f>
        <v>3.2139379323132156E-2</v>
      </c>
      <c r="E20" s="189">
        <f>IF(+E27=0,0,+E24/+E27)</f>
        <v>2.4763146138190334E-2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3.1143128272941828E-2</v>
      </c>
      <c r="D21" s="189">
        <f>IF(+D27=0,0,+D26/+D27)</f>
        <v>1.4503533699874803E-2</v>
      </c>
      <c r="E21" s="189">
        <f>IF(+E27=0,0,+E26/+E27)</f>
        <v>0.2417344976172229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5.3712758395467561E-2</v>
      </c>
      <c r="D22" s="189">
        <f>IF(+D27=0,0,+D28/+D27)</f>
        <v>4.6642913023006959E-2</v>
      </c>
      <c r="E22" s="189">
        <f>IF(+E27=0,0,+E28/+E27)</f>
        <v>0.26649764375541324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17863360</v>
      </c>
      <c r="D24" s="76">
        <f>+D15</f>
        <v>23236612</v>
      </c>
      <c r="E24" s="76">
        <f>+E15</f>
        <v>32449428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766828654</v>
      </c>
      <c r="D25" s="76">
        <f>+D13</f>
        <v>712509062</v>
      </c>
      <c r="E25" s="76">
        <f>+E13</f>
        <v>993625030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24649093</v>
      </c>
      <c r="D26" s="76">
        <f>+D16</f>
        <v>10485983</v>
      </c>
      <c r="E26" s="76">
        <f>+E16</f>
        <v>316766946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791477747</v>
      </c>
      <c r="D27" s="76">
        <f>SUM(D25:D26)</f>
        <v>722995045</v>
      </c>
      <c r="E27" s="76">
        <f>SUM(E25:E26)</f>
        <v>1310391976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42512453</v>
      </c>
      <c r="D28" s="76">
        <f>+D17</f>
        <v>33722595</v>
      </c>
      <c r="E28" s="76">
        <f>+E17</f>
        <v>349216374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277089185</v>
      </c>
      <c r="D31" s="76">
        <v>404480146</v>
      </c>
      <c r="E31" s="76">
        <v>661351254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343874581</v>
      </c>
      <c r="D32" s="76">
        <v>500199140</v>
      </c>
      <c r="E32" s="76">
        <v>797554121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-4529861</v>
      </c>
      <c r="D33" s="76">
        <f>+D32-C32</f>
        <v>156324559</v>
      </c>
      <c r="E33" s="76">
        <f>+E32-D32</f>
        <v>297354981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0.9869</v>
      </c>
      <c r="D34" s="193">
        <f>IF(C32=0,0,+D33/C32)</f>
        <v>0.45459759934974664</v>
      </c>
      <c r="E34" s="193">
        <f>IF(D32=0,0,+E33/D32)</f>
        <v>0.59447319521580944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2.2618085678223792</v>
      </c>
      <c r="D38" s="338">
        <f>IF(+D40=0,0,+D39/+D40)</f>
        <v>1.9447954398784246</v>
      </c>
      <c r="E38" s="338">
        <f>IF(+E40=0,0,+E39/+E40)</f>
        <v>1.6806729621222469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187490183</v>
      </c>
      <c r="D39" s="341">
        <v>194314003</v>
      </c>
      <c r="E39" s="341">
        <v>358412968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82893922</v>
      </c>
      <c r="D40" s="341">
        <v>99914880</v>
      </c>
      <c r="E40" s="341">
        <v>213255628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38.088847164066088</v>
      </c>
      <c r="D42" s="343">
        <f>IF((D48/365)=0,0,+D45/(D48/365))</f>
        <v>40.183943063103619</v>
      </c>
      <c r="E42" s="343">
        <f>IF((E48/365)=0,0,+E45/(E48/365))</f>
        <v>63.660324233648275</v>
      </c>
    </row>
    <row r="43" spans="1:14" ht="24" customHeight="1" x14ac:dyDescent="0.2">
      <c r="A43" s="339">
        <v>5</v>
      </c>
      <c r="B43" s="344" t="s">
        <v>16</v>
      </c>
      <c r="C43" s="345">
        <v>74083960</v>
      </c>
      <c r="D43" s="345">
        <v>71777507</v>
      </c>
      <c r="E43" s="345">
        <v>144314483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14004464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74083960</v>
      </c>
      <c r="D45" s="341">
        <f>+D43+D44</f>
        <v>71777507</v>
      </c>
      <c r="E45" s="341">
        <f>+E43+E44</f>
        <v>158318947</v>
      </c>
    </row>
    <row r="46" spans="1:14" ht="24" customHeight="1" x14ac:dyDescent="0.2">
      <c r="A46" s="339">
        <v>8</v>
      </c>
      <c r="B46" s="340" t="s">
        <v>334</v>
      </c>
      <c r="C46" s="341">
        <f>+C14</f>
        <v>748965294</v>
      </c>
      <c r="D46" s="341">
        <f>+D14</f>
        <v>689272450</v>
      </c>
      <c r="E46" s="341">
        <f>+E14</f>
        <v>961175602</v>
      </c>
    </row>
    <row r="47" spans="1:14" ht="24" customHeight="1" x14ac:dyDescent="0.2">
      <c r="A47" s="339">
        <v>9</v>
      </c>
      <c r="B47" s="340" t="s">
        <v>356</v>
      </c>
      <c r="C47" s="341">
        <v>39029252</v>
      </c>
      <c r="D47" s="341">
        <v>37300840</v>
      </c>
      <c r="E47" s="341">
        <v>53445138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709936042</v>
      </c>
      <c r="D48" s="341">
        <f>+D46-D47</f>
        <v>651971610</v>
      </c>
      <c r="E48" s="341">
        <f>+E46-E47</f>
        <v>907730464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33.186873883419715</v>
      </c>
      <c r="D50" s="350">
        <f>IF((D55/365)=0,0,+D54/(D55/365))</f>
        <v>34.507593752366802</v>
      </c>
      <c r="E50" s="350">
        <f>IF((E55/365)=0,0,+E54/(E55/365))</f>
        <v>28.474026236300624</v>
      </c>
    </row>
    <row r="51" spans="1:5" ht="24" customHeight="1" x14ac:dyDescent="0.2">
      <c r="A51" s="339">
        <v>12</v>
      </c>
      <c r="B51" s="344" t="s">
        <v>359</v>
      </c>
      <c r="C51" s="351">
        <v>79495132</v>
      </c>
      <c r="D51" s="351">
        <v>76374995</v>
      </c>
      <c r="E51" s="351">
        <v>128633349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12492073</v>
      </c>
      <c r="D53" s="341">
        <v>10798195</v>
      </c>
      <c r="E53" s="341">
        <v>53635921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67003059</v>
      </c>
      <c r="D54" s="352">
        <f>+D51+D52-D53</f>
        <v>65576800</v>
      </c>
      <c r="E54" s="352">
        <f>+E51+E52-E53</f>
        <v>74997428</v>
      </c>
    </row>
    <row r="55" spans="1:5" ht="24" customHeight="1" x14ac:dyDescent="0.2">
      <c r="A55" s="339">
        <v>16</v>
      </c>
      <c r="B55" s="340" t="s">
        <v>75</v>
      </c>
      <c r="C55" s="341">
        <f>+C11</f>
        <v>736921369</v>
      </c>
      <c r="D55" s="341">
        <f>+D11</f>
        <v>693630862</v>
      </c>
      <c r="E55" s="341">
        <f>+E11</f>
        <v>961369530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42.618320158479854</v>
      </c>
      <c r="D57" s="355">
        <f>IF((D61/365)=0,0,+D58/(D61/365))</f>
        <v>55.936379192952892</v>
      </c>
      <c r="E57" s="355">
        <f>IF((E61/365)=0,0,+E58/(E61/365))</f>
        <v>85.750459312556458</v>
      </c>
    </row>
    <row r="58" spans="1:5" ht="24" customHeight="1" x14ac:dyDescent="0.2">
      <c r="A58" s="339">
        <v>18</v>
      </c>
      <c r="B58" s="340" t="s">
        <v>54</v>
      </c>
      <c r="C58" s="353">
        <f>+C40</f>
        <v>82893922</v>
      </c>
      <c r="D58" s="353">
        <f>+D40</f>
        <v>99914880</v>
      </c>
      <c r="E58" s="353">
        <f>+E40</f>
        <v>213255628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748965294</v>
      </c>
      <c r="D59" s="353">
        <f t="shared" si="0"/>
        <v>689272450</v>
      </c>
      <c r="E59" s="353">
        <f t="shared" si="0"/>
        <v>961175602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39029252</v>
      </c>
      <c r="D60" s="356">
        <f t="shared" si="0"/>
        <v>37300840</v>
      </c>
      <c r="E60" s="356">
        <f t="shared" si="0"/>
        <v>53445138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709936042</v>
      </c>
      <c r="D61" s="353">
        <f>+D59-D60</f>
        <v>651971610</v>
      </c>
      <c r="E61" s="353">
        <f>+E59-E60</f>
        <v>907730464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37.706809960592174</v>
      </c>
      <c r="D65" s="357">
        <f>IF(D67=0,0,(D66/D67)*100)</f>
        <v>51.398754304348657</v>
      </c>
      <c r="E65" s="357">
        <f>IF(E67=0,0,(E66/E67)*100)</f>
        <v>48.925563433152533</v>
      </c>
    </row>
    <row r="66" spans="1:5" ht="24" customHeight="1" x14ac:dyDescent="0.2">
      <c r="A66" s="339">
        <v>2</v>
      </c>
      <c r="B66" s="340" t="s">
        <v>67</v>
      </c>
      <c r="C66" s="353">
        <f>+C32</f>
        <v>343874581</v>
      </c>
      <c r="D66" s="353">
        <f>+D32</f>
        <v>500199140</v>
      </c>
      <c r="E66" s="353">
        <f>+E32</f>
        <v>797554121</v>
      </c>
    </row>
    <row r="67" spans="1:5" ht="24" customHeight="1" x14ac:dyDescent="0.2">
      <c r="A67" s="339">
        <v>3</v>
      </c>
      <c r="B67" s="340" t="s">
        <v>43</v>
      </c>
      <c r="C67" s="353">
        <v>911969433</v>
      </c>
      <c r="D67" s="353">
        <v>973173663</v>
      </c>
      <c r="E67" s="353">
        <v>1630137836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24.451189107920499</v>
      </c>
      <c r="D69" s="357">
        <f>IF(D75=0,0,(D72/D75)*100)</f>
        <v>20.490590305874925</v>
      </c>
      <c r="E69" s="357">
        <f>IF(E75=0,0,(E72/E75)*100)</f>
        <v>69.787529608373944</v>
      </c>
    </row>
    <row r="70" spans="1:5" ht="24" customHeight="1" x14ac:dyDescent="0.2">
      <c r="A70" s="339">
        <v>5</v>
      </c>
      <c r="B70" s="340" t="s">
        <v>366</v>
      </c>
      <c r="C70" s="353">
        <f>+C28</f>
        <v>42512453</v>
      </c>
      <c r="D70" s="353">
        <f>+D28</f>
        <v>33722595</v>
      </c>
      <c r="E70" s="353">
        <f>+E28</f>
        <v>349216374</v>
      </c>
    </row>
    <row r="71" spans="1:5" ht="24" customHeight="1" x14ac:dyDescent="0.2">
      <c r="A71" s="339">
        <v>6</v>
      </c>
      <c r="B71" s="340" t="s">
        <v>356</v>
      </c>
      <c r="C71" s="356">
        <f>+C47</f>
        <v>39029252</v>
      </c>
      <c r="D71" s="356">
        <f>+D47</f>
        <v>37300840</v>
      </c>
      <c r="E71" s="356">
        <f>+E47</f>
        <v>53445138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81541705</v>
      </c>
      <c r="D72" s="353">
        <f>+D70+D71</f>
        <v>71023435</v>
      </c>
      <c r="E72" s="353">
        <f>+E70+E71</f>
        <v>402661512</v>
      </c>
    </row>
    <row r="73" spans="1:5" ht="24" customHeight="1" x14ac:dyDescent="0.2">
      <c r="A73" s="339">
        <v>8</v>
      </c>
      <c r="B73" s="340" t="s">
        <v>54</v>
      </c>
      <c r="C73" s="341">
        <f>+C40</f>
        <v>82893922</v>
      </c>
      <c r="D73" s="341">
        <f>+D40</f>
        <v>99914880</v>
      </c>
      <c r="E73" s="341">
        <f>+E40</f>
        <v>213255628</v>
      </c>
    </row>
    <row r="74" spans="1:5" ht="24" customHeight="1" x14ac:dyDescent="0.2">
      <c r="A74" s="339">
        <v>9</v>
      </c>
      <c r="B74" s="340" t="s">
        <v>58</v>
      </c>
      <c r="C74" s="353">
        <v>250593765</v>
      </c>
      <c r="D74" s="353">
        <v>246700000</v>
      </c>
      <c r="E74" s="353">
        <v>363726412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333487687</v>
      </c>
      <c r="D75" s="341">
        <f>+D73+D74</f>
        <v>346614880</v>
      </c>
      <c r="E75" s="341">
        <f>+E73+E74</f>
        <v>576982040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42.154265519126568</v>
      </c>
      <c r="D77" s="359">
        <f>IF(D80=0,0,(D78/D80)*100)</f>
        <v>33.029894772673053</v>
      </c>
      <c r="E77" s="359">
        <f>IF(E80=0,0,(E78/E80)*100)</f>
        <v>31.321149512458074</v>
      </c>
    </row>
    <row r="78" spans="1:5" ht="24" customHeight="1" x14ac:dyDescent="0.2">
      <c r="A78" s="339">
        <v>12</v>
      </c>
      <c r="B78" s="340" t="s">
        <v>58</v>
      </c>
      <c r="C78" s="341">
        <f>+C74</f>
        <v>250593765</v>
      </c>
      <c r="D78" s="341">
        <f>+D74</f>
        <v>246700000</v>
      </c>
      <c r="E78" s="341">
        <f>+E74</f>
        <v>363726412</v>
      </c>
    </row>
    <row r="79" spans="1:5" ht="24" customHeight="1" x14ac:dyDescent="0.2">
      <c r="A79" s="339">
        <v>13</v>
      </c>
      <c r="B79" s="340" t="s">
        <v>67</v>
      </c>
      <c r="C79" s="341">
        <f>+C32</f>
        <v>343874581</v>
      </c>
      <c r="D79" s="341">
        <f>+D32</f>
        <v>500199140</v>
      </c>
      <c r="E79" s="341">
        <f>+E32</f>
        <v>797554121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594468346</v>
      </c>
      <c r="D80" s="341">
        <f>+D78+D79</f>
        <v>746899140</v>
      </c>
      <c r="E80" s="341">
        <f>+E78+E79</f>
        <v>1161280533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FILING&amp;R&amp;8WESTERN CONNECTICUT HEALTH NETWORK 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63208</v>
      </c>
      <c r="D11" s="376">
        <v>13024</v>
      </c>
      <c r="E11" s="376">
        <v>13274</v>
      </c>
      <c r="F11" s="377">
        <v>185</v>
      </c>
      <c r="G11" s="377">
        <v>227</v>
      </c>
      <c r="H11" s="378">
        <f>IF(F11=0,0,$C11/(F11*365))</f>
        <v>0.93606812291743802</v>
      </c>
      <c r="I11" s="378">
        <f>IF(G11=0,0,$C11/(G11*365))</f>
        <v>0.76287490193711904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4779</v>
      </c>
      <c r="D13" s="376">
        <v>187</v>
      </c>
      <c r="E13" s="376">
        <v>0</v>
      </c>
      <c r="F13" s="377">
        <v>14</v>
      </c>
      <c r="G13" s="377">
        <v>30</v>
      </c>
      <c r="H13" s="378">
        <f>IF(F13=0,0,$C13/(F13*365))</f>
        <v>0.93522504892367908</v>
      </c>
      <c r="I13" s="378">
        <f>IF(G13=0,0,$C13/(G13*365))</f>
        <v>0.43643835616438353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6</v>
      </c>
      <c r="D15" s="376">
        <v>1</v>
      </c>
      <c r="E15" s="376">
        <v>1</v>
      </c>
      <c r="F15" s="377">
        <v>1</v>
      </c>
      <c r="G15" s="377">
        <v>1</v>
      </c>
      <c r="H15" s="378">
        <f t="shared" ref="H15:I17" si="0">IF(F15=0,0,$C15/(F15*365))</f>
        <v>1.643835616438356E-2</v>
      </c>
      <c r="I15" s="378">
        <f t="shared" si="0"/>
        <v>1.643835616438356E-2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6127</v>
      </c>
      <c r="D16" s="376">
        <v>629</v>
      </c>
      <c r="E16" s="376">
        <v>633</v>
      </c>
      <c r="F16" s="377">
        <v>17</v>
      </c>
      <c r="G16" s="377">
        <v>22</v>
      </c>
      <c r="H16" s="378">
        <f t="shared" si="0"/>
        <v>0.9874294923448832</v>
      </c>
      <c r="I16" s="378">
        <f t="shared" si="0"/>
        <v>0.76301369863013702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6133</v>
      </c>
      <c r="D17" s="381">
        <f>SUM(D15:D16)</f>
        <v>630</v>
      </c>
      <c r="E17" s="381">
        <f>SUM(E15:E16)</f>
        <v>634</v>
      </c>
      <c r="F17" s="381">
        <f>SUM(F15:F16)</f>
        <v>18</v>
      </c>
      <c r="G17" s="381">
        <f>SUM(G15:G16)</f>
        <v>23</v>
      </c>
      <c r="H17" s="382">
        <f t="shared" si="0"/>
        <v>0.93348554033485542</v>
      </c>
      <c r="I17" s="382">
        <f t="shared" si="0"/>
        <v>0.73055390113162599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4061</v>
      </c>
      <c r="D19" s="376">
        <v>283</v>
      </c>
      <c r="E19" s="376">
        <v>284</v>
      </c>
      <c r="F19" s="377">
        <v>12</v>
      </c>
      <c r="G19" s="377">
        <v>14</v>
      </c>
      <c r="H19" s="378">
        <f>IF(F19=0,0,$C19/(F19*365))</f>
        <v>0.92716894977168951</v>
      </c>
      <c r="I19" s="378">
        <f>IF(G19=0,0,$C19/(G19*365))</f>
        <v>0.79471624266144814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5853</v>
      </c>
      <c r="D21" s="376">
        <v>2057</v>
      </c>
      <c r="E21" s="376">
        <v>2065</v>
      </c>
      <c r="F21" s="377">
        <v>18</v>
      </c>
      <c r="G21" s="377">
        <v>32</v>
      </c>
      <c r="H21" s="378">
        <f>IF(F21=0,0,$C21/(F21*365))</f>
        <v>0.89086757990867582</v>
      </c>
      <c r="I21" s="378">
        <f>IF(G21=0,0,$C21/(G21*365))</f>
        <v>0.50111301369863015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4257</v>
      </c>
      <c r="D23" s="376">
        <v>1811</v>
      </c>
      <c r="E23" s="376">
        <v>1819</v>
      </c>
      <c r="F23" s="377">
        <v>12</v>
      </c>
      <c r="G23" s="377">
        <v>26</v>
      </c>
      <c r="H23" s="378">
        <f>IF(F23=0,0,$C23/(F23*365))</f>
        <v>0.97191780821917806</v>
      </c>
      <c r="I23" s="378">
        <f>IF(G23=0,0,$C23/(G23*365))</f>
        <v>0.44857744994731297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3453</v>
      </c>
      <c r="D25" s="376">
        <v>237</v>
      </c>
      <c r="E25" s="376">
        <v>0</v>
      </c>
      <c r="F25" s="377">
        <v>12</v>
      </c>
      <c r="G25" s="377">
        <v>15</v>
      </c>
      <c r="H25" s="378">
        <f>IF(F25=0,0,$C25/(F25*365))</f>
        <v>0.7883561643835616</v>
      </c>
      <c r="I25" s="378">
        <f>IF(G25=0,0,$C25/(G25*365))</f>
        <v>0.63068493150684934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425</v>
      </c>
      <c r="D27" s="376">
        <v>248</v>
      </c>
      <c r="E27" s="376">
        <v>249</v>
      </c>
      <c r="F27" s="377">
        <v>2</v>
      </c>
      <c r="G27" s="377">
        <v>4</v>
      </c>
      <c r="H27" s="378">
        <f>IF(F27=0,0,$C27/(F27*365))</f>
        <v>0.5821917808219178</v>
      </c>
      <c r="I27" s="378">
        <f>IF(G27=0,0,$C27/(G27*365))</f>
        <v>0.2910958904109589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87912</v>
      </c>
      <c r="D31" s="384">
        <f>SUM(D10:D29)-D13-D17-D23</f>
        <v>16479</v>
      </c>
      <c r="E31" s="384">
        <f>SUM(E10:E29)-E17-E23</f>
        <v>16506</v>
      </c>
      <c r="F31" s="384">
        <f>SUM(F10:F29)-F17-F23</f>
        <v>261</v>
      </c>
      <c r="G31" s="384">
        <f>SUM(G10:G29)-G17-G23</f>
        <v>345</v>
      </c>
      <c r="H31" s="385">
        <f>IF(F31=0,0,$C31/(F31*365))</f>
        <v>0.92281530467642892</v>
      </c>
      <c r="I31" s="385">
        <f>IF(G31=0,0,$C31/(G31*365))</f>
        <v>0.69812983918999405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92169</v>
      </c>
      <c r="D33" s="384">
        <f>SUM(D10:D29)-D13-D17</f>
        <v>18290</v>
      </c>
      <c r="E33" s="384">
        <f>SUM(E10:E29)-E17</f>
        <v>18325</v>
      </c>
      <c r="F33" s="384">
        <f>SUM(F10:F29)-F17</f>
        <v>273</v>
      </c>
      <c r="G33" s="384">
        <f>SUM(G10:G29)-G17</f>
        <v>371</v>
      </c>
      <c r="H33" s="385">
        <f>IF(F33=0,0,$C33/(F33*365))</f>
        <v>0.92497365648050578</v>
      </c>
      <c r="I33" s="385">
        <f>IF(G33=0,0,$C33/(G33*365))</f>
        <v>0.68064099250452315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92169</v>
      </c>
      <c r="D36" s="384">
        <f t="shared" si="1"/>
        <v>18290</v>
      </c>
      <c r="E36" s="384">
        <f t="shared" si="1"/>
        <v>18325</v>
      </c>
      <c r="F36" s="384">
        <f t="shared" si="1"/>
        <v>273</v>
      </c>
      <c r="G36" s="384">
        <f t="shared" si="1"/>
        <v>371</v>
      </c>
      <c r="H36" s="387">
        <f t="shared" si="1"/>
        <v>0.92497365648050578</v>
      </c>
      <c r="I36" s="387">
        <f t="shared" si="1"/>
        <v>0.68064099250452315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91003</v>
      </c>
      <c r="D37" s="384">
        <v>18562</v>
      </c>
      <c r="E37" s="384">
        <v>18600</v>
      </c>
      <c r="F37" s="386">
        <v>267</v>
      </c>
      <c r="G37" s="386">
        <v>371</v>
      </c>
      <c r="H37" s="385">
        <f>IF(F37=0,0,$C37/(F37*365))</f>
        <v>0.93379508491098451</v>
      </c>
      <c r="I37" s="385">
        <f>IF(G37=0,0,$C37/(G37*365))</f>
        <v>0.672030424989846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1166</v>
      </c>
      <c r="D38" s="384">
        <f t="shared" si="2"/>
        <v>-272</v>
      </c>
      <c r="E38" s="384">
        <f t="shared" si="2"/>
        <v>-275</v>
      </c>
      <c r="F38" s="384">
        <f t="shared" si="2"/>
        <v>6</v>
      </c>
      <c r="G38" s="384">
        <f t="shared" si="2"/>
        <v>0</v>
      </c>
      <c r="H38" s="387">
        <f t="shared" si="2"/>
        <v>-8.8214284304787283E-3</v>
      </c>
      <c r="I38" s="387">
        <f t="shared" si="2"/>
        <v>8.6105675146771476E-3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1.2812764414359966E-2</v>
      </c>
      <c r="D40" s="389">
        <f t="shared" si="3"/>
        <v>-1.4653593362784182E-2</v>
      </c>
      <c r="E40" s="389">
        <f t="shared" si="3"/>
        <v>-1.4784946236559141E-2</v>
      </c>
      <c r="F40" s="389">
        <f t="shared" si="3"/>
        <v>2.247191011235955E-2</v>
      </c>
      <c r="G40" s="389">
        <f t="shared" si="3"/>
        <v>0</v>
      </c>
      <c r="H40" s="389">
        <f t="shared" si="3"/>
        <v>-9.4468567815599973E-3</v>
      </c>
      <c r="I40" s="389">
        <f t="shared" si="3"/>
        <v>1.2812764414360031E-2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371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FILING&amp;RDANBURY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10214</v>
      </c>
      <c r="D12" s="409">
        <v>10177</v>
      </c>
      <c r="E12" s="409">
        <f>+D12-C12</f>
        <v>-37</v>
      </c>
      <c r="F12" s="410">
        <f>IF(C12=0,0,+E12/C12)</f>
        <v>-3.6224789504601526E-3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13537</v>
      </c>
      <c r="D13" s="409">
        <v>13681</v>
      </c>
      <c r="E13" s="409">
        <f>+D13-C13</f>
        <v>144</v>
      </c>
      <c r="F13" s="410">
        <f>IF(C13=0,0,+E13/C13)</f>
        <v>1.0637512004136811E-2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10628</v>
      </c>
      <c r="D14" s="409">
        <v>11169</v>
      </c>
      <c r="E14" s="409">
        <f>+D14-C14</f>
        <v>541</v>
      </c>
      <c r="F14" s="410">
        <f>IF(C14=0,0,+E14/C14)</f>
        <v>5.090327436958976E-2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5405</v>
      </c>
      <c r="D15" s="409">
        <v>5656</v>
      </c>
      <c r="E15" s="409">
        <f>+D15-C15</f>
        <v>251</v>
      </c>
      <c r="F15" s="410">
        <f>IF(C15=0,0,+E15/C15)</f>
        <v>4.6438482886216464E-2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39784</v>
      </c>
      <c r="D16" s="401">
        <f>SUM(D12:D15)</f>
        <v>40683</v>
      </c>
      <c r="E16" s="401">
        <f>+D16-C16</f>
        <v>899</v>
      </c>
      <c r="F16" s="402">
        <f>IF(C16=0,0,+E16/C16)</f>
        <v>2.2597023929217776E-2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1193</v>
      </c>
      <c r="D19" s="409">
        <v>1294</v>
      </c>
      <c r="E19" s="409">
        <f>+D19-C19</f>
        <v>101</v>
      </c>
      <c r="F19" s="410">
        <f>IF(C19=0,0,+E19/C19)</f>
        <v>8.4660519698239733E-2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6900</v>
      </c>
      <c r="D20" s="409">
        <v>6838</v>
      </c>
      <c r="E20" s="409">
        <f>+D20-C20</f>
        <v>-62</v>
      </c>
      <c r="F20" s="410">
        <f>IF(C20=0,0,+E20/C20)</f>
        <v>-8.9855072463768115E-3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209</v>
      </c>
      <c r="D21" s="409">
        <v>215</v>
      </c>
      <c r="E21" s="409">
        <f>+D21-C21</f>
        <v>6</v>
      </c>
      <c r="F21" s="410">
        <f>IF(C21=0,0,+E21/C21)</f>
        <v>2.8708133971291867E-2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5990</v>
      </c>
      <c r="D22" s="409">
        <v>5929</v>
      </c>
      <c r="E22" s="409">
        <f>+D22-C22</f>
        <v>-61</v>
      </c>
      <c r="F22" s="410">
        <f>IF(C22=0,0,+E22/C22)</f>
        <v>-1.018363939899833E-2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14292</v>
      </c>
      <c r="D23" s="401">
        <f>SUM(D19:D22)</f>
        <v>14276</v>
      </c>
      <c r="E23" s="401">
        <f>+D23-C23</f>
        <v>-16</v>
      </c>
      <c r="F23" s="402">
        <f>IF(C23=0,0,+E23/C23)</f>
        <v>-1.1195074167366359E-3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2</v>
      </c>
      <c r="D26" s="409">
        <v>1</v>
      </c>
      <c r="E26" s="409">
        <f>+D26-C26</f>
        <v>-1</v>
      </c>
      <c r="F26" s="410">
        <f>IF(C26=0,0,+E26/C26)</f>
        <v>-0.5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258</v>
      </c>
      <c r="D27" s="409">
        <v>275</v>
      </c>
      <c r="E27" s="409">
        <f>+D27-C27</f>
        <v>17</v>
      </c>
      <c r="F27" s="410">
        <f>IF(C27=0,0,+E27/C27)</f>
        <v>6.589147286821706E-2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260</v>
      </c>
      <c r="D30" s="401">
        <f>SUM(D26:D29)</f>
        <v>276</v>
      </c>
      <c r="E30" s="401">
        <f>+D30-C30</f>
        <v>16</v>
      </c>
      <c r="F30" s="402">
        <f>IF(C30=0,0,+E30/C30)</f>
        <v>6.1538461538461542E-2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9</v>
      </c>
      <c r="D33" s="409">
        <v>6</v>
      </c>
      <c r="E33" s="409">
        <f>+D33-C33</f>
        <v>-3</v>
      </c>
      <c r="F33" s="410">
        <f>IF(C33=0,0,+E33/C33)</f>
        <v>-0.33333333333333331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767</v>
      </c>
      <c r="D34" s="409">
        <v>680</v>
      </c>
      <c r="E34" s="409">
        <f>+D34-C34</f>
        <v>-87</v>
      </c>
      <c r="F34" s="410">
        <f>IF(C34=0,0,+E34/C34)</f>
        <v>-0.11342894393741851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776</v>
      </c>
      <c r="D37" s="401">
        <f>SUM(D33:D36)</f>
        <v>686</v>
      </c>
      <c r="E37" s="401">
        <f>+D37-C37</f>
        <v>-90</v>
      </c>
      <c r="F37" s="402">
        <f>IF(C37=0,0,+E37/C37)</f>
        <v>-0.11597938144329897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465</v>
      </c>
      <c r="D43" s="409">
        <v>333</v>
      </c>
      <c r="E43" s="409">
        <f>+D43-C43</f>
        <v>-132</v>
      </c>
      <c r="F43" s="410">
        <f>IF(C43=0,0,+E43/C43)</f>
        <v>-0.28387096774193549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10260</v>
      </c>
      <c r="D44" s="409">
        <v>9606</v>
      </c>
      <c r="E44" s="409">
        <f>+D44-C44</f>
        <v>-654</v>
      </c>
      <c r="F44" s="410">
        <f>IF(C44=0,0,+E44/C44)</f>
        <v>-6.3742690058479531E-2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10725</v>
      </c>
      <c r="D45" s="401">
        <f>SUM(D43:D44)</f>
        <v>9939</v>
      </c>
      <c r="E45" s="401">
        <f>+D45-C45</f>
        <v>-786</v>
      </c>
      <c r="F45" s="402">
        <f>IF(C45=0,0,+E45/C45)</f>
        <v>-7.3286713286713281E-2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814</v>
      </c>
      <c r="D48" s="409">
        <v>849</v>
      </c>
      <c r="E48" s="409">
        <f>+D48-C48</f>
        <v>35</v>
      </c>
      <c r="F48" s="410">
        <f>IF(C48=0,0,+E48/C48)</f>
        <v>4.2997542997542999E-2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876</v>
      </c>
      <c r="D49" s="409">
        <v>818</v>
      </c>
      <c r="E49" s="409">
        <f>+D49-C49</f>
        <v>-58</v>
      </c>
      <c r="F49" s="410">
        <f>IF(C49=0,0,+E49/C49)</f>
        <v>-6.6210045662100453E-2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1690</v>
      </c>
      <c r="D50" s="401">
        <f>SUM(D48:D49)</f>
        <v>1667</v>
      </c>
      <c r="E50" s="401">
        <f>+D50-C50</f>
        <v>-23</v>
      </c>
      <c r="F50" s="402">
        <f>IF(C50=0,0,+E50/C50)</f>
        <v>-1.3609467455621301E-2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98</v>
      </c>
      <c r="D53" s="409">
        <v>97</v>
      </c>
      <c r="E53" s="409">
        <f>+D53-C53</f>
        <v>-1</v>
      </c>
      <c r="F53" s="410">
        <f>IF(C53=0,0,+E53/C53)</f>
        <v>-1.020408163265306E-2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304</v>
      </c>
      <c r="D54" s="409">
        <v>280</v>
      </c>
      <c r="E54" s="409">
        <f>+D54-C54</f>
        <v>-24</v>
      </c>
      <c r="F54" s="410">
        <f>IF(C54=0,0,+E54/C54)</f>
        <v>-7.8947368421052627E-2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402</v>
      </c>
      <c r="D55" s="401">
        <f>SUM(D53:D54)</f>
        <v>377</v>
      </c>
      <c r="E55" s="401">
        <f>+D55-C55</f>
        <v>-25</v>
      </c>
      <c r="F55" s="402">
        <f>IF(C55=0,0,+E55/C55)</f>
        <v>-6.2189054726368161E-2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31</v>
      </c>
      <c r="D58" s="409">
        <v>42</v>
      </c>
      <c r="E58" s="409">
        <f>+D58-C58</f>
        <v>11</v>
      </c>
      <c r="F58" s="410">
        <f>IF(C58=0,0,+E58/C58)</f>
        <v>0.35483870967741937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128</v>
      </c>
      <c r="D59" s="409">
        <v>128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159</v>
      </c>
      <c r="D60" s="401">
        <f>SUM(D58:D59)</f>
        <v>170</v>
      </c>
      <c r="E60" s="401">
        <f>SUM(E58:E59)</f>
        <v>11</v>
      </c>
      <c r="F60" s="402">
        <f>IF(C60=0,0,+E60/C60)</f>
        <v>6.9182389937106917E-2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3875</v>
      </c>
      <c r="D63" s="409">
        <v>3886</v>
      </c>
      <c r="E63" s="409">
        <f>+D63-C63</f>
        <v>11</v>
      </c>
      <c r="F63" s="410">
        <f>IF(C63=0,0,+E63/C63)</f>
        <v>2.838709677419355E-3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10586</v>
      </c>
      <c r="D64" s="409">
        <v>9982</v>
      </c>
      <c r="E64" s="409">
        <f>+D64-C64</f>
        <v>-604</v>
      </c>
      <c r="F64" s="410">
        <f>IF(C64=0,0,+E64/C64)</f>
        <v>-5.7056489703381827E-2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14461</v>
      </c>
      <c r="D65" s="401">
        <f>SUM(D63:D64)</f>
        <v>13868</v>
      </c>
      <c r="E65" s="401">
        <f>+D65-C65</f>
        <v>-593</v>
      </c>
      <c r="F65" s="402">
        <f>IF(C65=0,0,+E65/C65)</f>
        <v>-4.1006845999585088E-2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797</v>
      </c>
      <c r="D68" s="409">
        <v>792</v>
      </c>
      <c r="E68" s="409">
        <f>+D68-C68</f>
        <v>-5</v>
      </c>
      <c r="F68" s="410">
        <f>IF(C68=0,0,+E68/C68)</f>
        <v>-6.2735257214554582E-3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10753</v>
      </c>
      <c r="D69" s="409">
        <v>11218</v>
      </c>
      <c r="E69" s="409">
        <f>+D69-C69</f>
        <v>465</v>
      </c>
      <c r="F69" s="412">
        <f>IF(C69=0,0,+E69/C69)</f>
        <v>4.324374593136799E-2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11550</v>
      </c>
      <c r="D70" s="401">
        <f>SUM(D68:D69)</f>
        <v>12010</v>
      </c>
      <c r="E70" s="401">
        <f>+D70-C70</f>
        <v>460</v>
      </c>
      <c r="F70" s="402">
        <f>IF(C70=0,0,+E70/C70)</f>
        <v>3.9826839826839829E-2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11548</v>
      </c>
      <c r="D73" s="376">
        <v>11281</v>
      </c>
      <c r="E73" s="409">
        <f>+D73-C73</f>
        <v>-267</v>
      </c>
      <c r="F73" s="410">
        <f>IF(C73=0,0,+E73/C73)</f>
        <v>-2.3120886733633529E-2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58017</v>
      </c>
      <c r="D74" s="376">
        <v>54777</v>
      </c>
      <c r="E74" s="409">
        <f>+D74-C74</f>
        <v>-3240</v>
      </c>
      <c r="F74" s="410">
        <f>IF(C74=0,0,+E74/C74)</f>
        <v>-5.5845700398159163E-2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69565</v>
      </c>
      <c r="D75" s="401">
        <f>SUM(D73:D74)</f>
        <v>66058</v>
      </c>
      <c r="E75" s="401">
        <f>SUM(E73:E74)</f>
        <v>-3507</v>
      </c>
      <c r="F75" s="402">
        <f>IF(C75=0,0,+E75/C75)</f>
        <v>-5.0413282541507939E-2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12722</v>
      </c>
      <c r="D80" s="376">
        <v>13477</v>
      </c>
      <c r="E80" s="409">
        <f t="shared" si="0"/>
        <v>755</v>
      </c>
      <c r="F80" s="410">
        <f t="shared" si="1"/>
        <v>5.93460147775507E-2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20574</v>
      </c>
      <c r="D81" s="376">
        <v>17745</v>
      </c>
      <c r="E81" s="409">
        <f t="shared" si="0"/>
        <v>-2829</v>
      </c>
      <c r="F81" s="410">
        <f t="shared" si="1"/>
        <v>-0.13750364537766113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9906</v>
      </c>
      <c r="D83" s="376">
        <v>8144</v>
      </c>
      <c r="E83" s="409">
        <f t="shared" si="0"/>
        <v>-1762</v>
      </c>
      <c r="F83" s="410">
        <f t="shared" si="1"/>
        <v>-0.17787199676963455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405</v>
      </c>
      <c r="D84" s="376">
        <v>313</v>
      </c>
      <c r="E84" s="409">
        <f t="shared" si="0"/>
        <v>-92</v>
      </c>
      <c r="F84" s="410">
        <f t="shared" si="1"/>
        <v>-0.2271604938271605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1308</v>
      </c>
      <c r="D85" s="376">
        <v>1470</v>
      </c>
      <c r="E85" s="409">
        <f t="shared" si="0"/>
        <v>162</v>
      </c>
      <c r="F85" s="410">
        <f t="shared" si="1"/>
        <v>0.12385321100917432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38813</v>
      </c>
      <c r="D86" s="376">
        <v>40093</v>
      </c>
      <c r="E86" s="409">
        <f t="shared" si="0"/>
        <v>1280</v>
      </c>
      <c r="F86" s="410">
        <f t="shared" si="1"/>
        <v>3.2978641176925255E-2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1290</v>
      </c>
      <c r="D88" s="376">
        <v>1352</v>
      </c>
      <c r="E88" s="409">
        <f t="shared" si="0"/>
        <v>62</v>
      </c>
      <c r="F88" s="410">
        <f t="shared" si="1"/>
        <v>4.8062015503875968E-2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964</v>
      </c>
      <c r="D89" s="376">
        <v>856</v>
      </c>
      <c r="E89" s="409">
        <f t="shared" si="0"/>
        <v>-108</v>
      </c>
      <c r="F89" s="410">
        <f t="shared" si="1"/>
        <v>-0.11203319502074689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8166</v>
      </c>
      <c r="D90" s="376">
        <v>7810</v>
      </c>
      <c r="E90" s="409">
        <f t="shared" si="0"/>
        <v>-356</v>
      </c>
      <c r="F90" s="410">
        <f t="shared" si="1"/>
        <v>-4.3595395542493268E-2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5386</v>
      </c>
      <c r="D91" s="376">
        <v>6115</v>
      </c>
      <c r="E91" s="409">
        <f t="shared" si="0"/>
        <v>729</v>
      </c>
      <c r="F91" s="410">
        <f t="shared" si="1"/>
        <v>0.13535090976606015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99534</v>
      </c>
      <c r="D92" s="381">
        <f>SUM(D79:D91)</f>
        <v>97375</v>
      </c>
      <c r="E92" s="401">
        <f t="shared" si="0"/>
        <v>-2159</v>
      </c>
      <c r="F92" s="402">
        <f t="shared" si="1"/>
        <v>-2.1691080434826291E-2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42782</v>
      </c>
      <c r="D95" s="414">
        <v>43560</v>
      </c>
      <c r="E95" s="415">
        <f t="shared" ref="E95:E100" si="2">+D95-C95</f>
        <v>778</v>
      </c>
      <c r="F95" s="412">
        <f t="shared" ref="F95:F100" si="3">IF(C95=0,0,+E95/C95)</f>
        <v>1.8185218082371092E-2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6301</v>
      </c>
      <c r="D96" s="414">
        <v>6124</v>
      </c>
      <c r="E96" s="409">
        <f t="shared" si="2"/>
        <v>-177</v>
      </c>
      <c r="F96" s="410">
        <f t="shared" si="3"/>
        <v>-2.8090779241390255E-2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7322</v>
      </c>
      <c r="D97" s="414">
        <v>6715</v>
      </c>
      <c r="E97" s="409">
        <f t="shared" si="2"/>
        <v>-607</v>
      </c>
      <c r="F97" s="410">
        <f t="shared" si="3"/>
        <v>-8.2900846763179464E-2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0</v>
      </c>
      <c r="D99" s="414">
        <v>0</v>
      </c>
      <c r="E99" s="409">
        <f t="shared" si="2"/>
        <v>0</v>
      </c>
      <c r="F99" s="410">
        <f t="shared" si="3"/>
        <v>0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56405</v>
      </c>
      <c r="D100" s="381">
        <f>SUM(D95:D99)</f>
        <v>56399</v>
      </c>
      <c r="E100" s="401">
        <f t="shared" si="2"/>
        <v>-6</v>
      </c>
      <c r="F100" s="402">
        <f t="shared" si="3"/>
        <v>-1.0637354844428686E-4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551.70000000000005</v>
      </c>
      <c r="D104" s="416">
        <v>551.4</v>
      </c>
      <c r="E104" s="417">
        <f>+D104-C104</f>
        <v>-0.30000000000006821</v>
      </c>
      <c r="F104" s="410">
        <f>IF(C104=0,0,+E104/C104)</f>
        <v>-5.4377379010344057E-4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115.2</v>
      </c>
      <c r="D105" s="416">
        <v>115.8</v>
      </c>
      <c r="E105" s="417">
        <f>+D105-C105</f>
        <v>0.59999999999999432</v>
      </c>
      <c r="F105" s="410">
        <f>IF(C105=0,0,+E105/C105)</f>
        <v>5.2083333333332836E-3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1695</v>
      </c>
      <c r="D106" s="416">
        <v>1683.9</v>
      </c>
      <c r="E106" s="417">
        <f>+D106-C106</f>
        <v>-11.099999999999909</v>
      </c>
      <c r="F106" s="410">
        <f>IF(C106=0,0,+E106/C106)</f>
        <v>-6.5486725663716277E-3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2361.9</v>
      </c>
      <c r="D107" s="418">
        <f>SUM(D104:D106)</f>
        <v>2351.1</v>
      </c>
      <c r="E107" s="418">
        <f>+D107-C107</f>
        <v>-10.800000000000182</v>
      </c>
      <c r="F107" s="402">
        <f>IF(C107=0,0,+E107/C107)</f>
        <v>-4.5725898640925451E-3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FILING&amp;RDANBURY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4"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7740</v>
      </c>
      <c r="D12" s="409">
        <v>7130</v>
      </c>
      <c r="E12" s="409">
        <f>+D12-C12</f>
        <v>-610</v>
      </c>
      <c r="F12" s="410">
        <f>IF(C12=0,0,+E12/C12)</f>
        <v>-7.8811369509043924E-2</v>
      </c>
    </row>
    <row r="13" spans="1:6" ht="15.75" customHeight="1" x14ac:dyDescent="0.2">
      <c r="A13" s="374">
        <v>2</v>
      </c>
      <c r="B13" s="408" t="s">
        <v>622</v>
      </c>
      <c r="C13" s="409">
        <v>2846</v>
      </c>
      <c r="D13" s="409">
        <v>2852</v>
      </c>
      <c r="E13" s="409">
        <f>+D13-C13</f>
        <v>6</v>
      </c>
      <c r="F13" s="410">
        <f>IF(C13=0,0,+E13/C13)</f>
        <v>2.1082220660576245E-3</v>
      </c>
    </row>
    <row r="14" spans="1:6" ht="15.75" customHeight="1" x14ac:dyDescent="0.25">
      <c r="A14" s="374"/>
      <c r="B14" s="399" t="s">
        <v>623</v>
      </c>
      <c r="C14" s="401">
        <f>SUM(C11:C13)</f>
        <v>10586</v>
      </c>
      <c r="D14" s="401">
        <f>SUM(D11:D13)</f>
        <v>9982</v>
      </c>
      <c r="E14" s="401">
        <f>+D14-C14</f>
        <v>-604</v>
      </c>
      <c r="F14" s="402">
        <f>IF(C14=0,0,+E14/C14)</f>
        <v>-5.7056489703381827E-2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9710</v>
      </c>
      <c r="D17" s="409">
        <v>10220</v>
      </c>
      <c r="E17" s="409">
        <f>+D17-C17</f>
        <v>510</v>
      </c>
      <c r="F17" s="410">
        <f>IF(C17=0,0,+E17/C17)</f>
        <v>5.2523171987641608E-2</v>
      </c>
    </row>
    <row r="18" spans="1:6" ht="15.75" customHeight="1" x14ac:dyDescent="0.2">
      <c r="A18" s="374">
        <v>2</v>
      </c>
      <c r="B18" s="408" t="s">
        <v>622</v>
      </c>
      <c r="C18" s="409">
        <v>1043</v>
      </c>
      <c r="D18" s="409">
        <v>998</v>
      </c>
      <c r="E18" s="409">
        <f>+D18-C18</f>
        <v>-45</v>
      </c>
      <c r="F18" s="410">
        <f>IF(C18=0,0,+E18/C18)</f>
        <v>-4.3144774688398849E-2</v>
      </c>
    </row>
    <row r="19" spans="1:6" ht="15.75" customHeight="1" x14ac:dyDescent="0.25">
      <c r="A19" s="374"/>
      <c r="B19" s="399" t="s">
        <v>624</v>
      </c>
      <c r="C19" s="401">
        <f>SUM(C16:C18)</f>
        <v>10753</v>
      </c>
      <c r="D19" s="401">
        <f>SUM(D16:D18)</f>
        <v>11218</v>
      </c>
      <c r="E19" s="401">
        <f>+D19-C19</f>
        <v>465</v>
      </c>
      <c r="F19" s="402">
        <f>IF(C19=0,0,+E19/C19)</f>
        <v>4.324374593136799E-2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625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621</v>
      </c>
      <c r="C22" s="409">
        <v>58017</v>
      </c>
      <c r="D22" s="409">
        <v>54777</v>
      </c>
      <c r="E22" s="409">
        <f>+D22-C22</f>
        <v>-3240</v>
      </c>
      <c r="F22" s="410">
        <f>IF(C22=0,0,+E22/C22)</f>
        <v>-5.5845700398159163E-2</v>
      </c>
    </row>
    <row r="23" spans="1:6" ht="15.75" customHeight="1" x14ac:dyDescent="0.25">
      <c r="A23" s="374"/>
      <c r="B23" s="399" t="s">
        <v>626</v>
      </c>
      <c r="C23" s="401">
        <f>SUM(C21:C22)</f>
        <v>58017</v>
      </c>
      <c r="D23" s="401">
        <f>SUM(D21:D22)</f>
        <v>54777</v>
      </c>
      <c r="E23" s="401">
        <f>+D23-C23</f>
        <v>-3240</v>
      </c>
      <c r="F23" s="402">
        <f>IF(C23=0,0,+E23/C23)</f>
        <v>-5.5845700398159163E-2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  <row r="29" spans="1:6" ht="15.75" customHeight="1" x14ac:dyDescent="0.25">
      <c r="B29" s="813" t="s">
        <v>629</v>
      </c>
      <c r="C29" s="814"/>
      <c r="D29" s="814"/>
      <c r="E29" s="814"/>
      <c r="F29" s="815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FILING&amp;RDANBURY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298292004</v>
      </c>
      <c r="D15" s="448">
        <v>326019774</v>
      </c>
      <c r="E15" s="448">
        <f t="shared" ref="E15:E24" si="0">D15-C15</f>
        <v>27727770</v>
      </c>
      <c r="F15" s="449">
        <f t="shared" ref="F15:F24" si="1">IF(C15=0,0,E15/C15)</f>
        <v>9.2955123262372125E-2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97031490</v>
      </c>
      <c r="D16" s="448">
        <v>102945936</v>
      </c>
      <c r="E16" s="448">
        <f t="shared" si="0"/>
        <v>5914446</v>
      </c>
      <c r="F16" s="449">
        <f t="shared" si="1"/>
        <v>6.0953882085083927E-2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0.32529028166641705</v>
      </c>
      <c r="D17" s="453">
        <f>IF(LN_IA1=0,0,LN_IA2/LN_IA1)</f>
        <v>0.31576592651708296</v>
      </c>
      <c r="E17" s="454">
        <f t="shared" si="0"/>
        <v>-9.524355149334085E-3</v>
      </c>
      <c r="F17" s="449">
        <f t="shared" si="1"/>
        <v>-2.927955640279855E-2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8369</v>
      </c>
      <c r="D18" s="456">
        <v>8445</v>
      </c>
      <c r="E18" s="456">
        <f t="shared" si="0"/>
        <v>76</v>
      </c>
      <c r="F18" s="449">
        <f t="shared" si="1"/>
        <v>9.0811327518222004E-3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1.5411600000000001</v>
      </c>
      <c r="D19" s="459">
        <v>1.5812900000000001</v>
      </c>
      <c r="E19" s="460">
        <f t="shared" si="0"/>
        <v>4.0129999999999999E-2</v>
      </c>
      <c r="F19" s="449">
        <f t="shared" si="1"/>
        <v>2.6038827895870642E-2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12897.968040000002</v>
      </c>
      <c r="D20" s="463">
        <f>LN_IA4*LN_IA5</f>
        <v>13353.994050000001</v>
      </c>
      <c r="E20" s="463">
        <f t="shared" si="0"/>
        <v>456.02600999999959</v>
      </c>
      <c r="F20" s="449">
        <f t="shared" si="1"/>
        <v>3.5356422700517059E-2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7523.0059261334618</v>
      </c>
      <c r="D21" s="465">
        <f>IF(LN_IA6=0,0,LN_IA2/LN_IA6)</f>
        <v>7708.9996906206488</v>
      </c>
      <c r="E21" s="465">
        <f t="shared" si="0"/>
        <v>185.99376448718704</v>
      </c>
      <c r="F21" s="449">
        <f t="shared" si="1"/>
        <v>2.4723330848521709E-2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47995</v>
      </c>
      <c r="D22" s="456">
        <v>50458</v>
      </c>
      <c r="E22" s="456">
        <f t="shared" si="0"/>
        <v>2463</v>
      </c>
      <c r="F22" s="449">
        <f t="shared" si="1"/>
        <v>5.1317845608917598E-2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2021.6999687467444</v>
      </c>
      <c r="D23" s="465">
        <f>IF(LN_IA8=0,0,LN_IA2/LN_IA8)</f>
        <v>2040.2302112648142</v>
      </c>
      <c r="E23" s="465">
        <f t="shared" si="0"/>
        <v>18.530242518069826</v>
      </c>
      <c r="F23" s="449">
        <f t="shared" si="1"/>
        <v>9.1656738410876848E-3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5.7348548213645598</v>
      </c>
      <c r="D24" s="466">
        <f>IF(LN_IA4=0,0,LN_IA8/LN_IA4)</f>
        <v>5.9748963883955</v>
      </c>
      <c r="E24" s="466">
        <f t="shared" si="0"/>
        <v>0.24004156703094015</v>
      </c>
      <c r="F24" s="449">
        <f t="shared" si="1"/>
        <v>4.1856607448316242E-2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240467040</v>
      </c>
      <c r="D27" s="448">
        <v>252102854</v>
      </c>
      <c r="E27" s="448">
        <f t="shared" ref="E27:E32" si="2">D27-C27</f>
        <v>11635814</v>
      </c>
      <c r="F27" s="449">
        <f t="shared" ref="F27:F32" si="3">IF(C27=0,0,E27/C27)</f>
        <v>4.838839451760208E-2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78139901</v>
      </c>
      <c r="D28" s="448">
        <v>79455374</v>
      </c>
      <c r="E28" s="448">
        <f t="shared" si="2"/>
        <v>1315473</v>
      </c>
      <c r="F28" s="449">
        <f t="shared" si="3"/>
        <v>1.6834843443172522E-2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0.32495056702989317</v>
      </c>
      <c r="D29" s="453">
        <f>IF(LN_IA11=0,0,LN_IA12/LN_IA11)</f>
        <v>0.31517046609872967</v>
      </c>
      <c r="E29" s="454">
        <f t="shared" si="2"/>
        <v>-9.7801009311634934E-3</v>
      </c>
      <c r="F29" s="449">
        <f t="shared" si="3"/>
        <v>-3.0097196076792176E-2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0.80614644970503468</v>
      </c>
      <c r="D30" s="453">
        <f>IF(LN_IA1=0,0,LN_IA11/LN_IA1)</f>
        <v>0.77327473394297852</v>
      </c>
      <c r="E30" s="454">
        <f t="shared" si="2"/>
        <v>-3.2871715762056164E-2</v>
      </c>
      <c r="F30" s="449">
        <f t="shared" si="3"/>
        <v>-4.0776357415062456E-2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6746.6396375814356</v>
      </c>
      <c r="D31" s="463">
        <f>LN_IA14*LN_IA4</f>
        <v>6530.3051281484541</v>
      </c>
      <c r="E31" s="463">
        <f t="shared" si="2"/>
        <v>-216.33450943298158</v>
      </c>
      <c r="F31" s="449">
        <f t="shared" si="3"/>
        <v>-3.2065520178062169E-2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11582.047537374017</v>
      </c>
      <c r="D32" s="465">
        <f>IF(LN_IA15=0,0,LN_IA12/LN_IA15)</f>
        <v>12167.176332620784</v>
      </c>
      <c r="E32" s="465">
        <f t="shared" si="2"/>
        <v>585.12879524676646</v>
      </c>
      <c r="F32" s="449">
        <f t="shared" si="3"/>
        <v>5.0520324092835828E-2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538759044</v>
      </c>
      <c r="D35" s="448">
        <f>LN_IA1+LN_IA11</f>
        <v>578122628</v>
      </c>
      <c r="E35" s="448">
        <f>D35-C35</f>
        <v>39363584</v>
      </c>
      <c r="F35" s="449">
        <f>IF(C35=0,0,E35/C35)</f>
        <v>7.3063430560248749E-2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175171391</v>
      </c>
      <c r="D36" s="448">
        <f>LN_IA2+LN_IA12</f>
        <v>182401310</v>
      </c>
      <c r="E36" s="448">
        <f>D36-C36</f>
        <v>7229919</v>
      </c>
      <c r="F36" s="449">
        <f>IF(C36=0,0,E36/C36)</f>
        <v>4.1273400631955934E-2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363587653</v>
      </c>
      <c r="D37" s="448">
        <f>LN_IA17-LN_IA18</f>
        <v>395721318</v>
      </c>
      <c r="E37" s="448">
        <f>D37-C37</f>
        <v>32133665</v>
      </c>
      <c r="F37" s="449">
        <f>IF(C37=0,0,E37/C37)</f>
        <v>8.8379417548593159E-2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181681956</v>
      </c>
      <c r="D42" s="448">
        <v>183278407</v>
      </c>
      <c r="E42" s="448">
        <f t="shared" ref="E42:E53" si="4">D42-C42</f>
        <v>1596451</v>
      </c>
      <c r="F42" s="449">
        <f t="shared" ref="F42:F53" si="5">IF(C42=0,0,E42/C42)</f>
        <v>8.7870641375085157E-3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105934095</v>
      </c>
      <c r="D43" s="448">
        <v>106817328</v>
      </c>
      <c r="E43" s="448">
        <f t="shared" si="4"/>
        <v>883233</v>
      </c>
      <c r="F43" s="449">
        <f t="shared" si="5"/>
        <v>8.3375706376686374E-3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0.58307438631935471</v>
      </c>
      <c r="D44" s="453">
        <f>IF(LN_IB1=0,0,LN_IB2/LN_IB1)</f>
        <v>0.58281458109792494</v>
      </c>
      <c r="E44" s="454">
        <f t="shared" si="4"/>
        <v>-2.5980522142976525E-4</v>
      </c>
      <c r="F44" s="449">
        <f t="shared" si="5"/>
        <v>-4.4557817583066971E-4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6808</v>
      </c>
      <c r="D45" s="456">
        <v>6516</v>
      </c>
      <c r="E45" s="456">
        <f t="shared" si="4"/>
        <v>-292</v>
      </c>
      <c r="F45" s="449">
        <f t="shared" si="5"/>
        <v>-4.2890716803760283E-2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1.2166999999999999</v>
      </c>
      <c r="D46" s="459">
        <v>1.2868299999999999</v>
      </c>
      <c r="E46" s="460">
        <f t="shared" si="4"/>
        <v>7.0130000000000026E-2</v>
      </c>
      <c r="F46" s="449">
        <f t="shared" si="5"/>
        <v>5.763951672556919E-2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8283.2935999999991</v>
      </c>
      <c r="D47" s="463">
        <f>LN_IB4*LN_IB5</f>
        <v>8384.9842799999988</v>
      </c>
      <c r="E47" s="463">
        <f t="shared" si="4"/>
        <v>101.6906799999997</v>
      </c>
      <c r="F47" s="449">
        <f t="shared" si="5"/>
        <v>1.2276599733226855E-2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12788.885691556317</v>
      </c>
      <c r="D48" s="465">
        <f>IF(LN_IB6=0,0,LN_IB2/LN_IB6)</f>
        <v>12739.120841858037</v>
      </c>
      <c r="E48" s="465">
        <f t="shared" si="4"/>
        <v>-49.764849698280159</v>
      </c>
      <c r="F48" s="449">
        <f t="shared" si="5"/>
        <v>-3.8912576825310672E-3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-5265.8797654228556</v>
      </c>
      <c r="D49" s="465">
        <f>LN_IA7-LN_IB7</f>
        <v>-5030.1211512373884</v>
      </c>
      <c r="E49" s="465">
        <f t="shared" si="4"/>
        <v>235.7586141854672</v>
      </c>
      <c r="F49" s="449">
        <f t="shared" si="5"/>
        <v>-4.477098313818708E-2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-43618828.159296639</v>
      </c>
      <c r="D50" s="479">
        <f>LN_IB8*LN_IB6</f>
        <v>-42177486.779620998</v>
      </c>
      <c r="E50" s="479">
        <f t="shared" si="4"/>
        <v>1441341.3796756417</v>
      </c>
      <c r="F50" s="449">
        <f t="shared" si="5"/>
        <v>-3.3044018844610876E-2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26571</v>
      </c>
      <c r="D51" s="456">
        <v>25667</v>
      </c>
      <c r="E51" s="456">
        <f t="shared" si="4"/>
        <v>-904</v>
      </c>
      <c r="F51" s="449">
        <f t="shared" si="5"/>
        <v>-3.4022054119152462E-2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3986.8313198599976</v>
      </c>
      <c r="D52" s="465">
        <f>IF(LN_IB10=0,0,LN_IB2/LN_IB10)</f>
        <v>4161.6600303892155</v>
      </c>
      <c r="E52" s="465">
        <f t="shared" si="4"/>
        <v>174.82871052921791</v>
      </c>
      <c r="F52" s="449">
        <f t="shared" si="5"/>
        <v>4.3851544372676701E-2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3.9029083431257345</v>
      </c>
      <c r="D53" s="466">
        <f>IF(LN_IB4=0,0,LN_IB10/LN_IB4)</f>
        <v>3.939073050951504</v>
      </c>
      <c r="E53" s="466">
        <f t="shared" si="4"/>
        <v>3.6164707825769415E-2</v>
      </c>
      <c r="F53" s="449">
        <f t="shared" si="5"/>
        <v>9.2660920130156251E-3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349151050</v>
      </c>
      <c r="D56" s="448">
        <v>351668489</v>
      </c>
      <c r="E56" s="448">
        <f t="shared" ref="E56:E63" si="6">D56-C56</f>
        <v>2517439</v>
      </c>
      <c r="F56" s="449">
        <f t="shared" ref="F56:F63" si="7">IF(C56=0,0,E56/C56)</f>
        <v>7.210171643476369E-3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197207019</v>
      </c>
      <c r="D57" s="448">
        <v>198670101</v>
      </c>
      <c r="E57" s="448">
        <f t="shared" si="6"/>
        <v>1463082</v>
      </c>
      <c r="F57" s="449">
        <f t="shared" si="7"/>
        <v>7.4190158515605367E-3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0.56481863365440255</v>
      </c>
      <c r="D58" s="453">
        <f>IF(LN_IB13=0,0,LN_IB14/LN_IB13)</f>
        <v>0.56493574833769089</v>
      </c>
      <c r="E58" s="454">
        <f t="shared" si="6"/>
        <v>1.1711468328834407E-4</v>
      </c>
      <c r="F58" s="449">
        <f t="shared" si="7"/>
        <v>2.0734918487126864E-4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1.9217706462825621</v>
      </c>
      <c r="D59" s="453">
        <f>IF(LN_IB1=0,0,LN_IB13/LN_IB1)</f>
        <v>1.9187666171716562</v>
      </c>
      <c r="E59" s="454">
        <f t="shared" si="6"/>
        <v>-3.0040291109059147E-3</v>
      </c>
      <c r="F59" s="449">
        <f t="shared" si="7"/>
        <v>-1.5631569337979294E-3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13083.414559891682</v>
      </c>
      <c r="D60" s="463">
        <f>LN_IB16*LN_IB4</f>
        <v>12502.683277490512</v>
      </c>
      <c r="E60" s="463">
        <f t="shared" si="6"/>
        <v>-580.73128240116966</v>
      </c>
      <c r="F60" s="449">
        <f t="shared" si="7"/>
        <v>-4.4386828816190743E-2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15073.054369503421</v>
      </c>
      <c r="D61" s="465">
        <f>IF(LN_IB17=0,0,LN_IB14/LN_IB17)</f>
        <v>15890.197055353725</v>
      </c>
      <c r="E61" s="465">
        <f t="shared" si="6"/>
        <v>817.14268585030368</v>
      </c>
      <c r="F61" s="449">
        <f t="shared" si="7"/>
        <v>5.4212150093718811E-2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-3491.0068321294038</v>
      </c>
      <c r="D62" s="465">
        <f>LN_IA16-LN_IB18</f>
        <v>-3723.0207227329411</v>
      </c>
      <c r="E62" s="465">
        <f t="shared" si="6"/>
        <v>-232.01389060353722</v>
      </c>
      <c r="F62" s="449">
        <f t="shared" si="7"/>
        <v>6.6460451600438744E-2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-45674289.616163179</v>
      </c>
      <c r="D63" s="448">
        <f>LN_IB19*LN_IB17</f>
        <v>-46547748.931863785</v>
      </c>
      <c r="E63" s="448">
        <f t="shared" si="6"/>
        <v>-873459.31570060551</v>
      </c>
      <c r="F63" s="449">
        <f t="shared" si="7"/>
        <v>1.9123654096012618E-2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530833006</v>
      </c>
      <c r="D66" s="448">
        <f>LN_IB1+LN_IB13</f>
        <v>534946896</v>
      </c>
      <c r="E66" s="448">
        <f>D66-C66</f>
        <v>4113890</v>
      </c>
      <c r="F66" s="449">
        <f>IF(C66=0,0,E66/C66)</f>
        <v>7.7498760504730183E-3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303141114</v>
      </c>
      <c r="D67" s="448">
        <f>LN_IB2+LN_IB14</f>
        <v>305487429</v>
      </c>
      <c r="E67" s="448">
        <f>D67-C67</f>
        <v>2346315</v>
      </c>
      <c r="F67" s="449">
        <f>IF(C67=0,0,E67/C67)</f>
        <v>7.7400091628613598E-3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227691892</v>
      </c>
      <c r="D68" s="448">
        <f>LN_IB21-LN_IB22</f>
        <v>229459467</v>
      </c>
      <c r="E68" s="448">
        <f>D68-C68</f>
        <v>1767575</v>
      </c>
      <c r="F68" s="449">
        <f>IF(C68=0,0,E68/C68)</f>
        <v>7.763012483553872E-3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-89293117.775459826</v>
      </c>
      <c r="D70" s="441">
        <f>LN_IB9+LN_IB20</f>
        <v>-88725235.71148479</v>
      </c>
      <c r="E70" s="448">
        <f>D70-C70</f>
        <v>567882.06397503614</v>
      </c>
      <c r="F70" s="449">
        <f>IF(C70=0,0,E70/C70)</f>
        <v>-6.359751771721712E-3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467423606</v>
      </c>
      <c r="D73" s="488">
        <v>474922116</v>
      </c>
      <c r="E73" s="488">
        <f>D73-C73</f>
        <v>7498510</v>
      </c>
      <c r="F73" s="489">
        <f>IF(C73=0,0,E73/C73)</f>
        <v>1.6042215035241503E-2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286971340</v>
      </c>
      <c r="D74" s="488">
        <v>289817237</v>
      </c>
      <c r="E74" s="488">
        <f>D74-C74</f>
        <v>2845897</v>
      </c>
      <c r="F74" s="489">
        <f>IF(C74=0,0,E74/C74)</f>
        <v>9.9170077402154517E-3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180452266</v>
      </c>
      <c r="D76" s="441">
        <f>LN_IB32-LN_IB33</f>
        <v>185104879</v>
      </c>
      <c r="E76" s="488">
        <f>D76-C76</f>
        <v>4652613</v>
      </c>
      <c r="F76" s="489">
        <f>IF(E76=0,0,E76/C76)</f>
        <v>2.5783067750448752E-2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0.38605723734029812</v>
      </c>
      <c r="D77" s="453">
        <f>IF(LN_IB32=0,0,LN_IB34/LN_IB32)</f>
        <v>0.3897583893524133</v>
      </c>
      <c r="E77" s="493">
        <f>D77-C77</f>
        <v>3.7011520121151831E-3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5494250</v>
      </c>
      <c r="D83" s="448">
        <v>5087812</v>
      </c>
      <c r="E83" s="448">
        <f t="shared" ref="E83:E95" si="8">D83-C83</f>
        <v>-406438</v>
      </c>
      <c r="F83" s="449">
        <f t="shared" ref="F83:F95" si="9">IF(C83=0,0,E83/C83)</f>
        <v>-7.3975155844746787E-2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1444587</v>
      </c>
      <c r="D84" s="448">
        <v>1434850</v>
      </c>
      <c r="E84" s="448">
        <f t="shared" si="8"/>
        <v>-9737</v>
      </c>
      <c r="F84" s="449">
        <f t="shared" si="9"/>
        <v>-6.7403347808058633E-3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0.26292706010829503</v>
      </c>
      <c r="D85" s="453">
        <f>IF(LN_IC1=0,0,LN_IC2/LN_IC1)</f>
        <v>0.28201710283320219</v>
      </c>
      <c r="E85" s="454">
        <f t="shared" si="8"/>
        <v>1.9090042724907164E-2</v>
      </c>
      <c r="F85" s="449">
        <f t="shared" si="9"/>
        <v>7.2605850143550504E-2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156</v>
      </c>
      <c r="D86" s="456">
        <v>175</v>
      </c>
      <c r="E86" s="456">
        <f t="shared" si="8"/>
        <v>19</v>
      </c>
      <c r="F86" s="449">
        <f t="shared" si="9"/>
        <v>0.12179487179487179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1.2056</v>
      </c>
      <c r="D87" s="459">
        <v>1.0898000000000001</v>
      </c>
      <c r="E87" s="460">
        <f t="shared" si="8"/>
        <v>-0.1157999999999999</v>
      </c>
      <c r="F87" s="449">
        <f t="shared" si="9"/>
        <v>-9.60517584605175E-2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188.0736</v>
      </c>
      <c r="D88" s="463">
        <f>LN_IC4*LN_IC5</f>
        <v>190.71500000000003</v>
      </c>
      <c r="E88" s="463">
        <f t="shared" si="8"/>
        <v>2.6414000000000328</v>
      </c>
      <c r="F88" s="449">
        <f t="shared" si="9"/>
        <v>1.4044501726983653E-2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7680.9663876269715</v>
      </c>
      <c r="D89" s="465">
        <f>IF(LN_IC6=0,0,LN_IC2/LN_IC6)</f>
        <v>7523.5298744199445</v>
      </c>
      <c r="E89" s="465">
        <f t="shared" si="8"/>
        <v>-157.43651320702702</v>
      </c>
      <c r="F89" s="449">
        <f t="shared" si="9"/>
        <v>-2.0496966821861969E-2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5107.9193039293459</v>
      </c>
      <c r="D90" s="465">
        <f>LN_IB7-LN_IC7</f>
        <v>5215.5909674380928</v>
      </c>
      <c r="E90" s="465">
        <f t="shared" si="8"/>
        <v>107.67166350874686</v>
      </c>
      <c r="F90" s="449">
        <f t="shared" si="9"/>
        <v>2.1079358756885366E-2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-157.96046149350968</v>
      </c>
      <c r="D91" s="465">
        <f>LN_IA7-LN_IC7</f>
        <v>185.46981620070437</v>
      </c>
      <c r="E91" s="465">
        <f t="shared" si="8"/>
        <v>343.43027769421406</v>
      </c>
      <c r="F91" s="449">
        <f t="shared" si="9"/>
        <v>-2.1741534207174054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-29708.192650745743</v>
      </c>
      <c r="D92" s="441">
        <f>LN_IC9*LN_IC6</f>
        <v>35371.875996717339</v>
      </c>
      <c r="E92" s="441">
        <f t="shared" si="8"/>
        <v>65080.068647463078</v>
      </c>
      <c r="F92" s="449">
        <f t="shared" si="9"/>
        <v>-2.1906438204624146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566</v>
      </c>
      <c r="D93" s="456">
        <v>669</v>
      </c>
      <c r="E93" s="456">
        <f t="shared" si="8"/>
        <v>103</v>
      </c>
      <c r="F93" s="449">
        <f t="shared" si="9"/>
        <v>0.18197879858657243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2552.273851590106</v>
      </c>
      <c r="D94" s="499">
        <f>IF(LN_IC11=0,0,LN_IC2/LN_IC11)</f>
        <v>2144.7683109118088</v>
      </c>
      <c r="E94" s="499">
        <f t="shared" si="8"/>
        <v>-407.50554067829717</v>
      </c>
      <c r="F94" s="449">
        <f t="shared" si="9"/>
        <v>-0.15966372120468769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3.6282051282051282</v>
      </c>
      <c r="D95" s="466">
        <f>IF(LN_IC4=0,0,LN_IC11/LN_IC4)</f>
        <v>3.822857142857143</v>
      </c>
      <c r="E95" s="466">
        <f t="shared" si="8"/>
        <v>0.19465201465201476</v>
      </c>
      <c r="F95" s="449">
        <f t="shared" si="9"/>
        <v>5.3649671882887461E-2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28950356</v>
      </c>
      <c r="D98" s="448">
        <v>27396274</v>
      </c>
      <c r="E98" s="448">
        <f t="shared" ref="E98:E106" si="10">D98-C98</f>
        <v>-1554082</v>
      </c>
      <c r="F98" s="449">
        <f t="shared" ref="F98:F106" si="11">IF(C98=0,0,E98/C98)</f>
        <v>-5.3680928828647216E-2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7611833</v>
      </c>
      <c r="D99" s="448">
        <v>7726218</v>
      </c>
      <c r="E99" s="448">
        <f t="shared" si="10"/>
        <v>114385</v>
      </c>
      <c r="F99" s="449">
        <f t="shared" si="11"/>
        <v>1.5027260845055323E-2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0.26292709492069805</v>
      </c>
      <c r="D100" s="453">
        <f>IF(LN_IC14=0,0,LN_IC15/LN_IC14)</f>
        <v>0.28201710933391894</v>
      </c>
      <c r="E100" s="454">
        <f t="shared" si="10"/>
        <v>1.909001441322089E-2</v>
      </c>
      <c r="F100" s="449">
        <f t="shared" si="11"/>
        <v>7.2605732851453234E-2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5.2692098102561769</v>
      </c>
      <c r="D101" s="453">
        <f>IF(LN_IC1=0,0,LN_IC14/LN_IC1)</f>
        <v>5.3846867769485192</v>
      </c>
      <c r="E101" s="454">
        <f t="shared" si="10"/>
        <v>0.11547696669234231</v>
      </c>
      <c r="F101" s="449">
        <f t="shared" si="11"/>
        <v>2.1915423915664516E-2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821.99673039996355</v>
      </c>
      <c r="D102" s="463">
        <f>LN_IC17*LN_IC4</f>
        <v>942.32018596599085</v>
      </c>
      <c r="E102" s="463">
        <f t="shared" si="10"/>
        <v>120.32345556602729</v>
      </c>
      <c r="F102" s="449">
        <f t="shared" si="11"/>
        <v>0.14637948195667497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9260.1743030002908</v>
      </c>
      <c r="D103" s="465">
        <f>IF(LN_IC18=0,0,LN_IC15/LN_IC18)</f>
        <v>8199.1430461395703</v>
      </c>
      <c r="E103" s="465">
        <f t="shared" si="10"/>
        <v>-1061.0312568607205</v>
      </c>
      <c r="F103" s="449">
        <f t="shared" si="11"/>
        <v>-0.1145800523989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5812.8800665031304</v>
      </c>
      <c r="D104" s="465">
        <f>LN_IB18-LN_IC19</f>
        <v>7691.0540092141546</v>
      </c>
      <c r="E104" s="465">
        <f t="shared" si="10"/>
        <v>1878.1739427110242</v>
      </c>
      <c r="F104" s="449">
        <f t="shared" si="11"/>
        <v>0.32310557266337725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2321.8732343737265</v>
      </c>
      <c r="D105" s="465">
        <f>LN_IA16-LN_IC19</f>
        <v>3968.0332864812135</v>
      </c>
      <c r="E105" s="465">
        <f t="shared" si="10"/>
        <v>1646.160052107487</v>
      </c>
      <c r="F105" s="449">
        <f t="shared" si="11"/>
        <v>0.70897929643066926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1908572.2070583915</v>
      </c>
      <c r="D106" s="448">
        <f>LN_IC21*LN_IC18</f>
        <v>3739157.864436219</v>
      </c>
      <c r="E106" s="448">
        <f t="shared" si="10"/>
        <v>1830585.6573778274</v>
      </c>
      <c r="F106" s="449">
        <f t="shared" si="11"/>
        <v>0.95913880051687339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34444606</v>
      </c>
      <c r="D109" s="448">
        <f>LN_IC1+LN_IC14</f>
        <v>32484086</v>
      </c>
      <c r="E109" s="448">
        <f>D109-C109</f>
        <v>-1960520</v>
      </c>
      <c r="F109" s="449">
        <f>IF(C109=0,0,E109/C109)</f>
        <v>-5.6918055616603659E-2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9056420</v>
      </c>
      <c r="D110" s="448">
        <f>LN_IC2+LN_IC15</f>
        <v>9161068</v>
      </c>
      <c r="E110" s="448">
        <f>D110-C110</f>
        <v>104648</v>
      </c>
      <c r="F110" s="449">
        <f>IF(C110=0,0,E110/C110)</f>
        <v>1.1555117805932146E-2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25388186</v>
      </c>
      <c r="D111" s="448">
        <f>LN_IC23-LN_IC24</f>
        <v>23323018</v>
      </c>
      <c r="E111" s="448">
        <f>D111-C111</f>
        <v>-2065168</v>
      </c>
      <c r="F111" s="449">
        <f>IF(C111=0,0,E111/C111)</f>
        <v>-8.1343661181622035E-2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1878864.0144076457</v>
      </c>
      <c r="D113" s="448">
        <f>LN_IC10+LN_IC22</f>
        <v>3774529.7404329362</v>
      </c>
      <c r="E113" s="448">
        <f>D113-C113</f>
        <v>1895665.7260252906</v>
      </c>
      <c r="F113" s="449">
        <f>IF(C113=0,0,E113/C113)</f>
        <v>1.008942484122749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76554491</v>
      </c>
      <c r="D118" s="448">
        <v>82813766</v>
      </c>
      <c r="E118" s="448">
        <f t="shared" ref="E118:E130" si="12">D118-C118</f>
        <v>6259275</v>
      </c>
      <c r="F118" s="449">
        <f t="shared" ref="F118:F130" si="13">IF(C118=0,0,E118/C118)</f>
        <v>8.1762348860761155E-2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16870763</v>
      </c>
      <c r="D119" s="448">
        <v>16004723</v>
      </c>
      <c r="E119" s="448">
        <f t="shared" si="12"/>
        <v>-866040</v>
      </c>
      <c r="F119" s="449">
        <f t="shared" si="13"/>
        <v>-5.1333777849881482E-2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0.22037587579283885</v>
      </c>
      <c r="D120" s="453">
        <f>IF(LN_ID1=0,0,LN_1D2/LN_ID1)</f>
        <v>0.19326162512643127</v>
      </c>
      <c r="E120" s="454">
        <f t="shared" si="12"/>
        <v>-2.7114250666407574E-2</v>
      </c>
      <c r="F120" s="449">
        <f t="shared" si="13"/>
        <v>-0.12303638303811408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3321</v>
      </c>
      <c r="D121" s="456">
        <v>3250</v>
      </c>
      <c r="E121" s="456">
        <f t="shared" si="12"/>
        <v>-71</v>
      </c>
      <c r="F121" s="449">
        <f t="shared" si="13"/>
        <v>-2.1379102679915687E-2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1.034</v>
      </c>
      <c r="D122" s="459">
        <v>1.0599000000000001</v>
      </c>
      <c r="E122" s="460">
        <f t="shared" si="12"/>
        <v>2.5900000000000034E-2</v>
      </c>
      <c r="F122" s="449">
        <f t="shared" si="13"/>
        <v>2.5048355899419762E-2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3433.9140000000002</v>
      </c>
      <c r="D123" s="463">
        <f>LN_ID4*LN_ID5</f>
        <v>3444.6750000000002</v>
      </c>
      <c r="E123" s="463">
        <f t="shared" si="12"/>
        <v>10.760999999999967</v>
      </c>
      <c r="F123" s="449">
        <f t="shared" si="13"/>
        <v>3.133741846767265E-3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4912.9835517138745</v>
      </c>
      <c r="D124" s="465">
        <f>IF(LN_ID6=0,0,LN_1D2/LN_ID6)</f>
        <v>4646.2214867875773</v>
      </c>
      <c r="E124" s="465">
        <f t="shared" si="12"/>
        <v>-266.76206492629717</v>
      </c>
      <c r="F124" s="449">
        <f t="shared" si="13"/>
        <v>-5.4297365769368049E-2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7875.9021398424429</v>
      </c>
      <c r="D125" s="465">
        <f>LN_IB7-LN_ID7</f>
        <v>8092.8993550704599</v>
      </c>
      <c r="E125" s="465">
        <f t="shared" si="12"/>
        <v>216.99721522801701</v>
      </c>
      <c r="F125" s="449">
        <f t="shared" si="13"/>
        <v>2.7552045641892401E-2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2610.0223744195873</v>
      </c>
      <c r="D126" s="465">
        <f>LN_IA7-LN_ID7</f>
        <v>3062.7782038330715</v>
      </c>
      <c r="E126" s="465">
        <f t="shared" si="12"/>
        <v>452.75582941348421</v>
      </c>
      <c r="F126" s="449">
        <f t="shared" si="13"/>
        <v>0.17346817937304745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8962592.3718326632</v>
      </c>
      <c r="D127" s="479">
        <f>LN_ID9*LN_ID6</f>
        <v>10550275.509288685</v>
      </c>
      <c r="E127" s="479">
        <f t="shared" si="12"/>
        <v>1587683.1374560222</v>
      </c>
      <c r="F127" s="449">
        <f t="shared" si="13"/>
        <v>0.17714552571259851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16180</v>
      </c>
      <c r="D128" s="456">
        <v>15608</v>
      </c>
      <c r="E128" s="456">
        <f t="shared" si="12"/>
        <v>-572</v>
      </c>
      <c r="F128" s="449">
        <f t="shared" si="13"/>
        <v>-3.535228677379481E-2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1042.6923980222498</v>
      </c>
      <c r="D129" s="465">
        <f>IF(LN_ID11=0,0,LN_1D2/LN_ID11)</f>
        <v>1025.4179267042543</v>
      </c>
      <c r="E129" s="465">
        <f t="shared" si="12"/>
        <v>-17.274471317995449</v>
      </c>
      <c r="F129" s="449">
        <f t="shared" si="13"/>
        <v>-1.6567178729567023E-2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4.8720264980427581</v>
      </c>
      <c r="D130" s="466">
        <f>IF(LN_ID4=0,0,LN_ID11/LN_ID4)</f>
        <v>4.8024615384615386</v>
      </c>
      <c r="E130" s="466">
        <f t="shared" si="12"/>
        <v>-6.9564959581219554E-2</v>
      </c>
      <c r="F130" s="449">
        <f t="shared" si="13"/>
        <v>-1.4278444423314595E-2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82631036</v>
      </c>
      <c r="D133" s="448">
        <v>91319956</v>
      </c>
      <c r="E133" s="448">
        <f t="shared" ref="E133:E141" si="14">D133-C133</f>
        <v>8688920</v>
      </c>
      <c r="F133" s="449">
        <f t="shared" ref="F133:F141" si="15">IF(C133=0,0,E133/C133)</f>
        <v>0.10515322596221593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18209887</v>
      </c>
      <c r="D134" s="448">
        <v>17890099</v>
      </c>
      <c r="E134" s="448">
        <f t="shared" si="14"/>
        <v>-319788</v>
      </c>
      <c r="F134" s="449">
        <f t="shared" si="15"/>
        <v>-1.7561229237721243E-2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0.22037587668633368</v>
      </c>
      <c r="D135" s="453">
        <f>IF(LN_ID14=0,0,LN_ID15/LN_ID14)</f>
        <v>0.19590569009910605</v>
      </c>
      <c r="E135" s="454">
        <f t="shared" si="14"/>
        <v>-2.4470186587227633E-2</v>
      </c>
      <c r="F135" s="449">
        <f t="shared" si="15"/>
        <v>-0.1110384083556325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1.0793754216196147</v>
      </c>
      <c r="D136" s="453">
        <f>IF(LN_ID1=0,0,LN_ID14/LN_ID1)</f>
        <v>1.1027146863481609</v>
      </c>
      <c r="E136" s="454">
        <f t="shared" si="14"/>
        <v>2.3339264728546194E-2</v>
      </c>
      <c r="F136" s="449">
        <f t="shared" si="15"/>
        <v>2.1622935135511397E-2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3584.6057751987405</v>
      </c>
      <c r="D137" s="463">
        <f>LN_ID17*LN_ID4</f>
        <v>3583.822730631523</v>
      </c>
      <c r="E137" s="463">
        <f t="shared" si="14"/>
        <v>-0.78304456721753013</v>
      </c>
      <c r="F137" s="449">
        <f t="shared" si="15"/>
        <v>-2.1844649490755115E-4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5080.0250130686663</v>
      </c>
      <c r="D138" s="465">
        <f>IF(LN_ID18=0,0,LN_ID15/LN_ID18)</f>
        <v>4991.9039932110418</v>
      </c>
      <c r="E138" s="465">
        <f t="shared" si="14"/>
        <v>-88.12101985762456</v>
      </c>
      <c r="F138" s="449">
        <f t="shared" si="15"/>
        <v>-1.7346572040674604E-2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9993.0293564347558</v>
      </c>
      <c r="D139" s="465">
        <f>LN_IB18-LN_ID19</f>
        <v>10898.293062142682</v>
      </c>
      <c r="E139" s="465">
        <f t="shared" si="14"/>
        <v>905.26370570792642</v>
      </c>
      <c r="F139" s="449">
        <f t="shared" si="15"/>
        <v>9.0589517294373298E-2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6502.022524305351</v>
      </c>
      <c r="D140" s="465">
        <f>LN_IA16-LN_ID19</f>
        <v>7175.272339409742</v>
      </c>
      <c r="E140" s="465">
        <f t="shared" si="14"/>
        <v>673.24981510439102</v>
      </c>
      <c r="F140" s="449">
        <f t="shared" si="15"/>
        <v>0.10354467592010044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23307187.491097253</v>
      </c>
      <c r="D141" s="441">
        <f>LN_ID21*LN_ID18</f>
        <v>25714904.108448256</v>
      </c>
      <c r="E141" s="441">
        <f t="shared" si="14"/>
        <v>2407716.617351003</v>
      </c>
      <c r="F141" s="449">
        <f t="shared" si="15"/>
        <v>0.10330361045367181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159185527</v>
      </c>
      <c r="D144" s="448">
        <f>LN_ID1+LN_ID14</f>
        <v>174133722</v>
      </c>
      <c r="E144" s="448">
        <f>D144-C144</f>
        <v>14948195</v>
      </c>
      <c r="F144" s="449">
        <f>IF(C144=0,0,E144/C144)</f>
        <v>9.3904234145607973E-2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35080650</v>
      </c>
      <c r="D145" s="448">
        <f>LN_1D2+LN_ID15</f>
        <v>33894822</v>
      </c>
      <c r="E145" s="448">
        <f>D145-C145</f>
        <v>-1185828</v>
      </c>
      <c r="F145" s="449">
        <f>IF(C145=0,0,E145/C145)</f>
        <v>-3.3802908440978149E-2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124104877</v>
      </c>
      <c r="D146" s="448">
        <f>LN_ID23-LN_ID24</f>
        <v>140238900</v>
      </c>
      <c r="E146" s="448">
        <f>D146-C146</f>
        <v>16134023</v>
      </c>
      <c r="F146" s="449">
        <f>IF(C146=0,0,E146/C146)</f>
        <v>0.13000313436513861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32269779.862929918</v>
      </c>
      <c r="D148" s="448">
        <f>LN_ID10+LN_ID22</f>
        <v>36265179.617736943</v>
      </c>
      <c r="E148" s="448">
        <f>D148-C148</f>
        <v>3995399.7548070252</v>
      </c>
      <c r="F148" s="503">
        <f>IF(C148=0,0,E148/C148)</f>
        <v>0.12381242672797908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1083732</v>
      </c>
      <c r="D153" s="448">
        <v>1801822</v>
      </c>
      <c r="E153" s="448">
        <f t="shared" ref="E153:E165" si="16">D153-C153</f>
        <v>718090</v>
      </c>
      <c r="F153" s="449">
        <f t="shared" ref="F153:F165" si="17">IF(C153=0,0,E153/C153)</f>
        <v>0.66260846777616611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454694</v>
      </c>
      <c r="D154" s="448">
        <v>491371</v>
      </c>
      <c r="E154" s="448">
        <f t="shared" si="16"/>
        <v>36677</v>
      </c>
      <c r="F154" s="449">
        <f t="shared" si="17"/>
        <v>8.0663039318750629E-2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0.41956313922630317</v>
      </c>
      <c r="D155" s="453">
        <f>IF(LN_IE1=0,0,LN_IE2/LN_IE1)</f>
        <v>0.27270784794502456</v>
      </c>
      <c r="E155" s="454">
        <f t="shared" si="16"/>
        <v>-0.14685529128127861</v>
      </c>
      <c r="F155" s="449">
        <f t="shared" si="17"/>
        <v>-0.35001952638663064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29</v>
      </c>
      <c r="D156" s="506">
        <v>45</v>
      </c>
      <c r="E156" s="506">
        <f t="shared" si="16"/>
        <v>16</v>
      </c>
      <c r="F156" s="449">
        <f t="shared" si="17"/>
        <v>0.55172413793103448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1.2048000000000001</v>
      </c>
      <c r="D157" s="459">
        <v>1.0643</v>
      </c>
      <c r="E157" s="460">
        <f t="shared" si="16"/>
        <v>-0.14050000000000007</v>
      </c>
      <c r="F157" s="449">
        <f t="shared" si="17"/>
        <v>-0.11661686586985397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34.9392</v>
      </c>
      <c r="D158" s="463">
        <f>LN_IE4*LN_IE5</f>
        <v>47.893500000000003</v>
      </c>
      <c r="E158" s="463">
        <f t="shared" si="16"/>
        <v>12.954300000000003</v>
      </c>
      <c r="F158" s="449">
        <f t="shared" si="17"/>
        <v>0.37076693227091645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13013.864083894308</v>
      </c>
      <c r="D159" s="465">
        <f>IF(LN_IE6=0,0,LN_IE2/LN_IE6)</f>
        <v>10259.659452744108</v>
      </c>
      <c r="E159" s="465">
        <f t="shared" si="16"/>
        <v>-2754.2046311501999</v>
      </c>
      <c r="F159" s="449">
        <f t="shared" si="17"/>
        <v>-0.21163619147972715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-224.97839233799095</v>
      </c>
      <c r="D160" s="465">
        <f>LN_IB7-LN_IE7</f>
        <v>2479.4613891139288</v>
      </c>
      <c r="E160" s="465">
        <f t="shared" si="16"/>
        <v>2704.4397814519198</v>
      </c>
      <c r="F160" s="449">
        <f t="shared" si="17"/>
        <v>-12.020886776490823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-5490.8581577608466</v>
      </c>
      <c r="D161" s="465">
        <f>LN_IA7-LN_IE7</f>
        <v>-2550.6597621234596</v>
      </c>
      <c r="E161" s="465">
        <f t="shared" si="16"/>
        <v>2940.198395637387</v>
      </c>
      <c r="F161" s="449">
        <f t="shared" si="17"/>
        <v>-0.53547156221503811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-191846.19134563778</v>
      </c>
      <c r="D162" s="479">
        <f>LN_IE9*LN_IE6</f>
        <v>-122160.02331725993</v>
      </c>
      <c r="E162" s="479">
        <f t="shared" si="16"/>
        <v>69686.168028377855</v>
      </c>
      <c r="F162" s="449">
        <f t="shared" si="17"/>
        <v>-0.36323977838490662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158</v>
      </c>
      <c r="D163" s="456">
        <v>330</v>
      </c>
      <c r="E163" s="506">
        <f t="shared" si="16"/>
        <v>172</v>
      </c>
      <c r="F163" s="449">
        <f t="shared" si="17"/>
        <v>1.0886075949367089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2877.8101265822784</v>
      </c>
      <c r="D164" s="465">
        <f>IF(LN_IE11=0,0,LN_IE2/LN_IE11)</f>
        <v>1489.0030303030303</v>
      </c>
      <c r="E164" s="465">
        <f t="shared" si="16"/>
        <v>-1388.8070962792481</v>
      </c>
      <c r="F164" s="449">
        <f t="shared" si="17"/>
        <v>-0.48259163572011332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5.4482758620689653</v>
      </c>
      <c r="D165" s="466">
        <f>IF(LN_IE4=0,0,LN_IE11/LN_IE4)</f>
        <v>7.333333333333333</v>
      </c>
      <c r="E165" s="466">
        <f t="shared" si="16"/>
        <v>1.8850574712643677</v>
      </c>
      <c r="F165" s="449">
        <f t="shared" si="17"/>
        <v>0.34599156118143459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614280</v>
      </c>
      <c r="D168" s="511">
        <v>988288</v>
      </c>
      <c r="E168" s="511">
        <f t="shared" ref="E168:E176" si="18">D168-C168</f>
        <v>374008</v>
      </c>
      <c r="F168" s="449">
        <f t="shared" ref="F168:F176" si="19">IF(C168=0,0,E168/C168)</f>
        <v>0.60885589633391934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257729</v>
      </c>
      <c r="D169" s="511">
        <v>105704</v>
      </c>
      <c r="E169" s="511">
        <f t="shared" si="18"/>
        <v>-152025</v>
      </c>
      <c r="F169" s="449">
        <f t="shared" si="19"/>
        <v>-0.58986377163609838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0.41956274011851274</v>
      </c>
      <c r="D170" s="453">
        <f>IF(LN_IE14=0,0,LN_IE15/LN_IE14)</f>
        <v>0.10695667659629582</v>
      </c>
      <c r="E170" s="454">
        <f t="shared" si="18"/>
        <v>-0.31260606352221693</v>
      </c>
      <c r="F170" s="449">
        <f t="shared" si="19"/>
        <v>-0.74507584594836984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0.56681910287783321</v>
      </c>
      <c r="D171" s="453">
        <f>IF(LN_IE1=0,0,LN_IE14/LN_IE1)</f>
        <v>0.54849369138571957</v>
      </c>
      <c r="E171" s="454">
        <f t="shared" si="18"/>
        <v>-1.8325411492113641E-2</v>
      </c>
      <c r="F171" s="449">
        <f t="shared" si="19"/>
        <v>-3.2330264451343529E-2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16.437753983457164</v>
      </c>
      <c r="D172" s="463">
        <f>LN_IE17*LN_IE4</f>
        <v>24.682216112357381</v>
      </c>
      <c r="E172" s="463">
        <f t="shared" si="18"/>
        <v>8.2444621289002171</v>
      </c>
      <c r="F172" s="449">
        <f t="shared" si="19"/>
        <v>0.50155648619619109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15679.088533590209</v>
      </c>
      <c r="D173" s="465">
        <f>IF(LN_IE18=0,0,LN_IE15/LN_IE18)</f>
        <v>4282.5976208464645</v>
      </c>
      <c r="E173" s="465">
        <f t="shared" si="18"/>
        <v>-11396.490912743746</v>
      </c>
      <c r="F173" s="449">
        <f t="shared" si="19"/>
        <v>-0.72685927427020969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-606.03416408678822</v>
      </c>
      <c r="D174" s="465">
        <f>LN_IB18-LN_IE19</f>
        <v>11607.599434507261</v>
      </c>
      <c r="E174" s="465">
        <f t="shared" si="18"/>
        <v>12213.63359859405</v>
      </c>
      <c r="F174" s="449">
        <f t="shared" si="19"/>
        <v>-20.153374714440972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-4097.0409962161921</v>
      </c>
      <c r="D175" s="465">
        <f>LN_IA16-LN_IE19</f>
        <v>7884.5787117743193</v>
      </c>
      <c r="E175" s="465">
        <f t="shared" si="18"/>
        <v>11981.619707990511</v>
      </c>
      <c r="F175" s="449">
        <f t="shared" si="19"/>
        <v>-2.9244568748655659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-67346.151955940019</v>
      </c>
      <c r="D176" s="441">
        <f>LN_IE21*LN_IE18</f>
        <v>194608.87571890611</v>
      </c>
      <c r="E176" s="441">
        <f t="shared" si="18"/>
        <v>261955.02767484612</v>
      </c>
      <c r="F176" s="449">
        <f t="shared" si="19"/>
        <v>-3.8896807028592426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1698012</v>
      </c>
      <c r="D179" s="448">
        <f>LN_IE1+LN_IE14</f>
        <v>2790110</v>
      </c>
      <c r="E179" s="448">
        <f>D179-C179</f>
        <v>1092098</v>
      </c>
      <c r="F179" s="449">
        <f>IF(C179=0,0,E179/C179)</f>
        <v>0.64316271027531013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712423</v>
      </c>
      <c r="D180" s="448">
        <f>LN_IE15+LN_IE2</f>
        <v>597075</v>
      </c>
      <c r="E180" s="448">
        <f>D180-C180</f>
        <v>-115348</v>
      </c>
      <c r="F180" s="449">
        <f>IF(C180=0,0,E180/C180)</f>
        <v>-0.1619094274047862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985589</v>
      </c>
      <c r="D181" s="448">
        <f>LN_IE23-LN_IE24</f>
        <v>2193035</v>
      </c>
      <c r="E181" s="448">
        <f>D181-C181</f>
        <v>1207446</v>
      </c>
      <c r="F181" s="449">
        <f>IF(C181=0,0,E181/C181)</f>
        <v>1.2251009294949518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-259192.34330157778</v>
      </c>
      <c r="D183" s="448">
        <f>LN_IE10+LN_IE22</f>
        <v>72448.852401646189</v>
      </c>
      <c r="E183" s="441">
        <f>D183-C183</f>
        <v>331641.19570322399</v>
      </c>
      <c r="F183" s="449">
        <f>IF(C183=0,0,E183/C183)</f>
        <v>-1.2795177183044713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77638223</v>
      </c>
      <c r="D188" s="448">
        <f>LN_ID1+LN_IE1</f>
        <v>84615588</v>
      </c>
      <c r="E188" s="448">
        <f t="shared" ref="E188:E200" si="20">D188-C188</f>
        <v>6977365</v>
      </c>
      <c r="F188" s="449">
        <f t="shared" ref="F188:F200" si="21">IF(C188=0,0,E188/C188)</f>
        <v>8.9870230543530091E-2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17325457</v>
      </c>
      <c r="D189" s="448">
        <f>LN_1D2+LN_IE2</f>
        <v>16496094</v>
      </c>
      <c r="E189" s="448">
        <f t="shared" si="20"/>
        <v>-829363</v>
      </c>
      <c r="F189" s="449">
        <f t="shared" si="21"/>
        <v>-4.7869617522931715E-2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0.22315627960727541</v>
      </c>
      <c r="D190" s="453">
        <f>IF(LN_IF1=0,0,LN_IF2/LN_IF1)</f>
        <v>0.19495336958480983</v>
      </c>
      <c r="E190" s="454">
        <f t="shared" si="20"/>
        <v>-2.8202910022465583E-2</v>
      </c>
      <c r="F190" s="449">
        <f t="shared" si="21"/>
        <v>-0.12638187942592902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3350</v>
      </c>
      <c r="D191" s="456">
        <f>LN_ID4+LN_IE4</f>
        <v>3295</v>
      </c>
      <c r="E191" s="456">
        <f t="shared" si="20"/>
        <v>-55</v>
      </c>
      <c r="F191" s="449">
        <f t="shared" si="21"/>
        <v>-1.6417910447761194E-2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1.0354785671641791</v>
      </c>
      <c r="D192" s="459">
        <f>IF((LN_ID4+LN_IE4)=0,0,(LN_ID6+LN_IE6)/(LN_ID4+LN_IE4))</f>
        <v>1.059960091047041</v>
      </c>
      <c r="E192" s="460">
        <f t="shared" si="20"/>
        <v>2.4481523882861955E-2</v>
      </c>
      <c r="F192" s="449">
        <f t="shared" si="21"/>
        <v>2.3642714257146296E-2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3468.8532</v>
      </c>
      <c r="D193" s="463">
        <f>LN_IF4*LN_IF5</f>
        <v>3492.5685000000003</v>
      </c>
      <c r="E193" s="463">
        <f t="shared" si="20"/>
        <v>23.715300000000298</v>
      </c>
      <c r="F193" s="449">
        <f t="shared" si="21"/>
        <v>6.836639843969268E-3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4994.5777469049426</v>
      </c>
      <c r="D194" s="465">
        <f>IF(LN_IF6=0,0,LN_IF2/LN_IF6)</f>
        <v>4723.1984140039049</v>
      </c>
      <c r="E194" s="465">
        <f t="shared" si="20"/>
        <v>-271.37933290103774</v>
      </c>
      <c r="F194" s="449">
        <f t="shared" si="21"/>
        <v>-5.4334789976831784E-2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7794.3079446513748</v>
      </c>
      <c r="D195" s="465">
        <f>LN_IB7-LN_IF7</f>
        <v>8015.9224278541324</v>
      </c>
      <c r="E195" s="465">
        <f t="shared" si="20"/>
        <v>221.61448320275758</v>
      </c>
      <c r="F195" s="449">
        <f t="shared" si="21"/>
        <v>2.8432862131760436E-2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2528.4281792285192</v>
      </c>
      <c r="D196" s="465">
        <f>LN_IA7-LN_IF7</f>
        <v>2985.801276616744</v>
      </c>
      <c r="E196" s="465">
        <f t="shared" si="20"/>
        <v>457.37309738822478</v>
      </c>
      <c r="F196" s="449">
        <f t="shared" si="21"/>
        <v>0.18089226387588342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8770746.1804870255</v>
      </c>
      <c r="D197" s="479">
        <f>LN_IF9*LN_IF6</f>
        <v>10428115.485971427</v>
      </c>
      <c r="E197" s="479">
        <f t="shared" si="20"/>
        <v>1657369.3054844011</v>
      </c>
      <c r="F197" s="449">
        <f t="shared" si="21"/>
        <v>0.18896559897853182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16338</v>
      </c>
      <c r="D198" s="456">
        <f>LN_ID11+LN_IE11</f>
        <v>15938</v>
      </c>
      <c r="E198" s="456">
        <f t="shared" si="20"/>
        <v>-400</v>
      </c>
      <c r="F198" s="449">
        <f t="shared" si="21"/>
        <v>-2.448280083241523E-2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1060.4392826539356</v>
      </c>
      <c r="D199" s="519">
        <f>IF(LN_IF11=0,0,LN_IF2/LN_IF11)</f>
        <v>1035.0165641862216</v>
      </c>
      <c r="E199" s="519">
        <f t="shared" si="20"/>
        <v>-25.422718467714049</v>
      </c>
      <c r="F199" s="449">
        <f t="shared" si="21"/>
        <v>-2.3973761518989781E-2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4.8770149253731345</v>
      </c>
      <c r="D200" s="466">
        <f>IF(LN_IF4=0,0,LN_IF11/LN_IF4)</f>
        <v>4.8370257966616084</v>
      </c>
      <c r="E200" s="466">
        <f t="shared" si="20"/>
        <v>-3.9989128711526156E-2</v>
      </c>
      <c r="F200" s="449">
        <f t="shared" si="21"/>
        <v>-8.1995091922886908E-3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83245316</v>
      </c>
      <c r="D203" s="448">
        <f>LN_ID14+LN_IE14</f>
        <v>92308244</v>
      </c>
      <c r="E203" s="448">
        <f t="shared" ref="E203:E211" si="22">D203-C203</f>
        <v>9062928</v>
      </c>
      <c r="F203" s="449">
        <f t="shared" ref="F203:F211" si="23">IF(C203=0,0,E203/C203)</f>
        <v>0.10887012549751147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18467616</v>
      </c>
      <c r="D204" s="448">
        <f>LN_ID15+LN_IE15</f>
        <v>17995803</v>
      </c>
      <c r="E204" s="448">
        <f t="shared" si="22"/>
        <v>-471813</v>
      </c>
      <c r="F204" s="449">
        <f t="shared" si="23"/>
        <v>-2.5548127056572976E-2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0.22184570721072161</v>
      </c>
      <c r="D205" s="453">
        <f>IF(LN_IF14=0,0,LN_IF15/LN_IF14)</f>
        <v>0.19495336732870794</v>
      </c>
      <c r="E205" s="454">
        <f t="shared" si="22"/>
        <v>-2.6892339882013672E-2</v>
      </c>
      <c r="F205" s="449">
        <f t="shared" si="23"/>
        <v>-0.12122091619501028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1.0722207797053778</v>
      </c>
      <c r="D206" s="453">
        <f>IF(LN_IF1=0,0,LN_IF14/LN_IF1)</f>
        <v>1.0909129887509617</v>
      </c>
      <c r="E206" s="454">
        <f t="shared" si="22"/>
        <v>1.8692209045583885E-2</v>
      </c>
      <c r="F206" s="449">
        <f t="shared" si="23"/>
        <v>1.7433171786430109E-2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3601.0435291821977</v>
      </c>
      <c r="D207" s="463">
        <f>LN_ID18+LN_IE18</f>
        <v>3608.5049467438803</v>
      </c>
      <c r="E207" s="463">
        <f t="shared" si="22"/>
        <v>7.4614175616825378</v>
      </c>
      <c r="F207" s="449">
        <f t="shared" si="23"/>
        <v>2.0720153758810676E-3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5128.4067660781711</v>
      </c>
      <c r="D208" s="465">
        <f>IF(LN_IF18=0,0,LN_IF15/LN_IF18)</f>
        <v>4987.0523293139559</v>
      </c>
      <c r="E208" s="465">
        <f t="shared" si="22"/>
        <v>-141.35443676421528</v>
      </c>
      <c r="F208" s="449">
        <f t="shared" si="23"/>
        <v>-2.7563031407571589E-2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9944.6476034252501</v>
      </c>
      <c r="D209" s="465">
        <f>LN_IB18-LN_IF19</f>
        <v>10903.144726039769</v>
      </c>
      <c r="E209" s="465">
        <f t="shared" si="22"/>
        <v>958.49712261451896</v>
      </c>
      <c r="F209" s="449">
        <f t="shared" si="23"/>
        <v>9.6383216463535856E-2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6453.6407712958462</v>
      </c>
      <c r="D210" s="465">
        <f>LN_IA16-LN_IF19</f>
        <v>7180.1240033068279</v>
      </c>
      <c r="E210" s="465">
        <f t="shared" si="22"/>
        <v>726.48323201098174</v>
      </c>
      <c r="F210" s="449">
        <f t="shared" si="23"/>
        <v>0.11256951816131361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23239841.339141313</v>
      </c>
      <c r="D211" s="441">
        <f>LN_IF21*LN_IF18</f>
        <v>25909512.984167162</v>
      </c>
      <c r="E211" s="441">
        <f t="shared" si="22"/>
        <v>2669671.6450258493</v>
      </c>
      <c r="F211" s="449">
        <f t="shared" si="23"/>
        <v>0.11487477930968056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160883539</v>
      </c>
      <c r="D214" s="448">
        <f>LN_IF1+LN_IF14</f>
        <v>176923832</v>
      </c>
      <c r="E214" s="448">
        <f>D214-C214</f>
        <v>16040293</v>
      </c>
      <c r="F214" s="449">
        <f>IF(C214=0,0,E214/C214)</f>
        <v>9.9701269003039522E-2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35793073</v>
      </c>
      <c r="D215" s="448">
        <f>LN_IF2+LN_IF15</f>
        <v>34491897</v>
      </c>
      <c r="E215" s="448">
        <f>D215-C215</f>
        <v>-1301176</v>
      </c>
      <c r="F215" s="449">
        <f>IF(C215=0,0,E215/C215)</f>
        <v>-3.6352732273085352E-2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125090466</v>
      </c>
      <c r="D216" s="448">
        <f>LN_IF23-LN_IF24</f>
        <v>142431935</v>
      </c>
      <c r="E216" s="448">
        <f>D216-C216</f>
        <v>17341469</v>
      </c>
      <c r="F216" s="449">
        <f>IF(C216=0,0,E216/C216)</f>
        <v>0.13863142055926148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545231</v>
      </c>
      <c r="D221" s="448">
        <v>537833</v>
      </c>
      <c r="E221" s="448">
        <f t="shared" ref="E221:E230" si="24">D221-C221</f>
        <v>-7398</v>
      </c>
      <c r="F221" s="449">
        <f t="shared" ref="F221:F230" si="25">IF(C221=0,0,E221/C221)</f>
        <v>-1.3568560848521085E-2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183218</v>
      </c>
      <c r="D222" s="448">
        <v>206353</v>
      </c>
      <c r="E222" s="448">
        <f t="shared" si="24"/>
        <v>23135</v>
      </c>
      <c r="F222" s="449">
        <f t="shared" si="25"/>
        <v>0.12627034461679529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0.33603738598869104</v>
      </c>
      <c r="D223" s="453">
        <f>IF(LN_IG1=0,0,LN_IG2/LN_IG1)</f>
        <v>0.38367485818088515</v>
      </c>
      <c r="E223" s="454">
        <f t="shared" si="24"/>
        <v>4.7637472192194108E-2</v>
      </c>
      <c r="F223" s="449">
        <f t="shared" si="25"/>
        <v>0.1417624174525548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35</v>
      </c>
      <c r="D224" s="456">
        <v>34</v>
      </c>
      <c r="E224" s="456">
        <f t="shared" si="24"/>
        <v>-1</v>
      </c>
      <c r="F224" s="449">
        <f t="shared" si="25"/>
        <v>-2.8571428571428571E-2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0.87509999999999999</v>
      </c>
      <c r="D225" s="459">
        <v>0.71519999999999995</v>
      </c>
      <c r="E225" s="460">
        <f t="shared" si="24"/>
        <v>-0.15990000000000004</v>
      </c>
      <c r="F225" s="449">
        <f t="shared" si="25"/>
        <v>-0.18272197463147075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30.628499999999999</v>
      </c>
      <c r="D226" s="463">
        <f>LN_IG3*LN_IG4</f>
        <v>24.316799999999997</v>
      </c>
      <c r="E226" s="463">
        <f t="shared" si="24"/>
        <v>-6.3117000000000019</v>
      </c>
      <c r="F226" s="449">
        <f t="shared" si="25"/>
        <v>-0.20607277535628588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5981.9449205805049</v>
      </c>
      <c r="D227" s="465">
        <f>IF(LN_IG5=0,0,LN_IG2/LN_IG5)</f>
        <v>8486.02612185814</v>
      </c>
      <c r="E227" s="465">
        <f t="shared" si="24"/>
        <v>2504.081201277635</v>
      </c>
      <c r="F227" s="449">
        <f t="shared" si="25"/>
        <v>0.41860652923474795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99</v>
      </c>
      <c r="D228" s="456">
        <v>106</v>
      </c>
      <c r="E228" s="456">
        <f t="shared" si="24"/>
        <v>7</v>
      </c>
      <c r="F228" s="449">
        <f t="shared" si="25"/>
        <v>7.0707070707070704E-2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1850.6868686868686</v>
      </c>
      <c r="D229" s="465">
        <f>IF(LN_IG6=0,0,LN_IG2/LN_IG6)</f>
        <v>1946.7264150943397</v>
      </c>
      <c r="E229" s="465">
        <f t="shared" si="24"/>
        <v>96.039546407471107</v>
      </c>
      <c r="F229" s="449">
        <f t="shared" si="25"/>
        <v>5.1894001104365511E-2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2.8285714285714287</v>
      </c>
      <c r="D230" s="466">
        <f>IF(LN_IG3=0,0,LN_IG6/LN_IG3)</f>
        <v>3.1176470588235294</v>
      </c>
      <c r="E230" s="466">
        <f t="shared" si="24"/>
        <v>0.2890756302521007</v>
      </c>
      <c r="F230" s="449">
        <f t="shared" si="25"/>
        <v>0.10219845513963155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869852</v>
      </c>
      <c r="D233" s="448">
        <v>978863</v>
      </c>
      <c r="E233" s="448">
        <f>D233-C233</f>
        <v>109011</v>
      </c>
      <c r="F233" s="449">
        <f>IF(C233=0,0,E233/C233)</f>
        <v>0.12532131902898425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196969</v>
      </c>
      <c r="D234" s="448">
        <v>220660</v>
      </c>
      <c r="E234" s="448">
        <f>D234-C234</f>
        <v>23691</v>
      </c>
      <c r="F234" s="449">
        <f>IF(C234=0,0,E234/C234)</f>
        <v>0.12027781021378998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1415083</v>
      </c>
      <c r="D237" s="448">
        <f>LN_IG1+LN_IG9</f>
        <v>1516696</v>
      </c>
      <c r="E237" s="448">
        <f>D237-C237</f>
        <v>101613</v>
      </c>
      <c r="F237" s="449">
        <f>IF(C237=0,0,E237/C237)</f>
        <v>7.1807095414191252E-2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380187</v>
      </c>
      <c r="D238" s="448">
        <f>LN_IG2+LN_IG10</f>
        <v>427013</v>
      </c>
      <c r="E238" s="448">
        <f>D238-C238</f>
        <v>46826</v>
      </c>
      <c r="F238" s="449">
        <f>IF(C238=0,0,E238/C238)</f>
        <v>0.12316570529765615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1034896</v>
      </c>
      <c r="D239" s="448">
        <f>LN_IG13-LN_IG14</f>
        <v>1089683</v>
      </c>
      <c r="E239" s="448">
        <f>D239-C239</f>
        <v>54787</v>
      </c>
      <c r="F239" s="449">
        <f>IF(C239=0,0,E239/C239)</f>
        <v>5.293961905350876E-2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15260805</v>
      </c>
      <c r="D243" s="448">
        <v>15495383</v>
      </c>
      <c r="E243" s="441">
        <f>D243-C243</f>
        <v>234578</v>
      </c>
      <c r="F243" s="503">
        <f>IF(C243=0,0,E243/C243)</f>
        <v>1.5371273009516864E-2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486568594</v>
      </c>
      <c r="D244" s="448">
        <v>502208728</v>
      </c>
      <c r="E244" s="441">
        <f>D244-C244</f>
        <v>15640134</v>
      </c>
      <c r="F244" s="503">
        <f>IF(C244=0,0,E244/C244)</f>
        <v>3.2143739223744472E-2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12948351</v>
      </c>
      <c r="D248" s="441">
        <v>12601255</v>
      </c>
      <c r="E248" s="441">
        <f>D248-C248</f>
        <v>-347096</v>
      </c>
      <c r="F248" s="449">
        <f>IF(C248=0,0,E248/C248)</f>
        <v>-2.6806193313727748E-2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17114070</v>
      </c>
      <c r="D249" s="441">
        <v>15123888</v>
      </c>
      <c r="E249" s="441">
        <f>D249-C249</f>
        <v>-1990182</v>
      </c>
      <c r="F249" s="449">
        <f>IF(C249=0,0,E249/C249)</f>
        <v>-0.11628922868727311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30062421</v>
      </c>
      <c r="D250" s="441">
        <f>LN_IH4+LN_IH5</f>
        <v>27725143</v>
      </c>
      <c r="E250" s="441">
        <f>D250-C250</f>
        <v>-2337278</v>
      </c>
      <c r="F250" s="449">
        <f>IF(C250=0,0,E250/C250)</f>
        <v>-7.7747497448725097E-2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12529988.689364675</v>
      </c>
      <c r="D251" s="441">
        <f>LN_IH6*LN_III10</f>
        <v>11201137.53841012</v>
      </c>
      <c r="E251" s="441">
        <f>D251-C251</f>
        <v>-1328851.1509545557</v>
      </c>
      <c r="F251" s="449">
        <f>IF(C251=0,0,E251/C251)</f>
        <v>-0.1060536592568891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160883539</v>
      </c>
      <c r="D254" s="441">
        <f>LN_IF23</f>
        <v>176923832</v>
      </c>
      <c r="E254" s="441">
        <f>D254-C254</f>
        <v>16040293</v>
      </c>
      <c r="F254" s="449">
        <f>IF(C254=0,0,E254/C254)</f>
        <v>9.9701269003039522E-2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35793073</v>
      </c>
      <c r="D255" s="441">
        <f>LN_IF24</f>
        <v>34491897</v>
      </c>
      <c r="E255" s="441">
        <f>D255-C255</f>
        <v>-1301176</v>
      </c>
      <c r="F255" s="449">
        <f>IF(C255=0,0,E255/C255)</f>
        <v>-3.6352732273085352E-2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67056107.157003775</v>
      </c>
      <c r="D256" s="441">
        <f>LN_IH8*LN_III10</f>
        <v>71478375.280321032</v>
      </c>
      <c r="E256" s="441">
        <f>D256-C256</f>
        <v>4422268.1233172566</v>
      </c>
      <c r="F256" s="449">
        <f>IF(C256=0,0,E256/C256)</f>
        <v>6.594877500065803E-2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31263034.157003775</v>
      </c>
      <c r="D257" s="441">
        <f>LN_IH10-LN_IH9</f>
        <v>36986478.280321032</v>
      </c>
      <c r="E257" s="441">
        <f>D257-C257</f>
        <v>5723444.1233172566</v>
      </c>
      <c r="F257" s="449">
        <f>IF(C257=0,0,E257/C257)</f>
        <v>0.18307385311911731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558157414</v>
      </c>
      <c r="D261" s="448">
        <f>LN_IA1+LN_IB1+LN_IF1+LN_IG1</f>
        <v>594451602</v>
      </c>
      <c r="E261" s="448">
        <f t="shared" ref="E261:E274" si="26">D261-C261</f>
        <v>36294188</v>
      </c>
      <c r="F261" s="503">
        <f t="shared" ref="F261:F274" si="27">IF(C261=0,0,E261/C261)</f>
        <v>6.502500386029092E-2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220474260</v>
      </c>
      <c r="D262" s="448">
        <f>+LN_IA2+LN_IB2+LN_IF2+LN_IG2</f>
        <v>226465711</v>
      </c>
      <c r="E262" s="448">
        <f t="shared" si="26"/>
        <v>5991451</v>
      </c>
      <c r="F262" s="503">
        <f t="shared" si="27"/>
        <v>2.7175285677339386E-2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0.39500372918095827</v>
      </c>
      <c r="D263" s="453">
        <f>IF(LN_IIA1=0,0,LN_IIA2/LN_IIA1)</f>
        <v>0.380965767840592</v>
      </c>
      <c r="E263" s="454">
        <f t="shared" si="26"/>
        <v>-1.4037961340366278E-2</v>
      </c>
      <c r="F263" s="458">
        <f t="shared" si="27"/>
        <v>-3.5538807113224082E-2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18562</v>
      </c>
      <c r="D264" s="456">
        <f>LN_IA4+LN_IB4+LN_IF4+LN_IG3</f>
        <v>18290</v>
      </c>
      <c r="E264" s="456">
        <f t="shared" si="26"/>
        <v>-272</v>
      </c>
      <c r="F264" s="503">
        <f t="shared" si="27"/>
        <v>-1.4653593362784182E-2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1.3296381499838379</v>
      </c>
      <c r="D265" s="525">
        <f>IF(LN_IIA4=0,0,LN_IIA6/LN_IIA4)</f>
        <v>1.3808564040459268</v>
      </c>
      <c r="E265" s="525">
        <f t="shared" si="26"/>
        <v>5.1218254062088908E-2</v>
      </c>
      <c r="F265" s="503">
        <f t="shared" si="27"/>
        <v>3.8520445628542982E-2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24680.743340000001</v>
      </c>
      <c r="D266" s="463">
        <f>LN_IA6+LN_IB6+LN_IF6+LN_IG5</f>
        <v>25255.86363</v>
      </c>
      <c r="E266" s="463">
        <f t="shared" si="26"/>
        <v>575.12028999999893</v>
      </c>
      <c r="F266" s="503">
        <f t="shared" si="27"/>
        <v>2.330238931936476E-2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673733258</v>
      </c>
      <c r="D267" s="448">
        <f>LN_IA11+LN_IB13+LN_IF14+LN_IG9</f>
        <v>697058450</v>
      </c>
      <c r="E267" s="448">
        <f t="shared" si="26"/>
        <v>23325192</v>
      </c>
      <c r="F267" s="503">
        <f t="shared" si="27"/>
        <v>3.4620811312241914E-2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1.2070667541110545</v>
      </c>
      <c r="D268" s="453">
        <f>IF(LN_IIA1=0,0,LN_IIA7/LN_IIA1)</f>
        <v>1.1726075725168961</v>
      </c>
      <c r="E268" s="454">
        <f t="shared" si="26"/>
        <v>-3.4459181594158395E-2</v>
      </c>
      <c r="F268" s="458">
        <f t="shared" si="27"/>
        <v>-2.8547867362593293E-2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294011505</v>
      </c>
      <c r="D269" s="448">
        <f>LN_IA12+LN_IB14+LN_IF15+LN_IG10</f>
        <v>296341938</v>
      </c>
      <c r="E269" s="448">
        <f t="shared" si="26"/>
        <v>2330433</v>
      </c>
      <c r="F269" s="503">
        <f t="shared" si="27"/>
        <v>7.9263326787160932E-3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0.43639155631530363</v>
      </c>
      <c r="D270" s="453">
        <f>IF(LN_IIA7=0,0,LN_IIA9/LN_IIA7)</f>
        <v>0.42513212199063077</v>
      </c>
      <c r="E270" s="454">
        <f t="shared" si="26"/>
        <v>-1.1259434324672857E-2</v>
      </c>
      <c r="F270" s="458">
        <f t="shared" si="27"/>
        <v>-2.5801219482206567E-2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1231890672</v>
      </c>
      <c r="D271" s="441">
        <f>LN_IIA1+LN_IIA7</f>
        <v>1291510052</v>
      </c>
      <c r="E271" s="441">
        <f t="shared" si="26"/>
        <v>59619380</v>
      </c>
      <c r="F271" s="503">
        <f t="shared" si="27"/>
        <v>4.8396648627273636E-2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514485765</v>
      </c>
      <c r="D272" s="441">
        <f>LN_IIA2+LN_IIA9</f>
        <v>522807649</v>
      </c>
      <c r="E272" s="441">
        <f t="shared" si="26"/>
        <v>8321884</v>
      </c>
      <c r="F272" s="503">
        <f t="shared" si="27"/>
        <v>1.6175149180269351E-2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0.41763914338658131</v>
      </c>
      <c r="D273" s="453">
        <f>IF(LN_IIA11=0,0,LN_IIA12/LN_IIA11)</f>
        <v>0.40480339134054222</v>
      </c>
      <c r="E273" s="454">
        <f t="shared" si="26"/>
        <v>-1.2835752046039095E-2</v>
      </c>
      <c r="F273" s="458">
        <f t="shared" si="27"/>
        <v>-3.0734073300590688E-2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91003</v>
      </c>
      <c r="D274" s="508">
        <f>LN_IA8+LN_IB10+LN_IF11+LN_IG6</f>
        <v>92169</v>
      </c>
      <c r="E274" s="528">
        <f t="shared" si="26"/>
        <v>1166</v>
      </c>
      <c r="F274" s="458">
        <f t="shared" si="27"/>
        <v>1.2812764414359966E-2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376475458</v>
      </c>
      <c r="D277" s="448">
        <f>LN_IA1+LN_IF1+LN_IG1</f>
        <v>411173195</v>
      </c>
      <c r="E277" s="448">
        <f t="shared" ref="E277:E291" si="28">D277-C277</f>
        <v>34697737</v>
      </c>
      <c r="F277" s="503">
        <f t="shared" ref="F277:F291" si="29">IF(C277=0,0,E277/C277)</f>
        <v>9.2164671727419739E-2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114540165</v>
      </c>
      <c r="D278" s="448">
        <f>LN_IA2+LN_IF2+LN_IG2</f>
        <v>119648383</v>
      </c>
      <c r="E278" s="448">
        <f t="shared" si="28"/>
        <v>5108218</v>
      </c>
      <c r="F278" s="503">
        <f t="shared" si="29"/>
        <v>4.4597613422330935E-2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0.30424337779808214</v>
      </c>
      <c r="D279" s="453">
        <f>IF(D277=0,0,LN_IIB2/D277)</f>
        <v>0.29099266307960564</v>
      </c>
      <c r="E279" s="454">
        <f t="shared" si="28"/>
        <v>-1.3250714718476497E-2</v>
      </c>
      <c r="F279" s="458">
        <f t="shared" si="29"/>
        <v>-4.3553009483317751E-2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11754</v>
      </c>
      <c r="D280" s="456">
        <f>LN_IA4+LN_IF4+LN_IG3</f>
        <v>11774</v>
      </c>
      <c r="E280" s="456">
        <f t="shared" si="28"/>
        <v>20</v>
      </c>
      <c r="F280" s="503">
        <f t="shared" si="29"/>
        <v>1.7015484090522376E-3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1.3950527258805514</v>
      </c>
      <c r="D281" s="525">
        <f>IF(LN_IIB4=0,0,LN_IIB6/LN_IIB4)</f>
        <v>1.4328927594700189</v>
      </c>
      <c r="E281" s="525">
        <f t="shared" si="28"/>
        <v>3.7840033589467525E-2</v>
      </c>
      <c r="F281" s="503">
        <f t="shared" si="29"/>
        <v>2.7124446902595065E-2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16397.44974</v>
      </c>
      <c r="D282" s="463">
        <f>LN_IA6+LN_IF6+LN_IG5</f>
        <v>16870.879350000003</v>
      </c>
      <c r="E282" s="463">
        <f t="shared" si="28"/>
        <v>473.42961000000287</v>
      </c>
      <c r="F282" s="503">
        <f t="shared" si="29"/>
        <v>2.8872148871120912E-2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324582208</v>
      </c>
      <c r="D283" s="448">
        <f>LN_IA11+LN_IF14+LN_IG9</f>
        <v>345389961</v>
      </c>
      <c r="E283" s="448">
        <f t="shared" si="28"/>
        <v>20807753</v>
      </c>
      <c r="F283" s="503">
        <f t="shared" si="29"/>
        <v>6.4106264875738353E-2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0.86216033768660694</v>
      </c>
      <c r="D284" s="453">
        <f>IF(D277=0,0,LN_IIB7/D277)</f>
        <v>0.8400108888421095</v>
      </c>
      <c r="E284" s="454">
        <f t="shared" si="28"/>
        <v>-2.2149448844497432E-2</v>
      </c>
      <c r="F284" s="458">
        <f t="shared" si="29"/>
        <v>-2.5690637664833871E-2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96804486</v>
      </c>
      <c r="D285" s="448">
        <f>LN_IA12+LN_IF15+LN_IG10</f>
        <v>97671837</v>
      </c>
      <c r="E285" s="448">
        <f t="shared" si="28"/>
        <v>867351</v>
      </c>
      <c r="F285" s="503">
        <f t="shared" si="29"/>
        <v>8.9598223784794432E-3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0.29824335288273102</v>
      </c>
      <c r="D286" s="453">
        <f>IF(LN_IIB7=0,0,LN_IIB9/LN_IIB7)</f>
        <v>0.28278713346853762</v>
      </c>
      <c r="E286" s="454">
        <f t="shared" si="28"/>
        <v>-1.5456219414193395E-2</v>
      </c>
      <c r="F286" s="458">
        <f t="shared" si="29"/>
        <v>-5.1824187412051949E-2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701057666</v>
      </c>
      <c r="D287" s="441">
        <f>D277+LN_IIB7</f>
        <v>756563156</v>
      </c>
      <c r="E287" s="441">
        <f t="shared" si="28"/>
        <v>55505490</v>
      </c>
      <c r="F287" s="503">
        <f t="shared" si="29"/>
        <v>7.9173929181454814E-2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211344651</v>
      </c>
      <c r="D288" s="441">
        <f>LN_IIB2+LN_IIB9</f>
        <v>217320220</v>
      </c>
      <c r="E288" s="441">
        <f t="shared" si="28"/>
        <v>5975569</v>
      </c>
      <c r="F288" s="503">
        <f t="shared" si="29"/>
        <v>2.8274048913591854E-2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0.3014654303773065</v>
      </c>
      <c r="D289" s="453">
        <f>IF(LN_IIB11=0,0,LN_IIB12/LN_IIB11)</f>
        <v>0.28724663404042372</v>
      </c>
      <c r="E289" s="454">
        <f t="shared" si="28"/>
        <v>-1.4218796336882777E-2</v>
      </c>
      <c r="F289" s="458">
        <f t="shared" si="29"/>
        <v>-4.7165594804972802E-2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64432</v>
      </c>
      <c r="D290" s="508">
        <f>LN_IA8+LN_IF11+LN_IG6</f>
        <v>66502</v>
      </c>
      <c r="E290" s="528">
        <f t="shared" si="28"/>
        <v>2070</v>
      </c>
      <c r="F290" s="458">
        <f t="shared" si="29"/>
        <v>3.2126893469083685E-2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489713015</v>
      </c>
      <c r="D291" s="516">
        <f>LN_IIB11-LN_IIB12</f>
        <v>539242936</v>
      </c>
      <c r="E291" s="441">
        <f t="shared" si="28"/>
        <v>49529921</v>
      </c>
      <c r="F291" s="503">
        <f t="shared" si="29"/>
        <v>0.10114070788990569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5.7348548213645598</v>
      </c>
      <c r="D294" s="466">
        <f>IF(LN_IA4=0,0,LN_IA8/LN_IA4)</f>
        <v>5.9748963883955</v>
      </c>
      <c r="E294" s="466">
        <f t="shared" ref="E294:E300" si="30">D294-C294</f>
        <v>0.24004156703094015</v>
      </c>
      <c r="F294" s="503">
        <f t="shared" ref="F294:F300" si="31">IF(C294=0,0,E294/C294)</f>
        <v>4.1856607448316242E-2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3.9029083431257345</v>
      </c>
      <c r="D295" s="466">
        <f>IF(LN_IB4=0,0,(LN_IB10)/(LN_IB4))</f>
        <v>3.939073050951504</v>
      </c>
      <c r="E295" s="466">
        <f t="shared" si="30"/>
        <v>3.6164707825769415E-2</v>
      </c>
      <c r="F295" s="503">
        <f t="shared" si="31"/>
        <v>9.2660920130156251E-3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3.6282051282051282</v>
      </c>
      <c r="D296" s="466">
        <f>IF(LN_IC4=0,0,LN_IC11/LN_IC4)</f>
        <v>3.822857142857143</v>
      </c>
      <c r="E296" s="466">
        <f t="shared" si="30"/>
        <v>0.19465201465201476</v>
      </c>
      <c r="F296" s="503">
        <f t="shared" si="31"/>
        <v>5.3649671882887461E-2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4.8720264980427581</v>
      </c>
      <c r="D297" s="466">
        <f>IF(LN_ID4=0,0,LN_ID11/LN_ID4)</f>
        <v>4.8024615384615386</v>
      </c>
      <c r="E297" s="466">
        <f t="shared" si="30"/>
        <v>-6.9564959581219554E-2</v>
      </c>
      <c r="F297" s="503">
        <f t="shared" si="31"/>
        <v>-1.4278444423314595E-2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5.4482758620689653</v>
      </c>
      <c r="D298" s="466">
        <f>IF(LN_IE4=0,0,LN_IE11/LN_IE4)</f>
        <v>7.333333333333333</v>
      </c>
      <c r="E298" s="466">
        <f t="shared" si="30"/>
        <v>1.8850574712643677</v>
      </c>
      <c r="F298" s="503">
        <f t="shared" si="31"/>
        <v>0.34599156118143459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2.8285714285714287</v>
      </c>
      <c r="D299" s="466">
        <f>IF(LN_IG3=0,0,LN_IG6/LN_IG3)</f>
        <v>3.1176470588235294</v>
      </c>
      <c r="E299" s="466">
        <f t="shared" si="30"/>
        <v>0.2890756302521007</v>
      </c>
      <c r="F299" s="503">
        <f t="shared" si="31"/>
        <v>0.10219845513963155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4.9026505764465034</v>
      </c>
      <c r="D300" s="466">
        <f>IF(LN_IIA4=0,0,LN_IIA14/LN_IIA4)</f>
        <v>5.0393110989611811</v>
      </c>
      <c r="E300" s="466">
        <f t="shared" si="30"/>
        <v>0.13666052251467775</v>
      </c>
      <c r="F300" s="503">
        <f t="shared" si="31"/>
        <v>2.7874824114781364E-2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1231890672</v>
      </c>
      <c r="D304" s="441">
        <f>LN_IIA11</f>
        <v>1291510052</v>
      </c>
      <c r="E304" s="441">
        <f t="shared" ref="E304:E316" si="32">D304-C304</f>
        <v>59619380</v>
      </c>
      <c r="F304" s="449">
        <f>IF(C304=0,0,E304/C304)</f>
        <v>4.8396648627273636E-2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489713015</v>
      </c>
      <c r="D305" s="441">
        <f>LN_IIB14</f>
        <v>539242936</v>
      </c>
      <c r="E305" s="441">
        <f t="shared" si="32"/>
        <v>49529921</v>
      </c>
      <c r="F305" s="449">
        <f>IF(C305=0,0,E305/C305)</f>
        <v>0.10114070788990569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30062421</v>
      </c>
      <c r="D306" s="441">
        <f>LN_IH6</f>
        <v>27725143</v>
      </c>
      <c r="E306" s="441">
        <f t="shared" si="32"/>
        <v>-2337278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180452266</v>
      </c>
      <c r="D307" s="441">
        <f>LN_IB32-LN_IB33</f>
        <v>185104879</v>
      </c>
      <c r="E307" s="441">
        <f t="shared" si="32"/>
        <v>4652613</v>
      </c>
      <c r="F307" s="449">
        <f t="shared" ref="F307:F316" si="33">IF(C307=0,0,E307/C307)</f>
        <v>2.5783067750448752E-2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18212101</v>
      </c>
      <c r="D308" s="441">
        <v>17658659</v>
      </c>
      <c r="E308" s="441">
        <f t="shared" si="32"/>
        <v>-553442</v>
      </c>
      <c r="F308" s="449">
        <f t="shared" si="33"/>
        <v>-3.0388695955507822E-2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718439803</v>
      </c>
      <c r="D309" s="441">
        <f>LN_III2+LN_III3+LN_III4+LN_III5</f>
        <v>769731617</v>
      </c>
      <c r="E309" s="441">
        <f t="shared" si="32"/>
        <v>51291814</v>
      </c>
      <c r="F309" s="449">
        <f t="shared" si="33"/>
        <v>7.1393335650140749E-2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513450869</v>
      </c>
      <c r="D310" s="441">
        <f>LN_III1-LN_III6</f>
        <v>521778435</v>
      </c>
      <c r="E310" s="441">
        <f t="shared" si="32"/>
        <v>8327566</v>
      </c>
      <c r="F310" s="449">
        <f t="shared" si="33"/>
        <v>1.6218817617776785E-2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513450869</v>
      </c>
      <c r="D312" s="441">
        <f>LN_III7+LN_III8</f>
        <v>521778435</v>
      </c>
      <c r="E312" s="441">
        <f t="shared" si="32"/>
        <v>8327566</v>
      </c>
      <c r="F312" s="449">
        <f t="shared" si="33"/>
        <v>1.6218817617776785E-2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0.41679905584998211</v>
      </c>
      <c r="D313" s="532">
        <f>IF(LN_III1=0,0,LN_III9/LN_III1)</f>
        <v>0.40400648387675114</v>
      </c>
      <c r="E313" s="532">
        <f t="shared" si="32"/>
        <v>-1.2792571973230971E-2</v>
      </c>
      <c r="F313" s="449">
        <f t="shared" si="33"/>
        <v>-3.0692420708926419E-2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12529988.689364675</v>
      </c>
      <c r="D314" s="441">
        <f>D313*LN_III5</f>
        <v>11201137.53841012</v>
      </c>
      <c r="E314" s="441">
        <f t="shared" si="32"/>
        <v>-1328851.1509545557</v>
      </c>
      <c r="F314" s="449">
        <f t="shared" si="33"/>
        <v>-0.1060536592568891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31263034.157003775</v>
      </c>
      <c r="D315" s="441">
        <f>D313*LN_IH8-LN_IH9</f>
        <v>36986478.280321032</v>
      </c>
      <c r="E315" s="441">
        <f t="shared" si="32"/>
        <v>5723444.1233172566</v>
      </c>
      <c r="F315" s="449">
        <f t="shared" si="33"/>
        <v>0.18307385311911731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43793022.846368447</v>
      </c>
      <c r="D318" s="441">
        <f>D314+D315+D316</f>
        <v>48187615.818731152</v>
      </c>
      <c r="E318" s="441">
        <f>D318-C318</f>
        <v>4394592.9723627046</v>
      </c>
      <c r="F318" s="449">
        <f>IF(C318=0,0,E318/C318)</f>
        <v>0.10034915807889082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23307187.491097253</v>
      </c>
      <c r="D322" s="441">
        <f>LN_ID22</f>
        <v>25714904.108448256</v>
      </c>
      <c r="E322" s="441">
        <f>LN_IV2-C322</f>
        <v>2407716.617351003</v>
      </c>
      <c r="F322" s="449">
        <f>IF(C322=0,0,E322/C322)</f>
        <v>0.10330361045367181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-259192.34330157778</v>
      </c>
      <c r="D323" s="441">
        <f>LN_IE10+LN_IE22</f>
        <v>72448.852401646189</v>
      </c>
      <c r="E323" s="441">
        <f>LN_IV3-C323</f>
        <v>331641.19570322399</v>
      </c>
      <c r="F323" s="449">
        <f>IF(C323=0,0,E323/C323)</f>
        <v>-1.2795177183044713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1878864.0144076457</v>
      </c>
      <c r="D324" s="441">
        <f>LN_IC10+LN_IC22</f>
        <v>3774529.7404329362</v>
      </c>
      <c r="E324" s="441">
        <f>LN_IV1-C324</f>
        <v>1895665.7260252906</v>
      </c>
      <c r="F324" s="449">
        <f>IF(C324=0,0,E324/C324)</f>
        <v>1.008942484122749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24926859.162203319</v>
      </c>
      <c r="D325" s="516">
        <f>LN_IV1+LN_IV2+LN_IV3</f>
        <v>29561882.70128284</v>
      </c>
      <c r="E325" s="441">
        <f>LN_IV4-C325</f>
        <v>4635023.5390795209</v>
      </c>
      <c r="F325" s="449">
        <f>IF(C325=0,0,E325/C325)</f>
        <v>0.18594494833539327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29497532</v>
      </c>
      <c r="D329" s="518">
        <v>28272630</v>
      </c>
      <c r="E329" s="518">
        <f t="shared" ref="E329:E335" si="34">D329-C329</f>
        <v>-1224902</v>
      </c>
      <c r="F329" s="542">
        <f t="shared" ref="F329:F335" si="35">IF(C329=0,0,E329/C329)</f>
        <v>-4.1525575766813302E-2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-12622526</v>
      </c>
      <c r="D330" s="516">
        <v>-18314843</v>
      </c>
      <c r="E330" s="518">
        <f t="shared" si="34"/>
        <v>-5692317</v>
      </c>
      <c r="F330" s="543">
        <f t="shared" si="35"/>
        <v>0.45096496533261249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501863239</v>
      </c>
      <c r="D331" s="516">
        <v>504492756</v>
      </c>
      <c r="E331" s="518">
        <f t="shared" si="34"/>
        <v>2629517</v>
      </c>
      <c r="F331" s="542">
        <f t="shared" si="35"/>
        <v>5.2395090846651948E-3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1231890672</v>
      </c>
      <c r="D333" s="516">
        <v>1291510052</v>
      </c>
      <c r="E333" s="518">
        <f t="shared" si="34"/>
        <v>59619380</v>
      </c>
      <c r="F333" s="542">
        <f t="shared" si="35"/>
        <v>4.8396648627273636E-2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30062421</v>
      </c>
      <c r="D335" s="516">
        <v>27725143</v>
      </c>
      <c r="E335" s="516">
        <f t="shared" si="34"/>
        <v>-2337278</v>
      </c>
      <c r="F335" s="542">
        <f t="shared" si="35"/>
        <v>-7.7747497448725097E-2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FILING&amp;RDANBURY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181681956</v>
      </c>
      <c r="D14" s="589">
        <v>183278407</v>
      </c>
      <c r="E14" s="590">
        <f t="shared" ref="E14:E22" si="0">D14-C14</f>
        <v>1596451</v>
      </c>
    </row>
    <row r="15" spans="1:5" s="421" customFormat="1" x14ac:dyDescent="0.2">
      <c r="A15" s="588">
        <v>2</v>
      </c>
      <c r="B15" s="587" t="s">
        <v>636</v>
      </c>
      <c r="C15" s="589">
        <v>298292004</v>
      </c>
      <c r="D15" s="591">
        <v>326019774</v>
      </c>
      <c r="E15" s="590">
        <f t="shared" si="0"/>
        <v>27727770</v>
      </c>
    </row>
    <row r="16" spans="1:5" s="421" customFormat="1" x14ac:dyDescent="0.2">
      <c r="A16" s="588">
        <v>3</v>
      </c>
      <c r="B16" s="587" t="s">
        <v>778</v>
      </c>
      <c r="C16" s="589">
        <v>77638223</v>
      </c>
      <c r="D16" s="591">
        <v>84615588</v>
      </c>
      <c r="E16" s="590">
        <f t="shared" si="0"/>
        <v>6977365</v>
      </c>
    </row>
    <row r="17" spans="1:5" s="421" customFormat="1" x14ac:dyDescent="0.2">
      <c r="A17" s="588">
        <v>4</v>
      </c>
      <c r="B17" s="587" t="s">
        <v>115</v>
      </c>
      <c r="C17" s="589">
        <v>76554491</v>
      </c>
      <c r="D17" s="591">
        <v>82813766</v>
      </c>
      <c r="E17" s="590">
        <f t="shared" si="0"/>
        <v>6259275</v>
      </c>
    </row>
    <row r="18" spans="1:5" s="421" customFormat="1" x14ac:dyDescent="0.2">
      <c r="A18" s="588">
        <v>5</v>
      </c>
      <c r="B18" s="587" t="s">
        <v>744</v>
      </c>
      <c r="C18" s="589">
        <v>1083732</v>
      </c>
      <c r="D18" s="591">
        <v>1801822</v>
      </c>
      <c r="E18" s="590">
        <f t="shared" si="0"/>
        <v>718090</v>
      </c>
    </row>
    <row r="19" spans="1:5" s="421" customFormat="1" x14ac:dyDescent="0.2">
      <c r="A19" s="588">
        <v>6</v>
      </c>
      <c r="B19" s="587" t="s">
        <v>424</v>
      </c>
      <c r="C19" s="589">
        <v>545231</v>
      </c>
      <c r="D19" s="591">
        <v>537833</v>
      </c>
      <c r="E19" s="590">
        <f t="shared" si="0"/>
        <v>-7398</v>
      </c>
    </row>
    <row r="20" spans="1:5" s="421" customFormat="1" x14ac:dyDescent="0.2">
      <c r="A20" s="588">
        <v>7</v>
      </c>
      <c r="B20" s="587" t="s">
        <v>759</v>
      </c>
      <c r="C20" s="589">
        <v>5494250</v>
      </c>
      <c r="D20" s="591">
        <v>5087812</v>
      </c>
      <c r="E20" s="590">
        <f t="shared" si="0"/>
        <v>-406438</v>
      </c>
    </row>
    <row r="21" spans="1:5" s="421" customFormat="1" x14ac:dyDescent="0.2">
      <c r="A21" s="588"/>
      <c r="B21" s="592" t="s">
        <v>779</v>
      </c>
      <c r="C21" s="593">
        <f>SUM(C15+C16+C19)</f>
        <v>376475458</v>
      </c>
      <c r="D21" s="593">
        <f>SUM(D15+D16+D19)</f>
        <v>411173195</v>
      </c>
      <c r="E21" s="593">
        <f t="shared" si="0"/>
        <v>34697737</v>
      </c>
    </row>
    <row r="22" spans="1:5" s="421" customFormat="1" x14ac:dyDescent="0.2">
      <c r="A22" s="588"/>
      <c r="B22" s="592" t="s">
        <v>465</v>
      </c>
      <c r="C22" s="593">
        <f>SUM(C14+C21)</f>
        <v>558157414</v>
      </c>
      <c r="D22" s="593">
        <f>SUM(D14+D21)</f>
        <v>594451602</v>
      </c>
      <c r="E22" s="593">
        <f t="shared" si="0"/>
        <v>36294188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349151050</v>
      </c>
      <c r="D25" s="589">
        <v>351668489</v>
      </c>
      <c r="E25" s="590">
        <f t="shared" ref="E25:E33" si="1">D25-C25</f>
        <v>2517439</v>
      </c>
    </row>
    <row r="26" spans="1:5" s="421" customFormat="1" x14ac:dyDescent="0.2">
      <c r="A26" s="588">
        <v>2</v>
      </c>
      <c r="B26" s="587" t="s">
        <v>636</v>
      </c>
      <c r="C26" s="589">
        <v>240467040</v>
      </c>
      <c r="D26" s="591">
        <v>252102854</v>
      </c>
      <c r="E26" s="590">
        <f t="shared" si="1"/>
        <v>11635814</v>
      </c>
    </row>
    <row r="27" spans="1:5" s="421" customFormat="1" x14ac:dyDescent="0.2">
      <c r="A27" s="588">
        <v>3</v>
      </c>
      <c r="B27" s="587" t="s">
        <v>778</v>
      </c>
      <c r="C27" s="589">
        <v>83245316</v>
      </c>
      <c r="D27" s="591">
        <v>92308244</v>
      </c>
      <c r="E27" s="590">
        <f t="shared" si="1"/>
        <v>9062928</v>
      </c>
    </row>
    <row r="28" spans="1:5" s="421" customFormat="1" x14ac:dyDescent="0.2">
      <c r="A28" s="588">
        <v>4</v>
      </c>
      <c r="B28" s="587" t="s">
        <v>115</v>
      </c>
      <c r="C28" s="589">
        <v>82631036</v>
      </c>
      <c r="D28" s="591">
        <v>91319956</v>
      </c>
      <c r="E28" s="590">
        <f t="shared" si="1"/>
        <v>8688920</v>
      </c>
    </row>
    <row r="29" spans="1:5" s="421" customFormat="1" x14ac:dyDescent="0.2">
      <c r="A29" s="588">
        <v>5</v>
      </c>
      <c r="B29" s="587" t="s">
        <v>744</v>
      </c>
      <c r="C29" s="589">
        <v>614280</v>
      </c>
      <c r="D29" s="591">
        <v>988288</v>
      </c>
      <c r="E29" s="590">
        <f t="shared" si="1"/>
        <v>374008</v>
      </c>
    </row>
    <row r="30" spans="1:5" s="421" customFormat="1" x14ac:dyDescent="0.2">
      <c r="A30" s="588">
        <v>6</v>
      </c>
      <c r="B30" s="587" t="s">
        <v>424</v>
      </c>
      <c r="C30" s="589">
        <v>869852</v>
      </c>
      <c r="D30" s="591">
        <v>978863</v>
      </c>
      <c r="E30" s="590">
        <f t="shared" si="1"/>
        <v>109011</v>
      </c>
    </row>
    <row r="31" spans="1:5" s="421" customFormat="1" x14ac:dyDescent="0.2">
      <c r="A31" s="588">
        <v>7</v>
      </c>
      <c r="B31" s="587" t="s">
        <v>759</v>
      </c>
      <c r="C31" s="590">
        <v>28950356</v>
      </c>
      <c r="D31" s="594">
        <v>27396274</v>
      </c>
      <c r="E31" s="590">
        <f t="shared" si="1"/>
        <v>-1554082</v>
      </c>
    </row>
    <row r="32" spans="1:5" s="421" customFormat="1" x14ac:dyDescent="0.2">
      <c r="A32" s="588"/>
      <c r="B32" s="592" t="s">
        <v>781</v>
      </c>
      <c r="C32" s="593">
        <f>SUM(C26+C27+C30)</f>
        <v>324582208</v>
      </c>
      <c r="D32" s="593">
        <f>SUM(D26+D27+D30)</f>
        <v>345389961</v>
      </c>
      <c r="E32" s="593">
        <f t="shared" si="1"/>
        <v>20807753</v>
      </c>
    </row>
    <row r="33" spans="1:5" s="421" customFormat="1" x14ac:dyDescent="0.2">
      <c r="A33" s="588"/>
      <c r="B33" s="592" t="s">
        <v>467</v>
      </c>
      <c r="C33" s="593">
        <f>SUM(C25+C32)</f>
        <v>673733258</v>
      </c>
      <c r="D33" s="593">
        <f>SUM(D25+D32)</f>
        <v>697058450</v>
      </c>
      <c r="E33" s="593">
        <f t="shared" si="1"/>
        <v>23325192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530833006</v>
      </c>
      <c r="D36" s="590">
        <f t="shared" si="2"/>
        <v>534946896</v>
      </c>
      <c r="E36" s="590">
        <f t="shared" ref="E36:E44" si="3">D36-C36</f>
        <v>4113890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538759044</v>
      </c>
      <c r="D37" s="590">
        <f t="shared" si="2"/>
        <v>578122628</v>
      </c>
      <c r="E37" s="590">
        <f t="shared" si="3"/>
        <v>39363584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160883539</v>
      </c>
      <c r="D38" s="590">
        <f t="shared" si="2"/>
        <v>176923832</v>
      </c>
      <c r="E38" s="590">
        <f t="shared" si="3"/>
        <v>16040293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159185527</v>
      </c>
      <c r="D39" s="590">
        <f t="shared" si="2"/>
        <v>174133722</v>
      </c>
      <c r="E39" s="590">
        <f t="shared" si="3"/>
        <v>14948195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1698012</v>
      </c>
      <c r="D40" s="590">
        <f t="shared" si="2"/>
        <v>2790110</v>
      </c>
      <c r="E40" s="590">
        <f t="shared" si="3"/>
        <v>1092098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1415083</v>
      </c>
      <c r="D41" s="590">
        <f t="shared" si="2"/>
        <v>1516696</v>
      </c>
      <c r="E41" s="590">
        <f t="shared" si="3"/>
        <v>101613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34444606</v>
      </c>
      <c r="D42" s="590">
        <f t="shared" si="2"/>
        <v>32484086</v>
      </c>
      <c r="E42" s="590">
        <f t="shared" si="3"/>
        <v>-1960520</v>
      </c>
    </row>
    <row r="43" spans="1:5" s="421" customFormat="1" x14ac:dyDescent="0.2">
      <c r="A43" s="588"/>
      <c r="B43" s="592" t="s">
        <v>789</v>
      </c>
      <c r="C43" s="593">
        <f>SUM(C37+C38+C41)</f>
        <v>701057666</v>
      </c>
      <c r="D43" s="593">
        <f>SUM(D37+D38+D41)</f>
        <v>756563156</v>
      </c>
      <c r="E43" s="593">
        <f t="shared" si="3"/>
        <v>55505490</v>
      </c>
    </row>
    <row r="44" spans="1:5" s="421" customFormat="1" x14ac:dyDescent="0.2">
      <c r="A44" s="588"/>
      <c r="B44" s="592" t="s">
        <v>726</v>
      </c>
      <c r="C44" s="593">
        <f>SUM(C36+C43)</f>
        <v>1231890672</v>
      </c>
      <c r="D44" s="593">
        <f>SUM(D36+D43)</f>
        <v>1291510052</v>
      </c>
      <c r="E44" s="593">
        <f t="shared" si="3"/>
        <v>59619380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105934095</v>
      </c>
      <c r="D47" s="589">
        <v>106817328</v>
      </c>
      <c r="E47" s="590">
        <f t="shared" ref="E47:E55" si="4">D47-C47</f>
        <v>883233</v>
      </c>
    </row>
    <row r="48" spans="1:5" s="421" customFormat="1" x14ac:dyDescent="0.2">
      <c r="A48" s="588">
        <v>2</v>
      </c>
      <c r="B48" s="587" t="s">
        <v>636</v>
      </c>
      <c r="C48" s="589">
        <v>97031490</v>
      </c>
      <c r="D48" s="591">
        <v>102945936</v>
      </c>
      <c r="E48" s="590">
        <f t="shared" si="4"/>
        <v>5914446</v>
      </c>
    </row>
    <row r="49" spans="1:5" s="421" customFormat="1" x14ac:dyDescent="0.2">
      <c r="A49" s="588">
        <v>3</v>
      </c>
      <c r="B49" s="587" t="s">
        <v>778</v>
      </c>
      <c r="C49" s="589">
        <v>17325457</v>
      </c>
      <c r="D49" s="591">
        <v>16496094</v>
      </c>
      <c r="E49" s="590">
        <f t="shared" si="4"/>
        <v>-829363</v>
      </c>
    </row>
    <row r="50" spans="1:5" s="421" customFormat="1" x14ac:dyDescent="0.2">
      <c r="A50" s="588">
        <v>4</v>
      </c>
      <c r="B50" s="587" t="s">
        <v>115</v>
      </c>
      <c r="C50" s="589">
        <v>16870763</v>
      </c>
      <c r="D50" s="591">
        <v>16004723</v>
      </c>
      <c r="E50" s="590">
        <f t="shared" si="4"/>
        <v>-866040</v>
      </c>
    </row>
    <row r="51" spans="1:5" s="421" customFormat="1" x14ac:dyDescent="0.2">
      <c r="A51" s="588">
        <v>5</v>
      </c>
      <c r="B51" s="587" t="s">
        <v>744</v>
      </c>
      <c r="C51" s="589">
        <v>454694</v>
      </c>
      <c r="D51" s="591">
        <v>491371</v>
      </c>
      <c r="E51" s="590">
        <f t="shared" si="4"/>
        <v>36677</v>
      </c>
    </row>
    <row r="52" spans="1:5" s="421" customFormat="1" x14ac:dyDescent="0.2">
      <c r="A52" s="588">
        <v>6</v>
      </c>
      <c r="B52" s="587" t="s">
        <v>424</v>
      </c>
      <c r="C52" s="589">
        <v>183218</v>
      </c>
      <c r="D52" s="591">
        <v>206353</v>
      </c>
      <c r="E52" s="590">
        <f t="shared" si="4"/>
        <v>23135</v>
      </c>
    </row>
    <row r="53" spans="1:5" s="421" customFormat="1" x14ac:dyDescent="0.2">
      <c r="A53" s="588">
        <v>7</v>
      </c>
      <c r="B53" s="587" t="s">
        <v>759</v>
      </c>
      <c r="C53" s="589">
        <v>1444587</v>
      </c>
      <c r="D53" s="591">
        <v>1434850</v>
      </c>
      <c r="E53" s="590">
        <f t="shared" si="4"/>
        <v>-9737</v>
      </c>
    </row>
    <row r="54" spans="1:5" s="421" customFormat="1" x14ac:dyDescent="0.2">
      <c r="A54" s="588"/>
      <c r="B54" s="592" t="s">
        <v>791</v>
      </c>
      <c r="C54" s="593">
        <f>SUM(C48+C49+C52)</f>
        <v>114540165</v>
      </c>
      <c r="D54" s="593">
        <f>SUM(D48+D49+D52)</f>
        <v>119648383</v>
      </c>
      <c r="E54" s="593">
        <f t="shared" si="4"/>
        <v>5108218</v>
      </c>
    </row>
    <row r="55" spans="1:5" s="421" customFormat="1" x14ac:dyDescent="0.2">
      <c r="A55" s="588"/>
      <c r="B55" s="592" t="s">
        <v>466</v>
      </c>
      <c r="C55" s="593">
        <f>SUM(C47+C54)</f>
        <v>220474260</v>
      </c>
      <c r="D55" s="593">
        <f>SUM(D47+D54)</f>
        <v>226465711</v>
      </c>
      <c r="E55" s="593">
        <f t="shared" si="4"/>
        <v>5991451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197207019</v>
      </c>
      <c r="D58" s="589">
        <v>198670101</v>
      </c>
      <c r="E58" s="590">
        <f t="shared" ref="E58:E66" si="5">D58-C58</f>
        <v>1463082</v>
      </c>
    </row>
    <row r="59" spans="1:5" s="421" customFormat="1" x14ac:dyDescent="0.2">
      <c r="A59" s="588">
        <v>2</v>
      </c>
      <c r="B59" s="587" t="s">
        <v>636</v>
      </c>
      <c r="C59" s="589">
        <v>78139901</v>
      </c>
      <c r="D59" s="591">
        <v>79455374</v>
      </c>
      <c r="E59" s="590">
        <f t="shared" si="5"/>
        <v>1315473</v>
      </c>
    </row>
    <row r="60" spans="1:5" s="421" customFormat="1" x14ac:dyDescent="0.2">
      <c r="A60" s="588">
        <v>3</v>
      </c>
      <c r="B60" s="587" t="s">
        <v>778</v>
      </c>
      <c r="C60" s="589">
        <f>C61+C62</f>
        <v>18467616</v>
      </c>
      <c r="D60" s="591">
        <f>D61+D62</f>
        <v>17995803</v>
      </c>
      <c r="E60" s="590">
        <f t="shared" si="5"/>
        <v>-471813</v>
      </c>
    </row>
    <row r="61" spans="1:5" s="421" customFormat="1" x14ac:dyDescent="0.2">
      <c r="A61" s="588">
        <v>4</v>
      </c>
      <c r="B61" s="587" t="s">
        <v>115</v>
      </c>
      <c r="C61" s="589">
        <v>18209887</v>
      </c>
      <c r="D61" s="591">
        <v>17890099</v>
      </c>
      <c r="E61" s="590">
        <f t="shared" si="5"/>
        <v>-319788</v>
      </c>
    </row>
    <row r="62" spans="1:5" s="421" customFormat="1" x14ac:dyDescent="0.2">
      <c r="A62" s="588">
        <v>5</v>
      </c>
      <c r="B62" s="587" t="s">
        <v>744</v>
      </c>
      <c r="C62" s="589">
        <v>257729</v>
      </c>
      <c r="D62" s="591">
        <v>105704</v>
      </c>
      <c r="E62" s="590">
        <f t="shared" si="5"/>
        <v>-152025</v>
      </c>
    </row>
    <row r="63" spans="1:5" s="421" customFormat="1" x14ac:dyDescent="0.2">
      <c r="A63" s="588">
        <v>6</v>
      </c>
      <c r="B63" s="587" t="s">
        <v>424</v>
      </c>
      <c r="C63" s="589">
        <v>196969</v>
      </c>
      <c r="D63" s="591">
        <v>220660</v>
      </c>
      <c r="E63" s="590">
        <f t="shared" si="5"/>
        <v>23691</v>
      </c>
    </row>
    <row r="64" spans="1:5" s="421" customFormat="1" x14ac:dyDescent="0.2">
      <c r="A64" s="588">
        <v>7</v>
      </c>
      <c r="B64" s="587" t="s">
        <v>759</v>
      </c>
      <c r="C64" s="589">
        <v>7611833</v>
      </c>
      <c r="D64" s="591">
        <v>7726218</v>
      </c>
      <c r="E64" s="590">
        <f t="shared" si="5"/>
        <v>114385</v>
      </c>
    </row>
    <row r="65" spans="1:5" s="421" customFormat="1" x14ac:dyDescent="0.2">
      <c r="A65" s="588"/>
      <c r="B65" s="592" t="s">
        <v>793</v>
      </c>
      <c r="C65" s="593">
        <f>SUM(C59+C60+C63)</f>
        <v>96804486</v>
      </c>
      <c r="D65" s="593">
        <f>SUM(D59+D60+D63)</f>
        <v>97671837</v>
      </c>
      <c r="E65" s="593">
        <f t="shared" si="5"/>
        <v>867351</v>
      </c>
    </row>
    <row r="66" spans="1:5" s="421" customFormat="1" x14ac:dyDescent="0.2">
      <c r="A66" s="588"/>
      <c r="B66" s="592" t="s">
        <v>468</v>
      </c>
      <c r="C66" s="593">
        <f>SUM(C58+C65)</f>
        <v>294011505</v>
      </c>
      <c r="D66" s="593">
        <f>SUM(D58+D65)</f>
        <v>296341938</v>
      </c>
      <c r="E66" s="593">
        <f t="shared" si="5"/>
        <v>2330433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303141114</v>
      </c>
      <c r="D69" s="590">
        <f t="shared" si="6"/>
        <v>305487429</v>
      </c>
      <c r="E69" s="590">
        <f t="shared" ref="E69:E77" si="7">D69-C69</f>
        <v>2346315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175171391</v>
      </c>
      <c r="D70" s="590">
        <f t="shared" si="6"/>
        <v>182401310</v>
      </c>
      <c r="E70" s="590">
        <f t="shared" si="7"/>
        <v>7229919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35793073</v>
      </c>
      <c r="D71" s="590">
        <f t="shared" si="6"/>
        <v>34491897</v>
      </c>
      <c r="E71" s="590">
        <f t="shared" si="7"/>
        <v>-1301176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35080650</v>
      </c>
      <c r="D72" s="590">
        <f t="shared" si="6"/>
        <v>33894822</v>
      </c>
      <c r="E72" s="590">
        <f t="shared" si="7"/>
        <v>-1185828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712423</v>
      </c>
      <c r="D73" s="590">
        <f t="shared" si="6"/>
        <v>597075</v>
      </c>
      <c r="E73" s="590">
        <f t="shared" si="7"/>
        <v>-115348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380187</v>
      </c>
      <c r="D74" s="590">
        <f t="shared" si="6"/>
        <v>427013</v>
      </c>
      <c r="E74" s="590">
        <f t="shared" si="7"/>
        <v>46826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9056420</v>
      </c>
      <c r="D75" s="590">
        <f t="shared" si="6"/>
        <v>9161068</v>
      </c>
      <c r="E75" s="590">
        <f t="shared" si="7"/>
        <v>104648</v>
      </c>
    </row>
    <row r="76" spans="1:5" s="421" customFormat="1" x14ac:dyDescent="0.2">
      <c r="A76" s="588"/>
      <c r="B76" s="592" t="s">
        <v>794</v>
      </c>
      <c r="C76" s="593">
        <f>SUM(C70+C71+C74)</f>
        <v>211344651</v>
      </c>
      <c r="D76" s="593">
        <f>SUM(D70+D71+D74)</f>
        <v>217320220</v>
      </c>
      <c r="E76" s="593">
        <f t="shared" si="7"/>
        <v>5975569</v>
      </c>
    </row>
    <row r="77" spans="1:5" s="421" customFormat="1" x14ac:dyDescent="0.2">
      <c r="A77" s="588"/>
      <c r="B77" s="592" t="s">
        <v>727</v>
      </c>
      <c r="C77" s="593">
        <f>SUM(C69+C76)</f>
        <v>514485765</v>
      </c>
      <c r="D77" s="593">
        <f>SUM(D69+D76)</f>
        <v>522807649</v>
      </c>
      <c r="E77" s="593">
        <f t="shared" si="7"/>
        <v>8321884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0.14748220773929199</v>
      </c>
      <c r="D83" s="599">
        <f t="shared" si="8"/>
        <v>0.14191016687495359</v>
      </c>
      <c r="E83" s="599">
        <f t="shared" ref="E83:E91" si="9">D83-C83</f>
        <v>-5.5720408643384067E-3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0.24214162082720925</v>
      </c>
      <c r="D84" s="599">
        <f t="shared" si="8"/>
        <v>0.25243301319655542</v>
      </c>
      <c r="E84" s="599">
        <f t="shared" si="9"/>
        <v>1.0291392369346175E-2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6.302363088272496E-2</v>
      </c>
      <c r="D85" s="599">
        <f t="shared" si="8"/>
        <v>6.5516786237138788E-2</v>
      </c>
      <c r="E85" s="599">
        <f t="shared" si="9"/>
        <v>2.4931553544138285E-3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6.2143900217794652E-2</v>
      </c>
      <c r="D86" s="599">
        <f t="shared" si="8"/>
        <v>6.4121658110021434E-2</v>
      </c>
      <c r="E86" s="599">
        <f t="shared" si="9"/>
        <v>1.9777578922267822E-3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8.7973066493030484E-4</v>
      </c>
      <c r="D87" s="599">
        <f t="shared" si="8"/>
        <v>1.3951281271173568E-3</v>
      </c>
      <c r="E87" s="599">
        <f t="shared" si="9"/>
        <v>5.1539746218705199E-4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4.425969060345316E-4</v>
      </c>
      <c r="D88" s="599">
        <f t="shared" si="8"/>
        <v>4.1643733176302062E-4</v>
      </c>
      <c r="E88" s="599">
        <f t="shared" si="9"/>
        <v>-2.6159574271510978E-5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4.4600142893199864E-3</v>
      </c>
      <c r="D89" s="599">
        <f t="shared" si="8"/>
        <v>3.9394288818125284E-3</v>
      </c>
      <c r="E89" s="599">
        <f t="shared" si="9"/>
        <v>-5.2058540750745796E-4</v>
      </c>
    </row>
    <row r="90" spans="1:5" s="421" customFormat="1" x14ac:dyDescent="0.2">
      <c r="A90" s="588"/>
      <c r="B90" s="592" t="s">
        <v>797</v>
      </c>
      <c r="C90" s="600">
        <f>SUM(C84+C85+C88)</f>
        <v>0.30560784861596874</v>
      </c>
      <c r="D90" s="600">
        <f>SUM(D84+D85+D88)</f>
        <v>0.31836623676545722</v>
      </c>
      <c r="E90" s="601">
        <f t="shared" si="9"/>
        <v>1.2758388149488487E-2</v>
      </c>
    </row>
    <row r="91" spans="1:5" s="421" customFormat="1" x14ac:dyDescent="0.2">
      <c r="A91" s="588"/>
      <c r="B91" s="592" t="s">
        <v>798</v>
      </c>
      <c r="C91" s="600">
        <f>SUM(C83+C90)</f>
        <v>0.45309005635526073</v>
      </c>
      <c r="D91" s="600">
        <f>SUM(D83+D90)</f>
        <v>0.46027640364041078</v>
      </c>
      <c r="E91" s="601">
        <f t="shared" si="9"/>
        <v>7.1863472851500521E-3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0.28342697768231823</v>
      </c>
      <c r="D95" s="599">
        <f t="shared" si="10"/>
        <v>0.27229249083691992</v>
      </c>
      <c r="E95" s="599">
        <f t="shared" ref="E95:E103" si="11">D95-C95</f>
        <v>-1.1134486845398306E-2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0.19520160795567743</v>
      </c>
      <c r="D96" s="599">
        <f t="shared" si="10"/>
        <v>0.19520007111799081</v>
      </c>
      <c r="E96" s="599">
        <f t="shared" si="11"/>
        <v>-1.5368376866109479E-6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6.7575246644939288E-2</v>
      </c>
      <c r="D97" s="599">
        <f t="shared" si="10"/>
        <v>7.1473113087314938E-2</v>
      </c>
      <c r="E97" s="599">
        <f t="shared" si="11"/>
        <v>3.8978664423756498E-3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6.7076598498669371E-2</v>
      </c>
      <c r="D98" s="599">
        <f t="shared" si="10"/>
        <v>7.0707894110916297E-2</v>
      </c>
      <c r="E98" s="599">
        <f t="shared" si="11"/>
        <v>3.6312956122469264E-3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4.986481462699151E-4</v>
      </c>
      <c r="D99" s="599">
        <f t="shared" si="10"/>
        <v>7.6521897639864435E-4</v>
      </c>
      <c r="E99" s="599">
        <f t="shared" si="11"/>
        <v>2.6657083012872926E-4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7.0611136180435334E-4</v>
      </c>
      <c r="D100" s="599">
        <f t="shared" si="10"/>
        <v>7.5792131736346715E-4</v>
      </c>
      <c r="E100" s="599">
        <f t="shared" si="11"/>
        <v>5.1809955559113815E-5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2.35007510471676E-2</v>
      </c>
      <c r="D101" s="599">
        <f t="shared" si="10"/>
        <v>2.1212590608625011E-2</v>
      </c>
      <c r="E101" s="599">
        <f t="shared" si="11"/>
        <v>-2.2881604385425885E-3</v>
      </c>
    </row>
    <row r="102" spans="1:5" s="421" customFormat="1" x14ac:dyDescent="0.2">
      <c r="A102" s="588"/>
      <c r="B102" s="592" t="s">
        <v>800</v>
      </c>
      <c r="C102" s="600">
        <f>SUM(C96+C97+C100)</f>
        <v>0.2634829659624211</v>
      </c>
      <c r="D102" s="600">
        <f>SUM(D96+D97+D100)</f>
        <v>0.26743110552266919</v>
      </c>
      <c r="E102" s="601">
        <f t="shared" si="11"/>
        <v>3.9481395602480873E-3</v>
      </c>
    </row>
    <row r="103" spans="1:5" s="421" customFormat="1" x14ac:dyDescent="0.2">
      <c r="A103" s="588"/>
      <c r="B103" s="592" t="s">
        <v>801</v>
      </c>
      <c r="C103" s="600">
        <f>SUM(C95+C102)</f>
        <v>0.54690994364473933</v>
      </c>
      <c r="D103" s="600">
        <f>SUM(D95+D102)</f>
        <v>0.53972359635958911</v>
      </c>
      <c r="E103" s="601">
        <f t="shared" si="11"/>
        <v>-7.1863472851502186E-3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0.99999999999999989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0.20590286885780018</v>
      </c>
      <c r="D109" s="599">
        <f t="shared" si="12"/>
        <v>0.20431477658047806</v>
      </c>
      <c r="E109" s="599">
        <f t="shared" ref="E109:E117" si="13">D109-C109</f>
        <v>-1.5880922773221229E-3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0.18859897902131462</v>
      </c>
      <c r="D110" s="599">
        <f t="shared" si="12"/>
        <v>0.19690977398075521</v>
      </c>
      <c r="E110" s="599">
        <f t="shared" si="13"/>
        <v>8.3107949594405928E-3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3.367528934449722E-2</v>
      </c>
      <c r="D111" s="599">
        <f t="shared" si="12"/>
        <v>3.1552893366332518E-2</v>
      </c>
      <c r="E111" s="599">
        <f t="shared" si="13"/>
        <v>-2.1223959781647012E-3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3.2791505902986448E-2</v>
      </c>
      <c r="D112" s="599">
        <f t="shared" si="12"/>
        <v>3.061302379682666E-2</v>
      </c>
      <c r="E112" s="599">
        <f t="shared" si="13"/>
        <v>-2.1784821061597882E-3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8.8378344151076758E-4</v>
      </c>
      <c r="D113" s="599">
        <f t="shared" si="12"/>
        <v>9.3986956950585857E-4</v>
      </c>
      <c r="E113" s="599">
        <f t="shared" si="13"/>
        <v>5.6086127995090985E-5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3.561186965007671E-4</v>
      </c>
      <c r="D114" s="599">
        <f t="shared" si="12"/>
        <v>3.94701570251892E-4</v>
      </c>
      <c r="E114" s="599">
        <f t="shared" si="13"/>
        <v>3.8582873751124896E-5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2.8078269570782004E-3</v>
      </c>
      <c r="D115" s="599">
        <f t="shared" si="12"/>
        <v>2.7445084300975866E-3</v>
      </c>
      <c r="E115" s="599">
        <f t="shared" si="13"/>
        <v>-6.3318526980613802E-5</v>
      </c>
    </row>
    <row r="116" spans="1:5" s="421" customFormat="1" x14ac:dyDescent="0.2">
      <c r="A116" s="588"/>
      <c r="B116" s="592" t="s">
        <v>797</v>
      </c>
      <c r="C116" s="600">
        <f>SUM(C110+C111+C114)</f>
        <v>0.22263038706231258</v>
      </c>
      <c r="D116" s="600">
        <f>SUM(D110+D111+D114)</f>
        <v>0.22885736891733963</v>
      </c>
      <c r="E116" s="601">
        <f t="shared" si="13"/>
        <v>6.2269818550270417E-3</v>
      </c>
    </row>
    <row r="117" spans="1:5" s="421" customFormat="1" x14ac:dyDescent="0.2">
      <c r="A117" s="588"/>
      <c r="B117" s="592" t="s">
        <v>798</v>
      </c>
      <c r="C117" s="600">
        <f>SUM(C109+C116)</f>
        <v>0.42853325592011277</v>
      </c>
      <c r="D117" s="600">
        <f>SUM(D109+D116)</f>
        <v>0.43317214549781768</v>
      </c>
      <c r="E117" s="601">
        <f t="shared" si="13"/>
        <v>4.6388895777049188E-3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0.38330899009421571</v>
      </c>
      <c r="D121" s="599">
        <f t="shared" si="14"/>
        <v>0.38000611004832485</v>
      </c>
      <c r="E121" s="599">
        <f t="shared" ref="E121:E129" si="15">D121-C121</f>
        <v>-3.3028800458908547E-3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0.15187961711632586</v>
      </c>
      <c r="D122" s="599">
        <f t="shared" si="14"/>
        <v>0.15197821637074022</v>
      </c>
      <c r="E122" s="599">
        <f t="shared" si="15"/>
        <v>9.8599254414355464E-5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3.5895290514014515E-2</v>
      </c>
      <c r="D123" s="599">
        <f t="shared" si="14"/>
        <v>3.4421460807663125E-2</v>
      </c>
      <c r="E123" s="599">
        <f t="shared" si="15"/>
        <v>-1.47382970635139E-3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3.5394345653081381E-2</v>
      </c>
      <c r="D124" s="599">
        <f t="shared" si="14"/>
        <v>3.4219275548510578E-2</v>
      </c>
      <c r="E124" s="599">
        <f t="shared" si="15"/>
        <v>-1.1750701045708037E-3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5.0094486093313004E-4</v>
      </c>
      <c r="D125" s="599">
        <f t="shared" si="14"/>
        <v>2.0218525915254924E-4</v>
      </c>
      <c r="E125" s="599">
        <f t="shared" si="15"/>
        <v>-2.9875960178058077E-4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3.8284635533113339E-4</v>
      </c>
      <c r="D126" s="599">
        <f t="shared" si="14"/>
        <v>4.2206727545411257E-4</v>
      </c>
      <c r="E126" s="599">
        <f t="shared" si="15"/>
        <v>3.9220920122979186E-5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1.4795031306648493E-2</v>
      </c>
      <c r="D127" s="599">
        <f t="shared" si="14"/>
        <v>1.477831859342211E-2</v>
      </c>
      <c r="E127" s="599">
        <f t="shared" si="15"/>
        <v>-1.6712713226382792E-5</v>
      </c>
    </row>
    <row r="128" spans="1:5" s="421" customFormat="1" x14ac:dyDescent="0.2">
      <c r="A128" s="588"/>
      <c r="B128" s="592" t="s">
        <v>800</v>
      </c>
      <c r="C128" s="600">
        <f>SUM(C122+C123+C126)</f>
        <v>0.18815775398567153</v>
      </c>
      <c r="D128" s="600">
        <f>SUM(D122+D123+D126)</f>
        <v>0.18682174445385744</v>
      </c>
      <c r="E128" s="601">
        <f t="shared" si="15"/>
        <v>-1.3360095318140919E-3</v>
      </c>
    </row>
    <row r="129" spans="1:5" s="421" customFormat="1" x14ac:dyDescent="0.2">
      <c r="A129" s="588"/>
      <c r="B129" s="592" t="s">
        <v>801</v>
      </c>
      <c r="C129" s="600">
        <f>SUM(C121+C128)</f>
        <v>0.57146674407988729</v>
      </c>
      <c r="D129" s="600">
        <f>SUM(D121+D128)</f>
        <v>0.56682785450218232</v>
      </c>
      <c r="E129" s="601">
        <f t="shared" si="15"/>
        <v>-4.6388895777049743E-3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6808</v>
      </c>
      <c r="D137" s="606">
        <v>6516</v>
      </c>
      <c r="E137" s="607">
        <f t="shared" ref="E137:E145" si="16">D137-C137</f>
        <v>-292</v>
      </c>
    </row>
    <row r="138" spans="1:5" s="421" customFormat="1" x14ac:dyDescent="0.2">
      <c r="A138" s="588">
        <v>2</v>
      </c>
      <c r="B138" s="587" t="s">
        <v>636</v>
      </c>
      <c r="C138" s="606">
        <v>8369</v>
      </c>
      <c r="D138" s="606">
        <v>8445</v>
      </c>
      <c r="E138" s="607">
        <f t="shared" si="16"/>
        <v>76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3350</v>
      </c>
      <c r="D139" s="606">
        <f>D140+D141</f>
        <v>3295</v>
      </c>
      <c r="E139" s="607">
        <f t="shared" si="16"/>
        <v>-55</v>
      </c>
    </row>
    <row r="140" spans="1:5" s="421" customFormat="1" x14ac:dyDescent="0.2">
      <c r="A140" s="588">
        <v>4</v>
      </c>
      <c r="B140" s="587" t="s">
        <v>115</v>
      </c>
      <c r="C140" s="606">
        <v>3321</v>
      </c>
      <c r="D140" s="606">
        <v>3250</v>
      </c>
      <c r="E140" s="607">
        <f t="shared" si="16"/>
        <v>-71</v>
      </c>
    </row>
    <row r="141" spans="1:5" s="421" customFormat="1" x14ac:dyDescent="0.2">
      <c r="A141" s="588">
        <v>5</v>
      </c>
      <c r="B141" s="587" t="s">
        <v>744</v>
      </c>
      <c r="C141" s="606">
        <v>29</v>
      </c>
      <c r="D141" s="606">
        <v>45</v>
      </c>
      <c r="E141" s="607">
        <f t="shared" si="16"/>
        <v>16</v>
      </c>
    </row>
    <row r="142" spans="1:5" s="421" customFormat="1" x14ac:dyDescent="0.2">
      <c r="A142" s="588">
        <v>6</v>
      </c>
      <c r="B142" s="587" t="s">
        <v>424</v>
      </c>
      <c r="C142" s="606">
        <v>35</v>
      </c>
      <c r="D142" s="606">
        <v>34</v>
      </c>
      <c r="E142" s="607">
        <f t="shared" si="16"/>
        <v>-1</v>
      </c>
    </row>
    <row r="143" spans="1:5" s="421" customFormat="1" x14ac:dyDescent="0.2">
      <c r="A143" s="588">
        <v>7</v>
      </c>
      <c r="B143" s="587" t="s">
        <v>759</v>
      </c>
      <c r="C143" s="606">
        <v>156</v>
      </c>
      <c r="D143" s="606">
        <v>175</v>
      </c>
      <c r="E143" s="607">
        <f t="shared" si="16"/>
        <v>19</v>
      </c>
    </row>
    <row r="144" spans="1:5" s="421" customFormat="1" x14ac:dyDescent="0.2">
      <c r="A144" s="588"/>
      <c r="B144" s="592" t="s">
        <v>808</v>
      </c>
      <c r="C144" s="608">
        <f>SUM(C138+C139+C142)</f>
        <v>11754</v>
      </c>
      <c r="D144" s="608">
        <f>SUM(D138+D139+D142)</f>
        <v>11774</v>
      </c>
      <c r="E144" s="609">
        <f t="shared" si="16"/>
        <v>20</v>
      </c>
    </row>
    <row r="145" spans="1:5" s="421" customFormat="1" x14ac:dyDescent="0.2">
      <c r="A145" s="588"/>
      <c r="B145" s="592" t="s">
        <v>138</v>
      </c>
      <c r="C145" s="608">
        <f>SUM(C137+C144)</f>
        <v>18562</v>
      </c>
      <c r="D145" s="608">
        <f>SUM(D137+D144)</f>
        <v>18290</v>
      </c>
      <c r="E145" s="609">
        <f t="shared" si="16"/>
        <v>-272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26571</v>
      </c>
      <c r="D149" s="610">
        <v>25667</v>
      </c>
      <c r="E149" s="607">
        <f t="shared" ref="E149:E157" si="17">D149-C149</f>
        <v>-904</v>
      </c>
    </row>
    <row r="150" spans="1:5" s="421" customFormat="1" x14ac:dyDescent="0.2">
      <c r="A150" s="588">
        <v>2</v>
      </c>
      <c r="B150" s="587" t="s">
        <v>636</v>
      </c>
      <c r="C150" s="610">
        <v>47995</v>
      </c>
      <c r="D150" s="610">
        <v>50458</v>
      </c>
      <c r="E150" s="607">
        <f t="shared" si="17"/>
        <v>2463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16338</v>
      </c>
      <c r="D151" s="610">
        <f>D152+D153</f>
        <v>15938</v>
      </c>
      <c r="E151" s="607">
        <f t="shared" si="17"/>
        <v>-400</v>
      </c>
    </row>
    <row r="152" spans="1:5" s="421" customFormat="1" x14ac:dyDescent="0.2">
      <c r="A152" s="588">
        <v>4</v>
      </c>
      <c r="B152" s="587" t="s">
        <v>115</v>
      </c>
      <c r="C152" s="610">
        <v>16180</v>
      </c>
      <c r="D152" s="610">
        <v>15608</v>
      </c>
      <c r="E152" s="607">
        <f t="shared" si="17"/>
        <v>-572</v>
      </c>
    </row>
    <row r="153" spans="1:5" s="421" customFormat="1" x14ac:dyDescent="0.2">
      <c r="A153" s="588">
        <v>5</v>
      </c>
      <c r="B153" s="587" t="s">
        <v>744</v>
      </c>
      <c r="C153" s="611">
        <v>158</v>
      </c>
      <c r="D153" s="610">
        <v>330</v>
      </c>
      <c r="E153" s="607">
        <f t="shared" si="17"/>
        <v>172</v>
      </c>
    </row>
    <row r="154" spans="1:5" s="421" customFormat="1" x14ac:dyDescent="0.2">
      <c r="A154" s="588">
        <v>6</v>
      </c>
      <c r="B154" s="587" t="s">
        <v>424</v>
      </c>
      <c r="C154" s="610">
        <v>99</v>
      </c>
      <c r="D154" s="610">
        <v>106</v>
      </c>
      <c r="E154" s="607">
        <f t="shared" si="17"/>
        <v>7</v>
      </c>
    </row>
    <row r="155" spans="1:5" s="421" customFormat="1" x14ac:dyDescent="0.2">
      <c r="A155" s="588">
        <v>7</v>
      </c>
      <c r="B155" s="587" t="s">
        <v>759</v>
      </c>
      <c r="C155" s="610">
        <v>566</v>
      </c>
      <c r="D155" s="610">
        <v>669</v>
      </c>
      <c r="E155" s="607">
        <f t="shared" si="17"/>
        <v>103</v>
      </c>
    </row>
    <row r="156" spans="1:5" s="421" customFormat="1" x14ac:dyDescent="0.2">
      <c r="A156" s="588"/>
      <c r="B156" s="592" t="s">
        <v>809</v>
      </c>
      <c r="C156" s="608">
        <f>SUM(C150+C151+C154)</f>
        <v>64432</v>
      </c>
      <c r="D156" s="608">
        <f>SUM(D150+D151+D154)</f>
        <v>66502</v>
      </c>
      <c r="E156" s="609">
        <f t="shared" si="17"/>
        <v>2070</v>
      </c>
    </row>
    <row r="157" spans="1:5" s="421" customFormat="1" x14ac:dyDescent="0.2">
      <c r="A157" s="588"/>
      <c r="B157" s="592" t="s">
        <v>140</v>
      </c>
      <c r="C157" s="608">
        <f>SUM(C149+C156)</f>
        <v>91003</v>
      </c>
      <c r="D157" s="608">
        <f>SUM(D149+D156)</f>
        <v>92169</v>
      </c>
      <c r="E157" s="609">
        <f t="shared" si="17"/>
        <v>1166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3.9029083431257345</v>
      </c>
      <c r="D161" s="612">
        <f t="shared" si="18"/>
        <v>3.939073050951504</v>
      </c>
      <c r="E161" s="613">
        <f t="shared" ref="E161:E169" si="19">D161-C161</f>
        <v>3.6164707825769415E-2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5.7348548213645598</v>
      </c>
      <c r="D162" s="612">
        <f t="shared" si="18"/>
        <v>5.9748963883955</v>
      </c>
      <c r="E162" s="613">
        <f t="shared" si="19"/>
        <v>0.24004156703094015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4.8770149253731345</v>
      </c>
      <c r="D163" s="612">
        <f t="shared" si="18"/>
        <v>4.8370257966616084</v>
      </c>
      <c r="E163" s="613">
        <f t="shared" si="19"/>
        <v>-3.9989128711526156E-2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4.8720264980427581</v>
      </c>
      <c r="D164" s="612">
        <f t="shared" si="18"/>
        <v>4.8024615384615386</v>
      </c>
      <c r="E164" s="613">
        <f t="shared" si="19"/>
        <v>-6.9564959581219554E-2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5.4482758620689653</v>
      </c>
      <c r="D165" s="612">
        <f t="shared" si="18"/>
        <v>7.333333333333333</v>
      </c>
      <c r="E165" s="613">
        <f t="shared" si="19"/>
        <v>1.8850574712643677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2.8285714285714287</v>
      </c>
      <c r="D166" s="612">
        <f t="shared" si="18"/>
        <v>3.1176470588235294</v>
      </c>
      <c r="E166" s="613">
        <f t="shared" si="19"/>
        <v>0.2890756302521007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3.6282051282051282</v>
      </c>
      <c r="D167" s="612">
        <f t="shared" si="18"/>
        <v>3.822857142857143</v>
      </c>
      <c r="E167" s="613">
        <f t="shared" si="19"/>
        <v>0.19465201465201476</v>
      </c>
    </row>
    <row r="168" spans="1:5" s="421" customFormat="1" x14ac:dyDescent="0.2">
      <c r="A168" s="588"/>
      <c r="B168" s="592" t="s">
        <v>811</v>
      </c>
      <c r="C168" s="614">
        <f t="shared" si="18"/>
        <v>5.4817083546026888</v>
      </c>
      <c r="D168" s="614">
        <f t="shared" si="18"/>
        <v>5.6482079157465606</v>
      </c>
      <c r="E168" s="615">
        <f t="shared" si="19"/>
        <v>0.16649956114387177</v>
      </c>
    </row>
    <row r="169" spans="1:5" s="421" customFormat="1" x14ac:dyDescent="0.2">
      <c r="A169" s="588"/>
      <c r="B169" s="592" t="s">
        <v>745</v>
      </c>
      <c r="C169" s="614">
        <f t="shared" si="18"/>
        <v>4.9026505764465034</v>
      </c>
      <c r="D169" s="614">
        <f t="shared" si="18"/>
        <v>5.0393110989611811</v>
      </c>
      <c r="E169" s="615">
        <f t="shared" si="19"/>
        <v>0.13666052251467775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1.2166999999999999</v>
      </c>
      <c r="D173" s="617">
        <f t="shared" si="20"/>
        <v>1.2868299999999999</v>
      </c>
      <c r="E173" s="618">
        <f t="shared" ref="E173:E181" si="21">D173-C173</f>
        <v>7.0130000000000026E-2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1.5411600000000001</v>
      </c>
      <c r="D174" s="617">
        <f t="shared" si="20"/>
        <v>1.5812900000000001</v>
      </c>
      <c r="E174" s="618">
        <f t="shared" si="21"/>
        <v>4.0129999999999999E-2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1.0354785671641791</v>
      </c>
      <c r="D175" s="617">
        <f t="shared" si="20"/>
        <v>1.059960091047041</v>
      </c>
      <c r="E175" s="618">
        <f t="shared" si="21"/>
        <v>2.4481523882861955E-2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1.034</v>
      </c>
      <c r="D176" s="617">
        <f t="shared" si="20"/>
        <v>1.0599000000000001</v>
      </c>
      <c r="E176" s="618">
        <f t="shared" si="21"/>
        <v>2.5900000000000034E-2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1.2048000000000001</v>
      </c>
      <c r="D177" s="617">
        <f t="shared" si="20"/>
        <v>1.0643</v>
      </c>
      <c r="E177" s="618">
        <f t="shared" si="21"/>
        <v>-0.14050000000000007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0.87509999999999999</v>
      </c>
      <c r="D178" s="617">
        <f t="shared" si="20"/>
        <v>0.71519999999999995</v>
      </c>
      <c r="E178" s="618">
        <f t="shared" si="21"/>
        <v>-0.15990000000000004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1.2056</v>
      </c>
      <c r="D179" s="617">
        <f t="shared" si="20"/>
        <v>1.0898000000000001</v>
      </c>
      <c r="E179" s="618">
        <f t="shared" si="21"/>
        <v>-0.1157999999999999</v>
      </c>
    </row>
    <row r="180" spans="1:5" s="421" customFormat="1" x14ac:dyDescent="0.2">
      <c r="A180" s="588"/>
      <c r="B180" s="592" t="s">
        <v>813</v>
      </c>
      <c r="C180" s="619">
        <f t="shared" si="20"/>
        <v>1.3950527258805514</v>
      </c>
      <c r="D180" s="619">
        <f t="shared" si="20"/>
        <v>1.4328927594700189</v>
      </c>
      <c r="E180" s="620">
        <f t="shared" si="21"/>
        <v>3.7840033589467525E-2</v>
      </c>
    </row>
    <row r="181" spans="1:5" s="421" customFormat="1" x14ac:dyDescent="0.2">
      <c r="A181" s="588"/>
      <c r="B181" s="592" t="s">
        <v>724</v>
      </c>
      <c r="C181" s="619">
        <f t="shared" si="20"/>
        <v>1.3296381499838379</v>
      </c>
      <c r="D181" s="619">
        <f t="shared" si="20"/>
        <v>1.3808564040459268</v>
      </c>
      <c r="E181" s="620">
        <f t="shared" si="21"/>
        <v>5.1218254062088908E-2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467423606</v>
      </c>
      <c r="D185" s="589">
        <v>474922116</v>
      </c>
      <c r="E185" s="590">
        <f>D185-C185</f>
        <v>7498510</v>
      </c>
    </row>
    <row r="186" spans="1:5" s="421" customFormat="1" ht="25.5" x14ac:dyDescent="0.2">
      <c r="A186" s="588">
        <v>2</v>
      </c>
      <c r="B186" s="587" t="s">
        <v>816</v>
      </c>
      <c r="C186" s="589">
        <v>286971340</v>
      </c>
      <c r="D186" s="589">
        <v>289817237</v>
      </c>
      <c r="E186" s="590">
        <f>D186-C186</f>
        <v>2845897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180452266</v>
      </c>
      <c r="D188" s="622">
        <f>+D185-D186</f>
        <v>185104879</v>
      </c>
      <c r="E188" s="590">
        <f t="shared" ref="E188:E197" si="22">D188-C188</f>
        <v>4652613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0.38605723734029812</v>
      </c>
      <c r="D189" s="623">
        <f>IF(D185=0,0,+D188/D185)</f>
        <v>0.3897583893524133</v>
      </c>
      <c r="E189" s="599">
        <f t="shared" si="22"/>
        <v>3.7011520121151831E-3</v>
      </c>
    </row>
    <row r="190" spans="1:5" s="421" customFormat="1" x14ac:dyDescent="0.2">
      <c r="A190" s="588">
        <v>5</v>
      </c>
      <c r="B190" s="587" t="s">
        <v>763</v>
      </c>
      <c r="C190" s="589">
        <v>29497532</v>
      </c>
      <c r="D190" s="589">
        <v>28272630</v>
      </c>
      <c r="E190" s="622">
        <f t="shared" si="22"/>
        <v>-1224902</v>
      </c>
    </row>
    <row r="191" spans="1:5" s="421" customFormat="1" x14ac:dyDescent="0.2">
      <c r="A191" s="588">
        <v>6</v>
      </c>
      <c r="B191" s="587" t="s">
        <v>749</v>
      </c>
      <c r="C191" s="589">
        <v>18212101</v>
      </c>
      <c r="D191" s="589">
        <v>17658659</v>
      </c>
      <c r="E191" s="622">
        <f t="shared" si="22"/>
        <v>-553442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12948351</v>
      </c>
      <c r="D193" s="589">
        <v>12601255</v>
      </c>
      <c r="E193" s="622">
        <f t="shared" si="22"/>
        <v>-347096</v>
      </c>
    </row>
    <row r="194" spans="1:5" s="421" customFormat="1" x14ac:dyDescent="0.2">
      <c r="A194" s="588">
        <v>9</v>
      </c>
      <c r="B194" s="587" t="s">
        <v>819</v>
      </c>
      <c r="C194" s="589">
        <v>17114070</v>
      </c>
      <c r="D194" s="589">
        <v>15123888</v>
      </c>
      <c r="E194" s="622">
        <f t="shared" si="22"/>
        <v>-1990182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30062421</v>
      </c>
      <c r="D195" s="589">
        <f>+D193+D194</f>
        <v>27725143</v>
      </c>
      <c r="E195" s="625">
        <f t="shared" si="22"/>
        <v>-2337278</v>
      </c>
    </row>
    <row r="196" spans="1:5" s="421" customFormat="1" x14ac:dyDescent="0.2">
      <c r="A196" s="588">
        <v>11</v>
      </c>
      <c r="B196" s="587" t="s">
        <v>821</v>
      </c>
      <c r="C196" s="589">
        <v>15260805</v>
      </c>
      <c r="D196" s="589">
        <v>15495383</v>
      </c>
      <c r="E196" s="622">
        <f t="shared" si="22"/>
        <v>234578</v>
      </c>
    </row>
    <row r="197" spans="1:5" s="421" customFormat="1" x14ac:dyDescent="0.2">
      <c r="A197" s="588">
        <v>12</v>
      </c>
      <c r="B197" s="587" t="s">
        <v>711</v>
      </c>
      <c r="C197" s="589">
        <v>486568594</v>
      </c>
      <c r="D197" s="589">
        <v>502208728</v>
      </c>
      <c r="E197" s="622">
        <f t="shared" si="22"/>
        <v>15640134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8283.2935999999991</v>
      </c>
      <c r="D203" s="629">
        <v>8384.9842799999988</v>
      </c>
      <c r="E203" s="630">
        <f t="shared" ref="E203:E211" si="23">D203-C203</f>
        <v>101.6906799999997</v>
      </c>
    </row>
    <row r="204" spans="1:5" s="421" customFormat="1" x14ac:dyDescent="0.2">
      <c r="A204" s="588">
        <v>2</v>
      </c>
      <c r="B204" s="587" t="s">
        <v>636</v>
      </c>
      <c r="C204" s="629">
        <v>12897.968040000002</v>
      </c>
      <c r="D204" s="629">
        <v>13353.994050000001</v>
      </c>
      <c r="E204" s="630">
        <f t="shared" si="23"/>
        <v>456.02600999999959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3468.8532</v>
      </c>
      <c r="D205" s="629">
        <f>D206+D207</f>
        <v>3492.5685000000003</v>
      </c>
      <c r="E205" s="630">
        <f t="shared" si="23"/>
        <v>23.715300000000298</v>
      </c>
    </row>
    <row r="206" spans="1:5" s="421" customFormat="1" x14ac:dyDescent="0.2">
      <c r="A206" s="588">
        <v>4</v>
      </c>
      <c r="B206" s="587" t="s">
        <v>115</v>
      </c>
      <c r="C206" s="629">
        <v>3433.9140000000002</v>
      </c>
      <c r="D206" s="629">
        <v>3444.6750000000002</v>
      </c>
      <c r="E206" s="630">
        <f t="shared" si="23"/>
        <v>10.760999999999967</v>
      </c>
    </row>
    <row r="207" spans="1:5" s="421" customFormat="1" x14ac:dyDescent="0.2">
      <c r="A207" s="588">
        <v>5</v>
      </c>
      <c r="B207" s="587" t="s">
        <v>744</v>
      </c>
      <c r="C207" s="629">
        <v>34.9392</v>
      </c>
      <c r="D207" s="629">
        <v>47.893500000000003</v>
      </c>
      <c r="E207" s="630">
        <f t="shared" si="23"/>
        <v>12.954300000000003</v>
      </c>
    </row>
    <row r="208" spans="1:5" s="421" customFormat="1" x14ac:dyDescent="0.2">
      <c r="A208" s="588">
        <v>6</v>
      </c>
      <c r="B208" s="587" t="s">
        <v>424</v>
      </c>
      <c r="C208" s="629">
        <v>30.628499999999999</v>
      </c>
      <c r="D208" s="629">
        <v>24.316799999999997</v>
      </c>
      <c r="E208" s="630">
        <f t="shared" si="23"/>
        <v>-6.3117000000000019</v>
      </c>
    </row>
    <row r="209" spans="1:5" s="421" customFormat="1" x14ac:dyDescent="0.2">
      <c r="A209" s="588">
        <v>7</v>
      </c>
      <c r="B209" s="587" t="s">
        <v>759</v>
      </c>
      <c r="C209" s="629">
        <v>188.0736</v>
      </c>
      <c r="D209" s="629">
        <v>190.71500000000003</v>
      </c>
      <c r="E209" s="630">
        <f t="shared" si="23"/>
        <v>2.6414000000000328</v>
      </c>
    </row>
    <row r="210" spans="1:5" s="421" customFormat="1" x14ac:dyDescent="0.2">
      <c r="A210" s="588"/>
      <c r="B210" s="592" t="s">
        <v>824</v>
      </c>
      <c r="C210" s="631">
        <f>C204+C205+C208</f>
        <v>16397.44974</v>
      </c>
      <c r="D210" s="631">
        <f>D204+D205+D208</f>
        <v>16870.879350000003</v>
      </c>
      <c r="E210" s="632">
        <f t="shared" si="23"/>
        <v>473.42961000000287</v>
      </c>
    </row>
    <row r="211" spans="1:5" s="421" customFormat="1" x14ac:dyDescent="0.2">
      <c r="A211" s="588"/>
      <c r="B211" s="592" t="s">
        <v>725</v>
      </c>
      <c r="C211" s="631">
        <f>C210+C203</f>
        <v>24680.743340000001</v>
      </c>
      <c r="D211" s="631">
        <f>D210+D203</f>
        <v>25255.86363</v>
      </c>
      <c r="E211" s="632">
        <f t="shared" si="23"/>
        <v>575.12028999999893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13083.414559891682</v>
      </c>
      <c r="D215" s="633">
        <f>IF(D14*D137=0,0,D25/D14*D137)</f>
        <v>12502.683277490512</v>
      </c>
      <c r="E215" s="633">
        <f t="shared" ref="E215:E223" si="24">D215-C215</f>
        <v>-580.73128240116966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6746.6396375814356</v>
      </c>
      <c r="D216" s="633">
        <f>IF(D15*D138=0,0,D26/D15*D138)</f>
        <v>6530.3051281484541</v>
      </c>
      <c r="E216" s="633">
        <f t="shared" si="24"/>
        <v>-216.33450943298158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3601.0435291821977</v>
      </c>
      <c r="D217" s="633">
        <f>D218+D219</f>
        <v>3608.5049467438803</v>
      </c>
      <c r="E217" s="633">
        <f t="shared" si="24"/>
        <v>7.4614175616825378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3584.6057751987405</v>
      </c>
      <c r="D218" s="633">
        <f t="shared" si="25"/>
        <v>3583.822730631523</v>
      </c>
      <c r="E218" s="633">
        <f t="shared" si="24"/>
        <v>-0.78304456721753013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16.437753983457164</v>
      </c>
      <c r="D219" s="633">
        <f t="shared" si="25"/>
        <v>24.682216112357381</v>
      </c>
      <c r="E219" s="633">
        <f t="shared" si="24"/>
        <v>8.2444621289002171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55.8383877659194</v>
      </c>
      <c r="D220" s="633">
        <f t="shared" si="25"/>
        <v>61.880438723544302</v>
      </c>
      <c r="E220" s="633">
        <f t="shared" si="24"/>
        <v>6.0420509576249017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821.99673039996355</v>
      </c>
      <c r="D221" s="633">
        <f t="shared" si="25"/>
        <v>942.32018596599085</v>
      </c>
      <c r="E221" s="633">
        <f t="shared" si="24"/>
        <v>120.32345556602729</v>
      </c>
    </row>
    <row r="222" spans="1:5" s="421" customFormat="1" x14ac:dyDescent="0.2">
      <c r="A222" s="588"/>
      <c r="B222" s="592" t="s">
        <v>826</v>
      </c>
      <c r="C222" s="634">
        <f>C216+C218+C219+C220</f>
        <v>10403.521554529552</v>
      </c>
      <c r="D222" s="634">
        <f>D216+D218+D219+D220</f>
        <v>10200.69051361588</v>
      </c>
      <c r="E222" s="634">
        <f t="shared" si="24"/>
        <v>-202.83104091367204</v>
      </c>
    </row>
    <row r="223" spans="1:5" s="421" customFormat="1" x14ac:dyDescent="0.2">
      <c r="A223" s="588"/>
      <c r="B223" s="592" t="s">
        <v>827</v>
      </c>
      <c r="C223" s="634">
        <f>C215+C222</f>
        <v>23486.936114421234</v>
      </c>
      <c r="D223" s="634">
        <f>D215+D222</f>
        <v>22703.373791106394</v>
      </c>
      <c r="E223" s="634">
        <f t="shared" si="24"/>
        <v>-783.56232331483989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12788.885691556317</v>
      </c>
      <c r="D227" s="636">
        <f t="shared" si="26"/>
        <v>12739.120841858037</v>
      </c>
      <c r="E227" s="636">
        <f t="shared" ref="E227:E235" si="27">D227-C227</f>
        <v>-49.764849698280159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7523.0059261334618</v>
      </c>
      <c r="D228" s="636">
        <f t="shared" si="26"/>
        <v>7708.9996906206488</v>
      </c>
      <c r="E228" s="636">
        <f t="shared" si="27"/>
        <v>185.99376448718704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4994.5777469049426</v>
      </c>
      <c r="D229" s="636">
        <f t="shared" si="26"/>
        <v>4723.1984140039049</v>
      </c>
      <c r="E229" s="636">
        <f t="shared" si="27"/>
        <v>-271.37933290103774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4912.9835517138745</v>
      </c>
      <c r="D230" s="636">
        <f t="shared" si="26"/>
        <v>4646.2214867875773</v>
      </c>
      <c r="E230" s="636">
        <f t="shared" si="27"/>
        <v>-266.76206492629717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13013.864083894308</v>
      </c>
      <c r="D231" s="636">
        <f t="shared" si="26"/>
        <v>10259.659452744108</v>
      </c>
      <c r="E231" s="636">
        <f t="shared" si="27"/>
        <v>-2754.2046311501999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5981.9449205805049</v>
      </c>
      <c r="D232" s="636">
        <f t="shared" si="26"/>
        <v>8486.02612185814</v>
      </c>
      <c r="E232" s="636">
        <f t="shared" si="27"/>
        <v>2504.081201277635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7680.9663876269715</v>
      </c>
      <c r="D233" s="636">
        <f t="shared" si="26"/>
        <v>7523.5298744199445</v>
      </c>
      <c r="E233" s="636">
        <f t="shared" si="27"/>
        <v>-157.43651320702702</v>
      </c>
    </row>
    <row r="234" spans="1:5" x14ac:dyDescent="0.2">
      <c r="A234" s="588"/>
      <c r="B234" s="592" t="s">
        <v>829</v>
      </c>
      <c r="C234" s="637">
        <f t="shared" si="26"/>
        <v>6985.2426332242567</v>
      </c>
      <c r="D234" s="637">
        <f t="shared" si="26"/>
        <v>7092.0063215317805</v>
      </c>
      <c r="E234" s="637">
        <f t="shared" si="27"/>
        <v>106.76368830752381</v>
      </c>
    </row>
    <row r="235" spans="1:5" s="421" customFormat="1" x14ac:dyDescent="0.2">
      <c r="A235" s="588"/>
      <c r="B235" s="592" t="s">
        <v>830</v>
      </c>
      <c r="C235" s="637">
        <f t="shared" si="26"/>
        <v>8933.0478001721312</v>
      </c>
      <c r="D235" s="637">
        <f t="shared" si="26"/>
        <v>8966.8567393986996</v>
      </c>
      <c r="E235" s="637">
        <f t="shared" si="27"/>
        <v>33.808939226568327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15073.054369503421</v>
      </c>
      <c r="D239" s="636">
        <f t="shared" si="28"/>
        <v>15890.197055353725</v>
      </c>
      <c r="E239" s="638">
        <f t="shared" ref="E239:E247" si="29">D239-C239</f>
        <v>817.14268585030368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11582.047537374017</v>
      </c>
      <c r="D240" s="636">
        <f t="shared" si="28"/>
        <v>12167.176332620784</v>
      </c>
      <c r="E240" s="638">
        <f t="shared" si="29"/>
        <v>585.12879524676646</v>
      </c>
    </row>
    <row r="241" spans="1:5" x14ac:dyDescent="0.2">
      <c r="A241" s="588">
        <v>3</v>
      </c>
      <c r="B241" s="587" t="s">
        <v>778</v>
      </c>
      <c r="C241" s="636">
        <f t="shared" si="28"/>
        <v>5128.4067660781711</v>
      </c>
      <c r="D241" s="636">
        <f t="shared" si="28"/>
        <v>4987.0523293139559</v>
      </c>
      <c r="E241" s="638">
        <f t="shared" si="29"/>
        <v>-141.35443676421528</v>
      </c>
    </row>
    <row r="242" spans="1:5" x14ac:dyDescent="0.2">
      <c r="A242" s="588">
        <v>4</v>
      </c>
      <c r="B242" s="587" t="s">
        <v>115</v>
      </c>
      <c r="C242" s="636">
        <f t="shared" si="28"/>
        <v>5080.0250130686663</v>
      </c>
      <c r="D242" s="636">
        <f t="shared" si="28"/>
        <v>4991.9039932110418</v>
      </c>
      <c r="E242" s="638">
        <f t="shared" si="29"/>
        <v>-88.12101985762456</v>
      </c>
    </row>
    <row r="243" spans="1:5" x14ac:dyDescent="0.2">
      <c r="A243" s="588">
        <v>5</v>
      </c>
      <c r="B243" s="587" t="s">
        <v>744</v>
      </c>
      <c r="C243" s="636">
        <f t="shared" si="28"/>
        <v>15679.088533590209</v>
      </c>
      <c r="D243" s="636">
        <f t="shared" si="28"/>
        <v>4282.5976208464645</v>
      </c>
      <c r="E243" s="638">
        <f t="shared" si="29"/>
        <v>-11396.490912743746</v>
      </c>
    </row>
    <row r="244" spans="1:5" x14ac:dyDescent="0.2">
      <c r="A244" s="588">
        <v>6</v>
      </c>
      <c r="B244" s="587" t="s">
        <v>424</v>
      </c>
      <c r="C244" s="636">
        <f t="shared" si="28"/>
        <v>3527.4836520301319</v>
      </c>
      <c r="D244" s="636">
        <f t="shared" si="28"/>
        <v>3565.908783966704</v>
      </c>
      <c r="E244" s="638">
        <f t="shared" si="29"/>
        <v>38.425131936572143</v>
      </c>
    </row>
    <row r="245" spans="1:5" x14ac:dyDescent="0.2">
      <c r="A245" s="588">
        <v>7</v>
      </c>
      <c r="B245" s="587" t="s">
        <v>759</v>
      </c>
      <c r="C245" s="636">
        <f t="shared" si="28"/>
        <v>9260.1743030002908</v>
      </c>
      <c r="D245" s="636">
        <f t="shared" si="28"/>
        <v>8199.1430461395703</v>
      </c>
      <c r="E245" s="638">
        <f t="shared" si="29"/>
        <v>-1061.0312568607205</v>
      </c>
    </row>
    <row r="246" spans="1:5" ht="25.5" x14ac:dyDescent="0.2">
      <c r="A246" s="588"/>
      <c r="B246" s="592" t="s">
        <v>832</v>
      </c>
      <c r="C246" s="637">
        <f t="shared" si="28"/>
        <v>9304.9728875558139</v>
      </c>
      <c r="D246" s="637">
        <f t="shared" si="28"/>
        <v>9575.0220898896641</v>
      </c>
      <c r="E246" s="639">
        <f t="shared" si="29"/>
        <v>270.04920233385019</v>
      </c>
    </row>
    <row r="247" spans="1:5" x14ac:dyDescent="0.2">
      <c r="A247" s="588"/>
      <c r="B247" s="592" t="s">
        <v>833</v>
      </c>
      <c r="C247" s="637">
        <f t="shared" si="28"/>
        <v>12518.086802282982</v>
      </c>
      <c r="D247" s="637">
        <f t="shared" si="28"/>
        <v>13052.770954953232</v>
      </c>
      <c r="E247" s="639">
        <f t="shared" si="29"/>
        <v>534.68415267025011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23307187.491097253</v>
      </c>
      <c r="D251" s="622">
        <f>((IF((IF(D15=0,0,D26/D15)*D138)=0,0,D59/(IF(D15=0,0,D26/D15)*D138)))-(IF((IF(D17=0,0,D28/D17)*D140)=0,0,D61/(IF(D17=0,0,D28/D17)*D140))))*(IF(D17=0,0,D28/D17)*D140)</f>
        <v>25714904.108448256</v>
      </c>
      <c r="E251" s="622">
        <f>D251-C251</f>
        <v>2407716.617351003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-259192.34330157778</v>
      </c>
      <c r="D252" s="622">
        <f>IF(D231=0,0,(D228-D231)*D207)+IF(D243=0,0,(D240-D243)*D219)</f>
        <v>72448.852401646189</v>
      </c>
      <c r="E252" s="622">
        <f>D252-C252</f>
        <v>331641.19570322399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1878864.0144076457</v>
      </c>
      <c r="D253" s="622">
        <f>IF(D233=0,0,(D228-D233)*D209+IF(D221=0,0,(D240-D245)*D221))</f>
        <v>3774529.7404329362</v>
      </c>
      <c r="E253" s="622">
        <f>D253-C253</f>
        <v>1895665.7260252906</v>
      </c>
    </row>
    <row r="254" spans="1:5" ht="15" customHeight="1" x14ac:dyDescent="0.2">
      <c r="A254" s="588"/>
      <c r="B254" s="592" t="s">
        <v>760</v>
      </c>
      <c r="C254" s="640">
        <f>+C251+C252+C253</f>
        <v>24926859.162203319</v>
      </c>
      <c r="D254" s="640">
        <f>+D251+D252+D253</f>
        <v>29561882.70128284</v>
      </c>
      <c r="E254" s="640">
        <f>D254-C254</f>
        <v>4635023.5390795209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1231890672</v>
      </c>
      <c r="D258" s="625">
        <f>+D44</f>
        <v>1291510052</v>
      </c>
      <c r="E258" s="622">
        <f t="shared" ref="E258:E271" si="30">D258-C258</f>
        <v>59619380</v>
      </c>
    </row>
    <row r="259" spans="1:5" x14ac:dyDescent="0.2">
      <c r="A259" s="588">
        <v>2</v>
      </c>
      <c r="B259" s="587" t="s">
        <v>743</v>
      </c>
      <c r="C259" s="622">
        <f>+(C43-C76)</f>
        <v>489713015</v>
      </c>
      <c r="D259" s="625">
        <f>+(D43-D76)</f>
        <v>539242936</v>
      </c>
      <c r="E259" s="622">
        <f t="shared" si="30"/>
        <v>49529921</v>
      </c>
    </row>
    <row r="260" spans="1:5" x14ac:dyDescent="0.2">
      <c r="A260" s="588">
        <v>3</v>
      </c>
      <c r="B260" s="587" t="s">
        <v>747</v>
      </c>
      <c r="C260" s="622">
        <f>C195</f>
        <v>30062421</v>
      </c>
      <c r="D260" s="622">
        <f>D195</f>
        <v>27725143</v>
      </c>
      <c r="E260" s="622">
        <f t="shared" si="30"/>
        <v>-2337278</v>
      </c>
    </row>
    <row r="261" spans="1:5" x14ac:dyDescent="0.2">
      <c r="A261" s="588">
        <v>4</v>
      </c>
      <c r="B261" s="587" t="s">
        <v>748</v>
      </c>
      <c r="C261" s="622">
        <f>C188</f>
        <v>180452266</v>
      </c>
      <c r="D261" s="622">
        <f>D188</f>
        <v>185104879</v>
      </c>
      <c r="E261" s="622">
        <f t="shared" si="30"/>
        <v>4652613</v>
      </c>
    </row>
    <row r="262" spans="1:5" x14ac:dyDescent="0.2">
      <c r="A262" s="588">
        <v>5</v>
      </c>
      <c r="B262" s="587" t="s">
        <v>749</v>
      </c>
      <c r="C262" s="622">
        <f>C191</f>
        <v>18212101</v>
      </c>
      <c r="D262" s="622">
        <f>D191</f>
        <v>17658659</v>
      </c>
      <c r="E262" s="622">
        <f t="shared" si="30"/>
        <v>-553442</v>
      </c>
    </row>
    <row r="263" spans="1:5" x14ac:dyDescent="0.2">
      <c r="A263" s="588">
        <v>6</v>
      </c>
      <c r="B263" s="587" t="s">
        <v>750</v>
      </c>
      <c r="C263" s="622">
        <f>+C259+C260+C261+C262</f>
        <v>718439803</v>
      </c>
      <c r="D263" s="622">
        <f>+D259+D260+D261+D262</f>
        <v>769731617</v>
      </c>
      <c r="E263" s="622">
        <f t="shared" si="30"/>
        <v>51291814</v>
      </c>
    </row>
    <row r="264" spans="1:5" x14ac:dyDescent="0.2">
      <c r="A264" s="588">
        <v>7</v>
      </c>
      <c r="B264" s="587" t="s">
        <v>655</v>
      </c>
      <c r="C264" s="622">
        <f>+C258-C263</f>
        <v>513450869</v>
      </c>
      <c r="D264" s="622">
        <f>+D258-D263</f>
        <v>521778435</v>
      </c>
      <c r="E264" s="622">
        <f t="shared" si="30"/>
        <v>8327566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513450869</v>
      </c>
      <c r="D266" s="622">
        <f>+D264+D265</f>
        <v>521778435</v>
      </c>
      <c r="E266" s="641">
        <f t="shared" si="30"/>
        <v>8327566</v>
      </c>
    </row>
    <row r="267" spans="1:5" x14ac:dyDescent="0.2">
      <c r="A267" s="588">
        <v>10</v>
      </c>
      <c r="B267" s="587" t="s">
        <v>838</v>
      </c>
      <c r="C267" s="642">
        <f>IF(C258=0,0,C266/C258)</f>
        <v>0.41679905584998211</v>
      </c>
      <c r="D267" s="642">
        <f>IF(D258=0,0,D266/D258)</f>
        <v>0.40400648387675114</v>
      </c>
      <c r="E267" s="643">
        <f t="shared" si="30"/>
        <v>-1.2792571973230971E-2</v>
      </c>
    </row>
    <row r="268" spans="1:5" x14ac:dyDescent="0.2">
      <c r="A268" s="588">
        <v>11</v>
      </c>
      <c r="B268" s="587" t="s">
        <v>717</v>
      </c>
      <c r="C268" s="622">
        <f>+C260*C267</f>
        <v>12529988.689364675</v>
      </c>
      <c r="D268" s="644">
        <f>+D260*D267</f>
        <v>11201137.53841012</v>
      </c>
      <c r="E268" s="622">
        <f t="shared" si="30"/>
        <v>-1328851.1509545557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31263034.157003775</v>
      </c>
      <c r="D269" s="644">
        <f>((D17+D18+D28+D29)*D267)-(D50+D51+D61+D62)</f>
        <v>36986478.280321032</v>
      </c>
      <c r="E269" s="622">
        <f t="shared" si="30"/>
        <v>5723444.1233172566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43793022.846368447</v>
      </c>
      <c r="D271" s="622">
        <f>+D268+D269+D270</f>
        <v>48187615.818731152</v>
      </c>
      <c r="E271" s="625">
        <f t="shared" si="30"/>
        <v>4394592.9723627046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0.58307438631935471</v>
      </c>
      <c r="D276" s="623">
        <f t="shared" si="31"/>
        <v>0.58281458109792494</v>
      </c>
      <c r="E276" s="650">
        <f t="shared" ref="E276:E284" si="32">D276-C276</f>
        <v>-2.5980522142976525E-4</v>
      </c>
    </row>
    <row r="277" spans="1:5" x14ac:dyDescent="0.2">
      <c r="A277" s="588">
        <v>2</v>
      </c>
      <c r="B277" s="587" t="s">
        <v>636</v>
      </c>
      <c r="C277" s="623">
        <f t="shared" si="31"/>
        <v>0.32529028166641705</v>
      </c>
      <c r="D277" s="623">
        <f t="shared" si="31"/>
        <v>0.31576592651708296</v>
      </c>
      <c r="E277" s="650">
        <f t="shared" si="32"/>
        <v>-9.524355149334085E-3</v>
      </c>
    </row>
    <row r="278" spans="1:5" x14ac:dyDescent="0.2">
      <c r="A278" s="588">
        <v>3</v>
      </c>
      <c r="B278" s="587" t="s">
        <v>778</v>
      </c>
      <c r="C278" s="623">
        <f t="shared" si="31"/>
        <v>0.22315627960727541</v>
      </c>
      <c r="D278" s="623">
        <f t="shared" si="31"/>
        <v>0.19495336958480983</v>
      </c>
      <c r="E278" s="650">
        <f t="shared" si="32"/>
        <v>-2.8202910022465583E-2</v>
      </c>
    </row>
    <row r="279" spans="1:5" x14ac:dyDescent="0.2">
      <c r="A279" s="588">
        <v>4</v>
      </c>
      <c r="B279" s="587" t="s">
        <v>115</v>
      </c>
      <c r="C279" s="623">
        <f t="shared" si="31"/>
        <v>0.22037587579283885</v>
      </c>
      <c r="D279" s="623">
        <f t="shared" si="31"/>
        <v>0.19326162512643127</v>
      </c>
      <c r="E279" s="650">
        <f t="shared" si="32"/>
        <v>-2.7114250666407574E-2</v>
      </c>
    </row>
    <row r="280" spans="1:5" x14ac:dyDescent="0.2">
      <c r="A280" s="588">
        <v>5</v>
      </c>
      <c r="B280" s="587" t="s">
        <v>744</v>
      </c>
      <c r="C280" s="623">
        <f t="shared" si="31"/>
        <v>0.41956313922630317</v>
      </c>
      <c r="D280" s="623">
        <f t="shared" si="31"/>
        <v>0.27270784794502456</v>
      </c>
      <c r="E280" s="650">
        <f t="shared" si="32"/>
        <v>-0.14685529128127861</v>
      </c>
    </row>
    <row r="281" spans="1:5" x14ac:dyDescent="0.2">
      <c r="A281" s="588">
        <v>6</v>
      </c>
      <c r="B281" s="587" t="s">
        <v>424</v>
      </c>
      <c r="C281" s="623">
        <f t="shared" si="31"/>
        <v>0.33603738598869104</v>
      </c>
      <c r="D281" s="623">
        <f t="shared" si="31"/>
        <v>0.38367485818088515</v>
      </c>
      <c r="E281" s="650">
        <f t="shared" si="32"/>
        <v>4.7637472192194108E-2</v>
      </c>
    </row>
    <row r="282" spans="1:5" x14ac:dyDescent="0.2">
      <c r="A282" s="588">
        <v>7</v>
      </c>
      <c r="B282" s="587" t="s">
        <v>759</v>
      </c>
      <c r="C282" s="623">
        <f t="shared" si="31"/>
        <v>0.26292706010829503</v>
      </c>
      <c r="D282" s="623">
        <f t="shared" si="31"/>
        <v>0.28201710283320219</v>
      </c>
      <c r="E282" s="650">
        <f t="shared" si="32"/>
        <v>1.9090042724907164E-2</v>
      </c>
    </row>
    <row r="283" spans="1:5" ht="29.25" customHeight="1" x14ac:dyDescent="0.2">
      <c r="A283" s="588"/>
      <c r="B283" s="592" t="s">
        <v>845</v>
      </c>
      <c r="C283" s="651">
        <f t="shared" si="31"/>
        <v>0.30424337779808214</v>
      </c>
      <c r="D283" s="651">
        <f t="shared" si="31"/>
        <v>0.29099266307960564</v>
      </c>
      <c r="E283" s="652">
        <f t="shared" si="32"/>
        <v>-1.3250714718476497E-2</v>
      </c>
    </row>
    <row r="284" spans="1:5" x14ac:dyDescent="0.2">
      <c r="A284" s="588"/>
      <c r="B284" s="592" t="s">
        <v>846</v>
      </c>
      <c r="C284" s="651">
        <f t="shared" si="31"/>
        <v>0.39500372918095827</v>
      </c>
      <c r="D284" s="651">
        <f t="shared" si="31"/>
        <v>0.380965767840592</v>
      </c>
      <c r="E284" s="652">
        <f t="shared" si="32"/>
        <v>-1.4037961340366278E-2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0.56481863365440255</v>
      </c>
      <c r="D287" s="623">
        <f t="shared" si="33"/>
        <v>0.56493574833769089</v>
      </c>
      <c r="E287" s="650">
        <f t="shared" ref="E287:E295" si="34">D287-C287</f>
        <v>1.1711468328834407E-4</v>
      </c>
    </row>
    <row r="288" spans="1:5" x14ac:dyDescent="0.2">
      <c r="A288" s="588">
        <v>2</v>
      </c>
      <c r="B288" s="587" t="s">
        <v>636</v>
      </c>
      <c r="C288" s="623">
        <f t="shared" si="33"/>
        <v>0.32495056702989317</v>
      </c>
      <c r="D288" s="623">
        <f t="shared" si="33"/>
        <v>0.31517046609872967</v>
      </c>
      <c r="E288" s="650">
        <f t="shared" si="34"/>
        <v>-9.7801009311634934E-3</v>
      </c>
    </row>
    <row r="289" spans="1:5" x14ac:dyDescent="0.2">
      <c r="A289" s="588">
        <v>3</v>
      </c>
      <c r="B289" s="587" t="s">
        <v>778</v>
      </c>
      <c r="C289" s="623">
        <f t="shared" si="33"/>
        <v>0.22184570721072161</v>
      </c>
      <c r="D289" s="623">
        <f t="shared" si="33"/>
        <v>0.19495336732870794</v>
      </c>
      <c r="E289" s="650">
        <f t="shared" si="34"/>
        <v>-2.6892339882013672E-2</v>
      </c>
    </row>
    <row r="290" spans="1:5" x14ac:dyDescent="0.2">
      <c r="A290" s="588">
        <v>4</v>
      </c>
      <c r="B290" s="587" t="s">
        <v>115</v>
      </c>
      <c r="C290" s="623">
        <f t="shared" si="33"/>
        <v>0.22037587668633368</v>
      </c>
      <c r="D290" s="623">
        <f t="shared" si="33"/>
        <v>0.19590569009910605</v>
      </c>
      <c r="E290" s="650">
        <f t="shared" si="34"/>
        <v>-2.4470186587227633E-2</v>
      </c>
    </row>
    <row r="291" spans="1:5" x14ac:dyDescent="0.2">
      <c r="A291" s="588">
        <v>5</v>
      </c>
      <c r="B291" s="587" t="s">
        <v>744</v>
      </c>
      <c r="C291" s="623">
        <f t="shared" si="33"/>
        <v>0.41956274011851274</v>
      </c>
      <c r="D291" s="623">
        <f t="shared" si="33"/>
        <v>0.10695667659629582</v>
      </c>
      <c r="E291" s="650">
        <f t="shared" si="34"/>
        <v>-0.31260606352221693</v>
      </c>
    </row>
    <row r="292" spans="1:5" x14ac:dyDescent="0.2">
      <c r="A292" s="588">
        <v>6</v>
      </c>
      <c r="B292" s="587" t="s">
        <v>424</v>
      </c>
      <c r="C292" s="623">
        <f t="shared" si="33"/>
        <v>0.22643967019676911</v>
      </c>
      <c r="D292" s="623">
        <f t="shared" si="33"/>
        <v>0.22542480408392185</v>
      </c>
      <c r="E292" s="650">
        <f t="shared" si="34"/>
        <v>-1.0148661128472625E-3</v>
      </c>
    </row>
    <row r="293" spans="1:5" x14ac:dyDescent="0.2">
      <c r="A293" s="588">
        <v>7</v>
      </c>
      <c r="B293" s="587" t="s">
        <v>759</v>
      </c>
      <c r="C293" s="623">
        <f t="shared" si="33"/>
        <v>0.26292709492069805</v>
      </c>
      <c r="D293" s="623">
        <f t="shared" si="33"/>
        <v>0.28201710933391894</v>
      </c>
      <c r="E293" s="650">
        <f t="shared" si="34"/>
        <v>1.909001441322089E-2</v>
      </c>
    </row>
    <row r="294" spans="1:5" ht="29.25" customHeight="1" x14ac:dyDescent="0.2">
      <c r="A294" s="588"/>
      <c r="B294" s="592" t="s">
        <v>848</v>
      </c>
      <c r="C294" s="651">
        <f t="shared" si="33"/>
        <v>0.29824335288273102</v>
      </c>
      <c r="D294" s="651">
        <f t="shared" si="33"/>
        <v>0.28278713346853762</v>
      </c>
      <c r="E294" s="652">
        <f t="shared" si="34"/>
        <v>-1.5456219414193395E-2</v>
      </c>
    </row>
    <row r="295" spans="1:5" x14ac:dyDescent="0.2">
      <c r="A295" s="588"/>
      <c r="B295" s="592" t="s">
        <v>849</v>
      </c>
      <c r="C295" s="651">
        <f t="shared" si="33"/>
        <v>0.43639155631530363</v>
      </c>
      <c r="D295" s="651">
        <f t="shared" si="33"/>
        <v>0.42513212199063077</v>
      </c>
      <c r="E295" s="652">
        <f t="shared" si="34"/>
        <v>-1.1259434324672857E-2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514485765</v>
      </c>
      <c r="D301" s="590">
        <f>+D48+D47+D50+D51+D52+D59+D58+D61+D62+D63</f>
        <v>522807649</v>
      </c>
      <c r="E301" s="590">
        <f>D301-C301</f>
        <v>8321884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514485765</v>
      </c>
      <c r="D303" s="593">
        <f>+D301+D302</f>
        <v>522807649</v>
      </c>
      <c r="E303" s="593">
        <f>D303-C303</f>
        <v>8321884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-12622526</v>
      </c>
      <c r="D305" s="654">
        <v>-18314843</v>
      </c>
      <c r="E305" s="655">
        <f>D305-C305</f>
        <v>-5692317</v>
      </c>
    </row>
    <row r="306" spans="1:5" x14ac:dyDescent="0.2">
      <c r="A306" s="588">
        <v>4</v>
      </c>
      <c r="B306" s="592" t="s">
        <v>856</v>
      </c>
      <c r="C306" s="593">
        <f>+C303+C305+C194+C190-C191</f>
        <v>530262740</v>
      </c>
      <c r="D306" s="593">
        <f>+D303+D305</f>
        <v>504492806</v>
      </c>
      <c r="E306" s="656">
        <f>D306-C306</f>
        <v>-25769934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501863239</v>
      </c>
      <c r="D308" s="589">
        <v>504492756</v>
      </c>
      <c r="E308" s="590">
        <f>D308-C308</f>
        <v>2629517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28399501</v>
      </c>
      <c r="D310" s="658">
        <f>D306-D308</f>
        <v>50</v>
      </c>
      <c r="E310" s="656">
        <f>D310-C310</f>
        <v>-28399451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1231890672</v>
      </c>
      <c r="D314" s="590">
        <f>+D14+D15+D16+D19+D25+D26+D27+D30</f>
        <v>1291510052</v>
      </c>
      <c r="E314" s="590">
        <f>D314-C314</f>
        <v>59619380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1231890672</v>
      </c>
      <c r="D316" s="657">
        <f>D314+D315</f>
        <v>1291510052</v>
      </c>
      <c r="E316" s="593">
        <f>D316-C316</f>
        <v>59619380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1231890672</v>
      </c>
      <c r="D318" s="589">
        <v>1291510052</v>
      </c>
      <c r="E318" s="590">
        <f>D318-C318</f>
        <v>59619380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30062421</v>
      </c>
      <c r="D324" s="589">
        <f>+D193+D194</f>
        <v>27725143</v>
      </c>
      <c r="E324" s="590">
        <f>D324-C324</f>
        <v>-2337278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30062421</v>
      </c>
      <c r="D326" s="657">
        <f>D324+D325</f>
        <v>27725143</v>
      </c>
      <c r="E326" s="593">
        <f>D326-C326</f>
        <v>-2337278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30062421</v>
      </c>
      <c r="D328" s="589">
        <v>27725143</v>
      </c>
      <c r="E328" s="590">
        <f>D328-C328</f>
        <v>-2337278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FILING&amp;RDANBURY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183278407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326019774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84615588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82813766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1801822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537833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5087812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411173195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594451602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351668489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252102854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92308244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91319956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988288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978863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27396274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345389961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697058450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534946896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756563156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1291510052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106817328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102945936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16496094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16004723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491371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206353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1434850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119648383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226465711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198670101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79455374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17995803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17890099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105704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220660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7726218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97671837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296341938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305487429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217320220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522807649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6516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8445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3295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3250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45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34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175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11774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18290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1.2868299999999999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1.5812900000000001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1.059960091047041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1.0599000000000001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1.0643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0.71519999999999995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1.0898000000000001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1.4328927594700187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1.3808564040459266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474922116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289817237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185104879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0.3897583893524133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28272630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17658659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12601255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15123888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27725143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15495383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502208728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522807649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522807649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-18314843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504492806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504492756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50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1291510052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1291510052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1291510052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27725143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27725143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27725143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FILING&amp;RDANBURY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3512</v>
      </c>
      <c r="D12" s="185">
        <v>3348</v>
      </c>
      <c r="E12" s="185">
        <f>+D12-C12</f>
        <v>-164</v>
      </c>
      <c r="F12" s="77">
        <f>IF(C12=0,0,+E12/C12)</f>
        <v>-4.6697038724373578E-2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3375</v>
      </c>
      <c r="D13" s="185">
        <v>3207</v>
      </c>
      <c r="E13" s="185">
        <f>+D13-C13</f>
        <v>-168</v>
      </c>
      <c r="F13" s="77">
        <f>IF(C13=0,0,+E13/C13)</f>
        <v>-4.9777777777777775E-2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12948351</v>
      </c>
      <c r="D15" s="76">
        <v>12601255</v>
      </c>
      <c r="E15" s="76">
        <f>+D15-C15</f>
        <v>-347096</v>
      </c>
      <c r="F15" s="77">
        <f>IF(C15=0,0,+E15/C15)</f>
        <v>-2.6806193313727748E-2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3836.5484444444446</v>
      </c>
      <c r="D16" s="79">
        <f>IF(D13=0,0,+D15/+D13)</f>
        <v>3929.2968506392267</v>
      </c>
      <c r="E16" s="79">
        <f>+D16-C16</f>
        <v>92.748406194782092</v>
      </c>
      <c r="F16" s="80">
        <f>IF(C16=0,0,+E16/C16)</f>
        <v>2.4174960263850551E-2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0.43018899999999999</v>
      </c>
      <c r="D18" s="704">
        <v>0.39014399999999999</v>
      </c>
      <c r="E18" s="704">
        <f>+D18-C18</f>
        <v>-4.0044999999999997E-2</v>
      </c>
      <c r="F18" s="77">
        <f>IF(C18=0,0,+E18/C18)</f>
        <v>-9.3086991996541052E-2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5570238.1683390001</v>
      </c>
      <c r="D19" s="79">
        <f>+D15*D18</f>
        <v>4916304.0307200002</v>
      </c>
      <c r="E19" s="79">
        <f>+D19-C19</f>
        <v>-653934.13761899993</v>
      </c>
      <c r="F19" s="80">
        <f>IF(C19=0,0,+E19/C19)</f>
        <v>-0.11739787740781608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1650.4409387671112</v>
      </c>
      <c r="D20" s="79">
        <f>IF(D13=0,0,+D19/D13)</f>
        <v>1532.9915904957904</v>
      </c>
      <c r="E20" s="79">
        <f>+D20-C20</f>
        <v>-117.44934827132079</v>
      </c>
      <c r="F20" s="80">
        <f>IF(C20=0,0,+E20/C20)</f>
        <v>-7.11624060652883E-2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1432711</v>
      </c>
      <c r="D22" s="76">
        <v>1608834</v>
      </c>
      <c r="E22" s="76">
        <f>+D22-C22</f>
        <v>176123</v>
      </c>
      <c r="F22" s="77">
        <f>IF(C22=0,0,+E22/C22)</f>
        <v>0.12292988606913746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2669592</v>
      </c>
      <c r="D23" s="185">
        <v>2901587</v>
      </c>
      <c r="E23" s="185">
        <f>+D23-C23</f>
        <v>231995</v>
      </c>
      <c r="F23" s="77">
        <f>IF(C23=0,0,+E23/C23)</f>
        <v>8.690279263647778E-2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8846048</v>
      </c>
      <c r="D24" s="185">
        <v>8090834</v>
      </c>
      <c r="E24" s="185">
        <f>+D24-C24</f>
        <v>-755214</v>
      </c>
      <c r="F24" s="77">
        <f>IF(C24=0,0,+E24/C24)</f>
        <v>-8.537303889827412E-2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12948351</v>
      </c>
      <c r="D25" s="79">
        <f>+D22+D23+D24</f>
        <v>12601255</v>
      </c>
      <c r="E25" s="79">
        <f>+E22+E23+E24</f>
        <v>-347096</v>
      </c>
      <c r="F25" s="80">
        <f>IF(C25=0,0,+E25/C25)</f>
        <v>-2.6806193313727748E-2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205</v>
      </c>
      <c r="D27" s="185">
        <v>252</v>
      </c>
      <c r="E27" s="185">
        <f>+D27-C27</f>
        <v>47</v>
      </c>
      <c r="F27" s="77">
        <f>IF(C27=0,0,+E27/C27)</f>
        <v>0.22926829268292684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53</v>
      </c>
      <c r="D28" s="185">
        <v>53</v>
      </c>
      <c r="E28" s="185">
        <f>+D28-C28</f>
        <v>0</v>
      </c>
      <c r="F28" s="77">
        <f>IF(C28=0,0,+E28/C28)</f>
        <v>0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1683</v>
      </c>
      <c r="D29" s="185">
        <v>1665</v>
      </c>
      <c r="E29" s="185">
        <f>+D29-C29</f>
        <v>-18</v>
      </c>
      <c r="F29" s="77">
        <f>IF(C29=0,0,+E29/C29)</f>
        <v>-1.06951871657754E-2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12942</v>
      </c>
      <c r="D30" s="185">
        <v>12223</v>
      </c>
      <c r="E30" s="185">
        <f>+D30-C30</f>
        <v>-719</v>
      </c>
      <c r="F30" s="77">
        <f>IF(C30=0,0,+E30/C30)</f>
        <v>-5.5555555555555552E-2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3650148</v>
      </c>
      <c r="D33" s="76">
        <v>3325943</v>
      </c>
      <c r="E33" s="76">
        <f>+D33-C33</f>
        <v>-324205</v>
      </c>
      <c r="F33" s="77">
        <f>IF(C33=0,0,+E33/C33)</f>
        <v>-8.8819686215463045E-2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11381115</v>
      </c>
      <c r="D34" s="185">
        <v>10115480</v>
      </c>
      <c r="E34" s="185">
        <f>+D34-C34</f>
        <v>-1265635</v>
      </c>
      <c r="F34" s="77">
        <f>IF(C34=0,0,+E34/C34)</f>
        <v>-0.11120483362131039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2082807</v>
      </c>
      <c r="D35" s="185">
        <v>1682465</v>
      </c>
      <c r="E35" s="185">
        <f>+D35-C35</f>
        <v>-400342</v>
      </c>
      <c r="F35" s="77">
        <f>IF(C35=0,0,+E35/C35)</f>
        <v>-0.19221272062173789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17114070</v>
      </c>
      <c r="D36" s="79">
        <f>+D33+D34+D35</f>
        <v>15123888</v>
      </c>
      <c r="E36" s="79">
        <f>+E33+E34+E35</f>
        <v>-1990182</v>
      </c>
      <c r="F36" s="80">
        <f>IF(C36=0,0,+E36/C36)</f>
        <v>-0.11628922868727311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12948351</v>
      </c>
      <c r="D39" s="76">
        <f>+D25</f>
        <v>12601255</v>
      </c>
      <c r="E39" s="76">
        <f>+D39-C39</f>
        <v>-347096</v>
      </c>
      <c r="F39" s="77">
        <f>IF(C39=0,0,+E39/C39)</f>
        <v>-2.6806193313727748E-2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17114070</v>
      </c>
      <c r="D40" s="185">
        <f>+D36</f>
        <v>15123888</v>
      </c>
      <c r="E40" s="185">
        <f>+D40-C40</f>
        <v>-1990182</v>
      </c>
      <c r="F40" s="77">
        <f>IF(C40=0,0,+E40/C40)</f>
        <v>-0.11628922868727311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30062421</v>
      </c>
      <c r="D41" s="79">
        <f>+D39+D40</f>
        <v>27725143</v>
      </c>
      <c r="E41" s="79">
        <f>+E39+E40</f>
        <v>-2337278</v>
      </c>
      <c r="F41" s="80">
        <f>IF(C41=0,0,+E41/C41)</f>
        <v>-7.7747497448725097E-2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5082859</v>
      </c>
      <c r="D43" s="76">
        <f t="shared" si="0"/>
        <v>4934777</v>
      </c>
      <c r="E43" s="76">
        <f>+D43-C43</f>
        <v>-148082</v>
      </c>
      <c r="F43" s="77">
        <f>IF(C43=0,0,+E43/C43)</f>
        <v>-2.9133603745451132E-2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14050707</v>
      </c>
      <c r="D44" s="185">
        <f t="shared" si="0"/>
        <v>13017067</v>
      </c>
      <c r="E44" s="185">
        <f>+D44-C44</f>
        <v>-1033640</v>
      </c>
      <c r="F44" s="77">
        <f>IF(C44=0,0,+E44/C44)</f>
        <v>-7.356498146321036E-2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10928855</v>
      </c>
      <c r="D45" s="185">
        <f t="shared" si="0"/>
        <v>9773299</v>
      </c>
      <c r="E45" s="185">
        <f>+D45-C45</f>
        <v>-1155556</v>
      </c>
      <c r="F45" s="77">
        <f>IF(C45=0,0,+E45/C45)</f>
        <v>-0.10573440676081804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30062421</v>
      </c>
      <c r="D46" s="79">
        <f>+D43+D44+D45</f>
        <v>27725143</v>
      </c>
      <c r="E46" s="79">
        <f>+E43+E44+E45</f>
        <v>-2337278</v>
      </c>
      <c r="F46" s="80">
        <f>IF(C46=0,0,+E46/C46)</f>
        <v>-7.7747497448725097E-2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FILING&amp;RDANBURY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467423606</v>
      </c>
      <c r="D15" s="76">
        <v>474922116</v>
      </c>
      <c r="E15" s="76">
        <f>+D15-C15</f>
        <v>7498510</v>
      </c>
      <c r="F15" s="77">
        <f>IF(C15=0,0,E15/C15)</f>
        <v>1.6042215035241503E-2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180452266</v>
      </c>
      <c r="D17" s="76">
        <v>185104879</v>
      </c>
      <c r="E17" s="76">
        <f>+D17-C17</f>
        <v>4652613</v>
      </c>
      <c r="F17" s="77">
        <f>IF(C17=0,0,E17/C17)</f>
        <v>2.5783067750448752E-2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286971340</v>
      </c>
      <c r="D19" s="79">
        <f>+D15-D17</f>
        <v>289817237</v>
      </c>
      <c r="E19" s="79">
        <f>+D19-C19</f>
        <v>2845897</v>
      </c>
      <c r="F19" s="80">
        <f>IF(C19=0,0,E19/C19)</f>
        <v>9.9170077402154517E-3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0.38605723734029812</v>
      </c>
      <c r="D21" s="720">
        <f>IF(D15=0,0,D17/D15)</f>
        <v>0.3897583893524133</v>
      </c>
      <c r="E21" s="720">
        <f>+D21-C21</f>
        <v>3.7011520121151831E-3</v>
      </c>
      <c r="F21" s="80">
        <f>IF(C21=0,0,E21/C21)</f>
        <v>9.5870551154898474E-3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FILING&amp;R&amp;12DANBURY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544000785</v>
      </c>
      <c r="D10" s="744">
        <v>558157414</v>
      </c>
      <c r="E10" s="744">
        <v>594451602</v>
      </c>
    </row>
    <row r="11" spans="1:6" ht="26.1" customHeight="1" x14ac:dyDescent="0.25">
      <c r="A11" s="742">
        <v>2</v>
      </c>
      <c r="B11" s="743" t="s">
        <v>933</v>
      </c>
      <c r="C11" s="744">
        <v>633077275</v>
      </c>
      <c r="D11" s="744">
        <v>673733258</v>
      </c>
      <c r="E11" s="744">
        <v>697058450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1177078060</v>
      </c>
      <c r="D12" s="744">
        <f>+D11+D10</f>
        <v>1231890672</v>
      </c>
      <c r="E12" s="744">
        <f>+E11+E10</f>
        <v>1291510052</v>
      </c>
    </row>
    <row r="13" spans="1:6" ht="26.1" customHeight="1" x14ac:dyDescent="0.25">
      <c r="A13" s="742">
        <v>4</v>
      </c>
      <c r="B13" s="743" t="s">
        <v>507</v>
      </c>
      <c r="C13" s="744">
        <v>521836000</v>
      </c>
      <c r="D13" s="744">
        <v>501863239</v>
      </c>
      <c r="E13" s="744">
        <v>506353775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514797196</v>
      </c>
      <c r="D16" s="744">
        <v>486568594</v>
      </c>
      <c r="E16" s="744">
        <v>502208728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92010</v>
      </c>
      <c r="D19" s="747">
        <v>91003</v>
      </c>
      <c r="E19" s="747">
        <v>92169</v>
      </c>
    </row>
    <row r="20" spans="1:5" ht="26.1" customHeight="1" x14ac:dyDescent="0.25">
      <c r="A20" s="742">
        <v>2</v>
      </c>
      <c r="B20" s="743" t="s">
        <v>381</v>
      </c>
      <c r="C20" s="748">
        <v>19668</v>
      </c>
      <c r="D20" s="748">
        <v>18562</v>
      </c>
      <c r="E20" s="748">
        <v>18290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4.6781574130567423</v>
      </c>
      <c r="D21" s="749">
        <f>IF(D20=0,0,+D19/D20)</f>
        <v>4.9026505764465034</v>
      </c>
      <c r="E21" s="749">
        <f>IF(E20=0,0,+E19/E20)</f>
        <v>5.0393110989611811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199086.02209204534</v>
      </c>
      <c r="D22" s="748">
        <f>IF(D10=0,0,D19*(D12/D10))</f>
        <v>200849.69582436827</v>
      </c>
      <c r="E22" s="748">
        <f>IF(E10=0,0,E19*(E12/E10))</f>
        <v>200247.06735130979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42556.503450780867</v>
      </c>
      <c r="D23" s="748">
        <f>IF(D10=0,0,D20*(D12/D10))</f>
        <v>40967.57308980939</v>
      </c>
      <c r="E23" s="748">
        <f>IF(E10=0,0,E20*(E12/E10))</f>
        <v>39736.992501334025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1.2214591925971121</v>
      </c>
      <c r="D26" s="750">
        <v>1.3296381499838379</v>
      </c>
      <c r="E26" s="750">
        <v>1.3808564040459268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112386.46031086029</v>
      </c>
      <c r="D27" s="748">
        <f>D19*D26</f>
        <v>121001.0605629792</v>
      </c>
      <c r="E27" s="748">
        <f>E19*E26</f>
        <v>127272.15390450903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24023.6594</v>
      </c>
      <c r="D28" s="748">
        <f>D20*D26</f>
        <v>24680.743339999997</v>
      </c>
      <c r="E28" s="748">
        <f>E20*E26</f>
        <v>25255.86363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243175.45180192054</v>
      </c>
      <c r="D29" s="748">
        <f>D22*D26</f>
        <v>267057.4179807296</v>
      </c>
      <c r="E29" s="748">
        <f>E22*E26</f>
        <v>276512.44534347212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51981.032344747015</v>
      </c>
      <c r="D30" s="748">
        <f>D23*D26</f>
        <v>54472.048092461817</v>
      </c>
      <c r="E30" s="748">
        <f>E23*E26</f>
        <v>54871.080572992061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12792.936202586676</v>
      </c>
      <c r="D33" s="744">
        <f>IF(D19=0,0,D12/D19)</f>
        <v>13536.813863279232</v>
      </c>
      <c r="E33" s="744">
        <f>IF(E19=0,0,E12/E19)</f>
        <v>14012.412546517809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59847.36933089282</v>
      </c>
      <c r="D34" s="744">
        <f>IF(D20=0,0,D12/D20)</f>
        <v>66366.268290054955</v>
      </c>
      <c r="E34" s="744">
        <f>IF(E20=0,0,E12/E20)</f>
        <v>70612.906068890108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5912.4093576785126</v>
      </c>
      <c r="D35" s="744">
        <f>IF(D22=0,0,D12/D22)</f>
        <v>6133.3957561838624</v>
      </c>
      <c r="E35" s="744">
        <f>IF(E22=0,0,E12/E22)</f>
        <v>6449.5828532369887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27659.181665649787</v>
      </c>
      <c r="D36" s="744">
        <f>IF(D23=0,0,D12/D23)</f>
        <v>30069.896239629354</v>
      </c>
      <c r="E36" s="744">
        <f>IF(E23=0,0,E12/E23)</f>
        <v>32501.454455986881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4840.4477149231052</v>
      </c>
      <c r="D37" s="744">
        <f>IF(D29=0,0,D12/D29)</f>
        <v>4612.8307586980827</v>
      </c>
      <c r="E37" s="744">
        <f>IF(E29=0,0,E12/E29)</f>
        <v>4670.7122002980395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22644.376360081093</v>
      </c>
      <c r="D38" s="744">
        <f>IF(D30=0,0,D12/D30)</f>
        <v>22615.097378181319</v>
      </c>
      <c r="E38" s="744">
        <f>IF(E30=0,0,E12/E30)</f>
        <v>23537.171831015308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2732.4911075298241</v>
      </c>
      <c r="D39" s="744">
        <f>IF(D22=0,0,D10/D22)</f>
        <v>2778.9806288184632</v>
      </c>
      <c r="E39" s="744">
        <f>IF(E22=0,0,E10/E22)</f>
        <v>2968.590800668781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12783.023530802275</v>
      </c>
      <c r="D40" s="744">
        <f>IF(D23=0,0,D10/D23)</f>
        <v>13624.370981810505</v>
      </c>
      <c r="E40" s="744">
        <f>IF(E23=0,0,E10/E23)</f>
        <v>14959.652570084247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5671.5139658732751</v>
      </c>
      <c r="D43" s="744">
        <f>IF(D19=0,0,D13/D19)</f>
        <v>5514.7988417964243</v>
      </c>
      <c r="E43" s="744">
        <f>IF(E19=0,0,E13/E19)</f>
        <v>5493.7535939415638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26532.235102704901</v>
      </c>
      <c r="D44" s="744">
        <f>IF(D20=0,0,D13/D20)</f>
        <v>27037.13172071975</v>
      </c>
      <c r="E44" s="744">
        <f>IF(E20=0,0,E13/E20)</f>
        <v>27684.733460907599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2621.1584043742387</v>
      </c>
      <c r="D45" s="744">
        <f>IF(D22=0,0,D13/D22)</f>
        <v>2498.7005180174688</v>
      </c>
      <c r="E45" s="744">
        <f>IF(E22=0,0,E13/E22)</f>
        <v>2528.6451467060051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12262.191620219326</v>
      </c>
      <c r="D46" s="744">
        <f>IF(D23=0,0,D13/D23)</f>
        <v>12250.255535025519</v>
      </c>
      <c r="E46" s="744">
        <f>IF(E23=0,0,E13/E23)</f>
        <v>12742.629553129895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2145.9238427777796</v>
      </c>
      <c r="D47" s="744">
        <f>IF(D29=0,0,D13/D29)</f>
        <v>1879.2334726916799</v>
      </c>
      <c r="E47" s="744">
        <f>IF(E29=0,0,E13/E29)</f>
        <v>1831.2151352573974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10038.969532946079</v>
      </c>
      <c r="D48" s="744">
        <f>IF(D30=0,0,D13/D30)</f>
        <v>9213.2250681694295</v>
      </c>
      <c r="E48" s="744">
        <f>IF(E30=0,0,E13/E30)</f>
        <v>9228.0627556883028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5595.0135420063034</v>
      </c>
      <c r="D51" s="744">
        <f>IF(D19=0,0,D16/D19)</f>
        <v>5346.7313605045983</v>
      </c>
      <c r="E51" s="744">
        <f>IF(E19=0,0,E16/E19)</f>
        <v>5448.7813473076631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26174.354077689648</v>
      </c>
      <c r="D52" s="744">
        <f>IF(D20=0,0,D16/D20)</f>
        <v>26213.155586682471</v>
      </c>
      <c r="E52" s="744">
        <f>IF(E20=0,0,E16/E20)</f>
        <v>27458.104319300164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2585.8028132280874</v>
      </c>
      <c r="D53" s="744">
        <f>IF(D22=0,0,D16/D22)</f>
        <v>2422.5508134474685</v>
      </c>
      <c r="E53" s="744">
        <f>IF(E22=0,0,E16/E22)</f>
        <v>2507.9454827617237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12096.792599405955</v>
      </c>
      <c r="D54" s="744">
        <f>IF(D23=0,0,D16/D23)</f>
        <v>11876.920142019178</v>
      </c>
      <c r="E54" s="744">
        <f>IF(E23=0,0,E16/E23)</f>
        <v>12638.317506870711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2116.9784704227873</v>
      </c>
      <c r="D55" s="744">
        <f>IF(D29=0,0,D16/D29)</f>
        <v>1821.9624741339705</v>
      </c>
      <c r="E55" s="744">
        <f>IF(E29=0,0,E16/E29)</f>
        <v>1816.2246815913745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9903.5585246898863</v>
      </c>
      <c r="D56" s="744">
        <f>IF(D30=0,0,D16/D30)</f>
        <v>8932.4453740768095</v>
      </c>
      <c r="E56" s="744">
        <f>IF(E30=0,0,E16/E30)</f>
        <v>9152.5211961506502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51198252</v>
      </c>
      <c r="D59" s="752">
        <v>59802385</v>
      </c>
      <c r="E59" s="752">
        <v>61078519</v>
      </c>
    </row>
    <row r="60" spans="1:6" ht="26.1" customHeight="1" x14ac:dyDescent="0.25">
      <c r="A60" s="742">
        <v>2</v>
      </c>
      <c r="B60" s="743" t="s">
        <v>969</v>
      </c>
      <c r="C60" s="752">
        <v>17759434</v>
      </c>
      <c r="D60" s="752">
        <v>15272468</v>
      </c>
      <c r="E60" s="752">
        <v>14791328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68957686</v>
      </c>
      <c r="D61" s="755">
        <f>D59+D60</f>
        <v>75074853</v>
      </c>
      <c r="E61" s="755">
        <f>E59+E60</f>
        <v>75869847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7349665</v>
      </c>
      <c r="D64" s="744">
        <v>8426011</v>
      </c>
      <c r="E64" s="752">
        <v>8610701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2523856</v>
      </c>
      <c r="D65" s="752">
        <v>2151854</v>
      </c>
      <c r="E65" s="752">
        <v>2085245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9873521</v>
      </c>
      <c r="D66" s="757">
        <f>D64+D65</f>
        <v>10577865</v>
      </c>
      <c r="E66" s="757">
        <f>E64+E65</f>
        <v>10695946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132952743</v>
      </c>
      <c r="D69" s="752">
        <v>122422314</v>
      </c>
      <c r="E69" s="752">
        <v>121938706</v>
      </c>
    </row>
    <row r="70" spans="1:6" ht="26.1" customHeight="1" x14ac:dyDescent="0.25">
      <c r="A70" s="742">
        <v>2</v>
      </c>
      <c r="B70" s="743" t="s">
        <v>977</v>
      </c>
      <c r="C70" s="752">
        <v>45843656</v>
      </c>
      <c r="D70" s="752">
        <v>31264486</v>
      </c>
      <c r="E70" s="752">
        <v>29529785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178796399</v>
      </c>
      <c r="D71" s="755">
        <f>D69+D70</f>
        <v>153686800</v>
      </c>
      <c r="E71" s="755">
        <f>E69+E70</f>
        <v>151468491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191500660</v>
      </c>
      <c r="D75" s="744">
        <f t="shared" si="0"/>
        <v>190650710</v>
      </c>
      <c r="E75" s="744">
        <f t="shared" si="0"/>
        <v>191627926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66126946</v>
      </c>
      <c r="D76" s="744">
        <f t="shared" si="0"/>
        <v>48688808</v>
      </c>
      <c r="E76" s="744">
        <f t="shared" si="0"/>
        <v>46406358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257627606</v>
      </c>
      <c r="D77" s="757">
        <f>D75+D76</f>
        <v>239339518</v>
      </c>
      <c r="E77" s="757">
        <f>E75+E76</f>
        <v>238034284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567.79999999999995</v>
      </c>
      <c r="D80" s="749">
        <v>551.70000000000005</v>
      </c>
      <c r="E80" s="749">
        <v>551.4</v>
      </c>
    </row>
    <row r="81" spans="1:5" ht="26.1" customHeight="1" x14ac:dyDescent="0.25">
      <c r="A81" s="742">
        <v>2</v>
      </c>
      <c r="B81" s="743" t="s">
        <v>617</v>
      </c>
      <c r="C81" s="749">
        <v>101.5</v>
      </c>
      <c r="D81" s="749">
        <v>115.2</v>
      </c>
      <c r="E81" s="749">
        <v>115.8</v>
      </c>
    </row>
    <row r="82" spans="1:5" ht="26.1" customHeight="1" x14ac:dyDescent="0.25">
      <c r="A82" s="742">
        <v>3</v>
      </c>
      <c r="B82" s="743" t="s">
        <v>983</v>
      </c>
      <c r="C82" s="749">
        <v>1734.6</v>
      </c>
      <c r="D82" s="749">
        <v>1695</v>
      </c>
      <c r="E82" s="749">
        <v>1683.9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2403.8999999999996</v>
      </c>
      <c r="D83" s="759">
        <f>D80+D81+D82</f>
        <v>2361.9</v>
      </c>
      <c r="E83" s="759">
        <f>E80+E81+E82</f>
        <v>2351.1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90169.517435716814</v>
      </c>
      <c r="D86" s="752">
        <f>IF(D80=0,0,D59/D80)</f>
        <v>108396.56516222584</v>
      </c>
      <c r="E86" s="752">
        <f>IF(E80=0,0,E59/E80)</f>
        <v>110769.89299963729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31277.622402254317</v>
      </c>
      <c r="D87" s="752">
        <f>IF(D80=0,0,D60/D80)</f>
        <v>27682.559361972086</v>
      </c>
      <c r="E87" s="752">
        <f>IF(E80=0,0,E60/E80)</f>
        <v>26825.041712005805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121447.13983797113</v>
      </c>
      <c r="D88" s="755">
        <f>+D86+D87</f>
        <v>136079.12452419792</v>
      </c>
      <c r="E88" s="755">
        <f>+E86+E87</f>
        <v>137594.93471164309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72410.492610837435</v>
      </c>
      <c r="D91" s="744">
        <f>IF(D81=0,0,D64/D81)</f>
        <v>73142.456597222219</v>
      </c>
      <c r="E91" s="744">
        <f>IF(E81=0,0,E64/E81)</f>
        <v>74358.385146804838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24865.576354679804</v>
      </c>
      <c r="D92" s="744">
        <f>IF(D81=0,0,D65/D81)</f>
        <v>18679.288194444445</v>
      </c>
      <c r="E92" s="744">
        <f>IF(E81=0,0,E65/E81)</f>
        <v>18007.297063903283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97276.068965517246</v>
      </c>
      <c r="D93" s="757">
        <f>+D91+D92</f>
        <v>91821.744791666657</v>
      </c>
      <c r="E93" s="757">
        <f>+E91+E92</f>
        <v>92365.682210708124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76647.493946731236</v>
      </c>
      <c r="D96" s="752">
        <f>IF(D82=0,0,D69/D82)</f>
        <v>72225.553982300888</v>
      </c>
      <c r="E96" s="752">
        <f>IF(E82=0,0,E69/E82)</f>
        <v>72414.458103212775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26428.949613743804</v>
      </c>
      <c r="D97" s="752">
        <f>IF(D82=0,0,D70/D82)</f>
        <v>18445.124483775809</v>
      </c>
      <c r="E97" s="752">
        <f>IF(E82=0,0,E70/E82)</f>
        <v>17536.543143892155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103076.44356047505</v>
      </c>
      <c r="D98" s="757">
        <f>+D96+D97</f>
        <v>90670.678466076701</v>
      </c>
      <c r="E98" s="757">
        <f>+E96+E97</f>
        <v>89951.001247104927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79662.490120221322</v>
      </c>
      <c r="D101" s="744">
        <f>IF(D83=0,0,D75/D83)</f>
        <v>80719.213345188196</v>
      </c>
      <c r="E101" s="744">
        <f>IF(E83=0,0,E75/E83)</f>
        <v>81505.646718557269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27508.193352468908</v>
      </c>
      <c r="D102" s="761">
        <f>IF(D83=0,0,D76/D83)</f>
        <v>20614.254625513357</v>
      </c>
      <c r="E102" s="761">
        <f>IF(E83=0,0,E76/E83)</f>
        <v>19738.147250223301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107170.68347269023</v>
      </c>
      <c r="D103" s="757">
        <f>+D101+D102</f>
        <v>101333.46797070155</v>
      </c>
      <c r="E103" s="757">
        <f>+E101+E102</f>
        <v>101243.79396878058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2799.9957178567547</v>
      </c>
      <c r="D108" s="744">
        <f>IF(D19=0,0,D77/D19)</f>
        <v>2630.0178895201257</v>
      </c>
      <c r="E108" s="744">
        <f>IF(E19=0,0,E77/E19)</f>
        <v>2582.585077412145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13098.820724018711</v>
      </c>
      <c r="D109" s="744">
        <f>IF(D20=0,0,D77/D20)</f>
        <v>12894.058722120461</v>
      </c>
      <c r="E109" s="744">
        <f>IF(E20=0,0,E77/E20)</f>
        <v>13014.449644614544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1294.0517033430331</v>
      </c>
      <c r="D110" s="744">
        <f>IF(D22=0,0,D77/D22)</f>
        <v>1191.6349537780177</v>
      </c>
      <c r="E110" s="744">
        <f>IF(E22=0,0,E77/E22)</f>
        <v>1188.7029715266542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6053.7775688729143</v>
      </c>
      <c r="D111" s="744">
        <f>IF(D23=0,0,D77/D23)</f>
        <v>5842.1697930536011</v>
      </c>
      <c r="E111" s="744">
        <f>IF(E23=0,0,E77/E23)</f>
        <v>5990.2440777824058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1059.4309750058633</v>
      </c>
      <c r="D112" s="744">
        <f>IF(D29=0,0,D77/D29)</f>
        <v>896.20996042607703</v>
      </c>
      <c r="E112" s="744">
        <f>IF(E29=0,0,E77/E29)</f>
        <v>860.84473957157275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4956.1848693456113</v>
      </c>
      <c r="D113" s="744">
        <f>IF(D30=0,0,D77/D30)</f>
        <v>4393.8042791000053</v>
      </c>
      <c r="E113" s="744">
        <f>IF(E30=0,0,E77/E30)</f>
        <v>4338.0644506053741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FILING&amp;R&amp;"Arial,Bold"&amp;12DANBURY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1231890672</v>
      </c>
      <c r="D12" s="76">
        <v>1291510052</v>
      </c>
      <c r="E12" s="76">
        <f t="shared" ref="E12:E21" si="0">D12-C12</f>
        <v>59619380</v>
      </c>
      <c r="F12" s="77">
        <f t="shared" ref="F12:F21" si="1">IF(C12=0,0,E12/C12)</f>
        <v>4.8396648627273636E-2</v>
      </c>
    </row>
    <row r="13" spans="1:8" ht="23.1" customHeight="1" x14ac:dyDescent="0.2">
      <c r="A13" s="74">
        <v>2</v>
      </c>
      <c r="B13" s="75" t="s">
        <v>72</v>
      </c>
      <c r="C13" s="76">
        <v>699965012</v>
      </c>
      <c r="D13" s="76">
        <v>757431134</v>
      </c>
      <c r="E13" s="76">
        <f t="shared" si="0"/>
        <v>57466122</v>
      </c>
      <c r="F13" s="77">
        <f t="shared" si="1"/>
        <v>8.2098563520772092E-2</v>
      </c>
    </row>
    <row r="14" spans="1:8" ht="23.1" customHeight="1" x14ac:dyDescent="0.2">
      <c r="A14" s="74">
        <v>3</v>
      </c>
      <c r="B14" s="75" t="s">
        <v>73</v>
      </c>
      <c r="C14" s="76">
        <v>12948351</v>
      </c>
      <c r="D14" s="76">
        <v>12601255</v>
      </c>
      <c r="E14" s="76">
        <f t="shared" si="0"/>
        <v>-347096</v>
      </c>
      <c r="F14" s="77">
        <f t="shared" si="1"/>
        <v>-2.6806193313727748E-2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518977309</v>
      </c>
      <c r="D16" s="79">
        <f>D12-D13-D14-D15</f>
        <v>521477663</v>
      </c>
      <c r="E16" s="79">
        <f t="shared" si="0"/>
        <v>2500354</v>
      </c>
      <c r="F16" s="80">
        <f t="shared" si="1"/>
        <v>4.8178484042353384E-3</v>
      </c>
    </row>
    <row r="17" spans="1:7" ht="23.1" customHeight="1" x14ac:dyDescent="0.2">
      <c r="A17" s="74">
        <v>5</v>
      </c>
      <c r="B17" s="75" t="s">
        <v>76</v>
      </c>
      <c r="C17" s="76">
        <v>17114070</v>
      </c>
      <c r="D17" s="76">
        <v>15123888</v>
      </c>
      <c r="E17" s="76">
        <f t="shared" si="0"/>
        <v>-1990182</v>
      </c>
      <c r="F17" s="77">
        <f t="shared" si="1"/>
        <v>-0.11628922868727311</v>
      </c>
      <c r="G17" s="65"/>
    </row>
    <row r="18" spans="1:7" ht="31.5" customHeight="1" x14ac:dyDescent="0.25">
      <c r="A18" s="71"/>
      <c r="B18" s="81" t="s">
        <v>77</v>
      </c>
      <c r="C18" s="79">
        <f>C16-C17</f>
        <v>501863239</v>
      </c>
      <c r="D18" s="79">
        <f>D16-D17</f>
        <v>506353775</v>
      </c>
      <c r="E18" s="79">
        <f t="shared" si="0"/>
        <v>4490536</v>
      </c>
      <c r="F18" s="80">
        <f t="shared" si="1"/>
        <v>8.9477284866445461E-3</v>
      </c>
    </row>
    <row r="19" spans="1:7" ht="23.1" customHeight="1" x14ac:dyDescent="0.2">
      <c r="A19" s="74">
        <v>6</v>
      </c>
      <c r="B19" s="75" t="s">
        <v>78</v>
      </c>
      <c r="C19" s="76">
        <v>13159391</v>
      </c>
      <c r="D19" s="76">
        <v>26515058</v>
      </c>
      <c r="E19" s="76">
        <f t="shared" si="0"/>
        <v>13355667</v>
      </c>
      <c r="F19" s="77">
        <f t="shared" si="1"/>
        <v>1.0149152798940315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5665862</v>
      </c>
      <c r="E20" s="76">
        <f t="shared" si="0"/>
        <v>5665862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515022630</v>
      </c>
      <c r="D21" s="79">
        <f>SUM(D18:D20)</f>
        <v>538534695</v>
      </c>
      <c r="E21" s="79">
        <f t="shared" si="0"/>
        <v>23512065</v>
      </c>
      <c r="F21" s="80">
        <f t="shared" si="1"/>
        <v>4.5652489095479164E-2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190650710</v>
      </c>
      <c r="D24" s="76">
        <v>191627926</v>
      </c>
      <c r="E24" s="76">
        <f t="shared" ref="E24:E33" si="2">D24-C24</f>
        <v>977216</v>
      </c>
      <c r="F24" s="77">
        <f t="shared" ref="F24:F33" si="3">IF(C24=0,0,E24/C24)</f>
        <v>5.1256877039692113E-3</v>
      </c>
    </row>
    <row r="25" spans="1:7" ht="23.1" customHeight="1" x14ac:dyDescent="0.2">
      <c r="A25" s="74">
        <v>2</v>
      </c>
      <c r="B25" s="75" t="s">
        <v>83</v>
      </c>
      <c r="C25" s="76">
        <v>48688808</v>
      </c>
      <c r="D25" s="76">
        <v>46406358</v>
      </c>
      <c r="E25" s="76">
        <f t="shared" si="2"/>
        <v>-2282450</v>
      </c>
      <c r="F25" s="77">
        <f t="shared" si="3"/>
        <v>-4.6878329820684871E-2</v>
      </c>
    </row>
    <row r="26" spans="1:7" ht="23.1" customHeight="1" x14ac:dyDescent="0.2">
      <c r="A26" s="74">
        <v>3</v>
      </c>
      <c r="B26" s="75" t="s">
        <v>84</v>
      </c>
      <c r="C26" s="76">
        <v>58191711</v>
      </c>
      <c r="D26" s="76">
        <v>61072454</v>
      </c>
      <c r="E26" s="76">
        <f t="shared" si="2"/>
        <v>2880743</v>
      </c>
      <c r="F26" s="77">
        <f t="shared" si="3"/>
        <v>4.9504352948137237E-2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73713686</v>
      </c>
      <c r="D27" s="76">
        <v>76736109</v>
      </c>
      <c r="E27" s="76">
        <f t="shared" si="2"/>
        <v>3022423</v>
      </c>
      <c r="F27" s="77">
        <f t="shared" si="3"/>
        <v>4.1002195982982048E-2</v>
      </c>
    </row>
    <row r="28" spans="1:7" ht="23.1" customHeight="1" x14ac:dyDescent="0.2">
      <c r="A28" s="74">
        <v>5</v>
      </c>
      <c r="B28" s="75" t="s">
        <v>86</v>
      </c>
      <c r="C28" s="76">
        <v>30033213</v>
      </c>
      <c r="D28" s="76">
        <v>31682167</v>
      </c>
      <c r="E28" s="76">
        <f t="shared" si="2"/>
        <v>1648954</v>
      </c>
      <c r="F28" s="77">
        <f t="shared" si="3"/>
        <v>5.490434872885562E-2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3984131</v>
      </c>
      <c r="D30" s="76">
        <v>4557028</v>
      </c>
      <c r="E30" s="76">
        <f t="shared" si="2"/>
        <v>572897</v>
      </c>
      <c r="F30" s="77">
        <f t="shared" si="3"/>
        <v>0.14379471960133841</v>
      </c>
    </row>
    <row r="31" spans="1:7" ht="23.1" customHeight="1" x14ac:dyDescent="0.2">
      <c r="A31" s="74">
        <v>8</v>
      </c>
      <c r="B31" s="75" t="s">
        <v>89</v>
      </c>
      <c r="C31" s="76">
        <v>5581123</v>
      </c>
      <c r="D31" s="76">
        <v>7495741</v>
      </c>
      <c r="E31" s="76">
        <f t="shared" si="2"/>
        <v>1914618</v>
      </c>
      <c r="F31" s="77">
        <f t="shared" si="3"/>
        <v>0.34305246453088384</v>
      </c>
    </row>
    <row r="32" spans="1:7" ht="23.1" customHeight="1" x14ac:dyDescent="0.2">
      <c r="A32" s="74">
        <v>9</v>
      </c>
      <c r="B32" s="75" t="s">
        <v>90</v>
      </c>
      <c r="C32" s="76">
        <v>75725212</v>
      </c>
      <c r="D32" s="76">
        <v>82630945</v>
      </c>
      <c r="E32" s="76">
        <f t="shared" si="2"/>
        <v>6905733</v>
      </c>
      <c r="F32" s="77">
        <f t="shared" si="3"/>
        <v>9.1194634093596197E-2</v>
      </c>
    </row>
    <row r="33" spans="1:6" ht="23.1" customHeight="1" x14ac:dyDescent="0.25">
      <c r="A33" s="71"/>
      <c r="B33" s="78" t="s">
        <v>91</v>
      </c>
      <c r="C33" s="79">
        <f>SUM(C24:C32)</f>
        <v>486568594</v>
      </c>
      <c r="D33" s="79">
        <f>SUM(D24:D32)</f>
        <v>502208728</v>
      </c>
      <c r="E33" s="79">
        <f t="shared" si="2"/>
        <v>15640134</v>
      </c>
      <c r="F33" s="80">
        <f t="shared" si="3"/>
        <v>3.2143739223744472E-2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28454036</v>
      </c>
      <c r="D35" s="79">
        <f>+D21-D33</f>
        <v>36325967</v>
      </c>
      <c r="E35" s="79">
        <f>D35-C35</f>
        <v>7871931</v>
      </c>
      <c r="F35" s="80">
        <f>IF(C35=0,0,E35/C35)</f>
        <v>0.27665428552912491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9981243</v>
      </c>
      <c r="D38" s="76">
        <v>14800274</v>
      </c>
      <c r="E38" s="76">
        <f>D38-C38</f>
        <v>4819031</v>
      </c>
      <c r="F38" s="77">
        <f>IF(C38=0,0,E38/C38)</f>
        <v>0.48280870428663042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206244</v>
      </c>
      <c r="D40" s="76">
        <v>-40571</v>
      </c>
      <c r="E40" s="76">
        <f>D40-C40</f>
        <v>-246815</v>
      </c>
      <c r="F40" s="77">
        <f>IF(C40=0,0,E40/C40)</f>
        <v>-1.196713601365373</v>
      </c>
    </row>
    <row r="41" spans="1:6" ht="23.1" customHeight="1" x14ac:dyDescent="0.25">
      <c r="A41" s="83"/>
      <c r="B41" s="78" t="s">
        <v>97</v>
      </c>
      <c r="C41" s="79">
        <f>SUM(C38:C40)</f>
        <v>10187487</v>
      </c>
      <c r="D41" s="79">
        <f>SUM(D38:D40)</f>
        <v>14759703</v>
      </c>
      <c r="E41" s="79">
        <f>D41-C41</f>
        <v>4572216</v>
      </c>
      <c r="F41" s="80">
        <f>IF(C41=0,0,E41/C41)</f>
        <v>0.44880705123844578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38641523</v>
      </c>
      <c r="D43" s="79">
        <f>D35+D41</f>
        <v>51085670</v>
      </c>
      <c r="E43" s="79">
        <f>D43-C43</f>
        <v>12444147</v>
      </c>
      <c r="F43" s="80">
        <f>IF(C43=0,0,E43/C43)</f>
        <v>0.32204080051399631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38641523</v>
      </c>
      <c r="D50" s="79">
        <f>D43+D48</f>
        <v>51085670</v>
      </c>
      <c r="E50" s="79">
        <f>D50-C50</f>
        <v>12444147</v>
      </c>
      <c r="F50" s="80">
        <f>IF(C50=0,0,E50/C50)</f>
        <v>0.32204080051399631</v>
      </c>
    </row>
    <row r="51" spans="1:6" ht="23.1" customHeight="1" x14ac:dyDescent="0.2">
      <c r="A51" s="85"/>
      <c r="B51" s="75" t="s">
        <v>104</v>
      </c>
      <c r="C51" s="76">
        <v>1555000</v>
      </c>
      <c r="D51" s="76">
        <v>2880000</v>
      </c>
      <c r="E51" s="76">
        <f>D51-C51</f>
        <v>1325000</v>
      </c>
      <c r="F51" s="77">
        <f>IF(C51=0,0,E51/C51)</f>
        <v>0.85209003215434087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FILING&amp;RDANBURY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263485490</v>
      </c>
      <c r="D14" s="113">
        <v>285087313</v>
      </c>
      <c r="E14" s="113">
        <f t="shared" ref="E14:E25" si="0">D14-C14</f>
        <v>21601823</v>
      </c>
      <c r="F14" s="114">
        <f t="shared" ref="F14:F25" si="1">IF(C14=0,0,E14/C14)</f>
        <v>8.1984867553807239E-2</v>
      </c>
    </row>
    <row r="15" spans="1:6" x14ac:dyDescent="0.2">
      <c r="A15" s="115">
        <v>2</v>
      </c>
      <c r="B15" s="116" t="s">
        <v>114</v>
      </c>
      <c r="C15" s="113">
        <v>34806514</v>
      </c>
      <c r="D15" s="113">
        <v>40932461</v>
      </c>
      <c r="E15" s="113">
        <f t="shared" si="0"/>
        <v>6125947</v>
      </c>
      <c r="F15" s="114">
        <f t="shared" si="1"/>
        <v>0.17600001539941632</v>
      </c>
    </row>
    <row r="16" spans="1:6" x14ac:dyDescent="0.2">
      <c r="A16" s="115">
        <v>3</v>
      </c>
      <c r="B16" s="116" t="s">
        <v>115</v>
      </c>
      <c r="C16" s="113">
        <v>76554491</v>
      </c>
      <c r="D16" s="113">
        <v>82813766</v>
      </c>
      <c r="E16" s="113">
        <f t="shared" si="0"/>
        <v>6259275</v>
      </c>
      <c r="F16" s="114">
        <f t="shared" si="1"/>
        <v>8.1762348860761155E-2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545231</v>
      </c>
      <c r="D18" s="113">
        <v>537833</v>
      </c>
      <c r="E18" s="113">
        <f t="shared" si="0"/>
        <v>-7398</v>
      </c>
      <c r="F18" s="114">
        <f t="shared" si="1"/>
        <v>-1.3568560848521085E-2</v>
      </c>
    </row>
    <row r="19" spans="1:6" x14ac:dyDescent="0.2">
      <c r="A19" s="115">
        <v>6</v>
      </c>
      <c r="B19" s="116" t="s">
        <v>118</v>
      </c>
      <c r="C19" s="113">
        <v>83271063</v>
      </c>
      <c r="D19" s="113">
        <v>81201423</v>
      </c>
      <c r="E19" s="113">
        <f t="shared" si="0"/>
        <v>-2069640</v>
      </c>
      <c r="F19" s="114">
        <f t="shared" si="1"/>
        <v>-2.4854252190824079E-2</v>
      </c>
    </row>
    <row r="20" spans="1:6" x14ac:dyDescent="0.2">
      <c r="A20" s="115">
        <v>7</v>
      </c>
      <c r="B20" s="116" t="s">
        <v>119</v>
      </c>
      <c r="C20" s="113">
        <v>90282445</v>
      </c>
      <c r="D20" s="113">
        <v>93902612</v>
      </c>
      <c r="E20" s="113">
        <f t="shared" si="0"/>
        <v>3620167</v>
      </c>
      <c r="F20" s="114">
        <f t="shared" si="1"/>
        <v>4.0098238367381391E-2</v>
      </c>
    </row>
    <row r="21" spans="1:6" x14ac:dyDescent="0.2">
      <c r="A21" s="115">
        <v>8</v>
      </c>
      <c r="B21" s="116" t="s">
        <v>120</v>
      </c>
      <c r="C21" s="113">
        <v>2634198</v>
      </c>
      <c r="D21" s="113">
        <v>3086560</v>
      </c>
      <c r="E21" s="113">
        <f t="shared" si="0"/>
        <v>452362</v>
      </c>
      <c r="F21" s="114">
        <f t="shared" si="1"/>
        <v>0.17172665076808957</v>
      </c>
    </row>
    <row r="22" spans="1:6" x14ac:dyDescent="0.2">
      <c r="A22" s="115">
        <v>9</v>
      </c>
      <c r="B22" s="116" t="s">
        <v>121</v>
      </c>
      <c r="C22" s="113">
        <v>5494250</v>
      </c>
      <c r="D22" s="113">
        <v>5087812</v>
      </c>
      <c r="E22" s="113">
        <f t="shared" si="0"/>
        <v>-406438</v>
      </c>
      <c r="F22" s="114">
        <f t="shared" si="1"/>
        <v>-7.3975155844746787E-2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1083732</v>
      </c>
      <c r="D24" s="113">
        <v>1801822</v>
      </c>
      <c r="E24" s="113">
        <f t="shared" si="0"/>
        <v>718090</v>
      </c>
      <c r="F24" s="114">
        <f t="shared" si="1"/>
        <v>0.66260846777616611</v>
      </c>
    </row>
    <row r="25" spans="1:6" ht="15.75" x14ac:dyDescent="0.25">
      <c r="A25" s="117"/>
      <c r="B25" s="118" t="s">
        <v>124</v>
      </c>
      <c r="C25" s="119">
        <f>SUM(C14:C24)</f>
        <v>558157414</v>
      </c>
      <c r="D25" s="119">
        <f>SUM(D14:D24)</f>
        <v>594451602</v>
      </c>
      <c r="E25" s="119">
        <f t="shared" si="0"/>
        <v>36294188</v>
      </c>
      <c r="F25" s="120">
        <f t="shared" si="1"/>
        <v>6.502500386029092E-2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206906562</v>
      </c>
      <c r="D27" s="113">
        <v>213130665</v>
      </c>
      <c r="E27" s="113">
        <f t="shared" ref="E27:E38" si="2">D27-C27</f>
        <v>6224103</v>
      </c>
      <c r="F27" s="114">
        <f t="shared" ref="F27:F38" si="3">IF(C27=0,0,E27/C27)</f>
        <v>3.0081709056670711E-2</v>
      </c>
    </row>
    <row r="28" spans="1:6" x14ac:dyDescent="0.2">
      <c r="A28" s="115">
        <v>2</v>
      </c>
      <c r="B28" s="116" t="s">
        <v>114</v>
      </c>
      <c r="C28" s="113">
        <v>33560478</v>
      </c>
      <c r="D28" s="113">
        <v>38972189</v>
      </c>
      <c r="E28" s="113">
        <f t="shared" si="2"/>
        <v>5411711</v>
      </c>
      <c r="F28" s="114">
        <f t="shared" si="3"/>
        <v>0.1612525006348241</v>
      </c>
    </row>
    <row r="29" spans="1:6" x14ac:dyDescent="0.2">
      <c r="A29" s="115">
        <v>3</v>
      </c>
      <c r="B29" s="116" t="s">
        <v>115</v>
      </c>
      <c r="C29" s="113">
        <v>82631036</v>
      </c>
      <c r="D29" s="113">
        <v>91319956</v>
      </c>
      <c r="E29" s="113">
        <f t="shared" si="2"/>
        <v>8688920</v>
      </c>
      <c r="F29" s="114">
        <f t="shared" si="3"/>
        <v>0.10515322596221593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869852</v>
      </c>
      <c r="D31" s="113">
        <v>978863</v>
      </c>
      <c r="E31" s="113">
        <f t="shared" si="2"/>
        <v>109011</v>
      </c>
      <c r="F31" s="114">
        <f t="shared" si="3"/>
        <v>0.12532131902898425</v>
      </c>
    </row>
    <row r="32" spans="1:6" x14ac:dyDescent="0.2">
      <c r="A32" s="115">
        <v>6</v>
      </c>
      <c r="B32" s="116" t="s">
        <v>118</v>
      </c>
      <c r="C32" s="113">
        <v>154463515</v>
      </c>
      <c r="D32" s="113">
        <v>161976014</v>
      </c>
      <c r="E32" s="113">
        <f t="shared" si="2"/>
        <v>7512499</v>
      </c>
      <c r="F32" s="114">
        <f t="shared" si="3"/>
        <v>4.8636074350632254E-2</v>
      </c>
    </row>
    <row r="33" spans="1:6" x14ac:dyDescent="0.2">
      <c r="A33" s="115">
        <v>7</v>
      </c>
      <c r="B33" s="116" t="s">
        <v>119</v>
      </c>
      <c r="C33" s="113">
        <v>160059768</v>
      </c>
      <c r="D33" s="113">
        <v>156304490</v>
      </c>
      <c r="E33" s="113">
        <f t="shared" si="2"/>
        <v>-3755278</v>
      </c>
      <c r="F33" s="114">
        <f t="shared" si="3"/>
        <v>-2.346172337323393E-2</v>
      </c>
    </row>
    <row r="34" spans="1:6" x14ac:dyDescent="0.2">
      <c r="A34" s="115">
        <v>8</v>
      </c>
      <c r="B34" s="116" t="s">
        <v>120</v>
      </c>
      <c r="C34" s="113">
        <v>5677411</v>
      </c>
      <c r="D34" s="113">
        <v>5991711</v>
      </c>
      <c r="E34" s="113">
        <f t="shared" si="2"/>
        <v>314300</v>
      </c>
      <c r="F34" s="114">
        <f t="shared" si="3"/>
        <v>5.5359740557800026E-2</v>
      </c>
    </row>
    <row r="35" spans="1:6" x14ac:dyDescent="0.2">
      <c r="A35" s="115">
        <v>9</v>
      </c>
      <c r="B35" s="116" t="s">
        <v>121</v>
      </c>
      <c r="C35" s="113">
        <v>28950356</v>
      </c>
      <c r="D35" s="113">
        <v>27396274</v>
      </c>
      <c r="E35" s="113">
        <f t="shared" si="2"/>
        <v>-1554082</v>
      </c>
      <c r="F35" s="114">
        <f t="shared" si="3"/>
        <v>-5.3680928828647216E-2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614280</v>
      </c>
      <c r="D37" s="113">
        <v>988288</v>
      </c>
      <c r="E37" s="113">
        <f t="shared" si="2"/>
        <v>374008</v>
      </c>
      <c r="F37" s="114">
        <f t="shared" si="3"/>
        <v>0.60885589633391934</v>
      </c>
    </row>
    <row r="38" spans="1:6" ht="15.75" x14ac:dyDescent="0.25">
      <c r="A38" s="117"/>
      <c r="B38" s="118" t="s">
        <v>126</v>
      </c>
      <c r="C38" s="119">
        <f>SUM(C27:C37)</f>
        <v>673733258</v>
      </c>
      <c r="D38" s="119">
        <f>SUM(D27:D37)</f>
        <v>697058450</v>
      </c>
      <c r="E38" s="119">
        <f t="shared" si="2"/>
        <v>23325192</v>
      </c>
      <c r="F38" s="120">
        <f t="shared" si="3"/>
        <v>3.4620811312241914E-2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470392052</v>
      </c>
      <c r="D41" s="119">
        <f t="shared" si="4"/>
        <v>498217978</v>
      </c>
      <c r="E41" s="123">
        <f t="shared" ref="E41:E52" si="5">D41-C41</f>
        <v>27825926</v>
      </c>
      <c r="F41" s="124">
        <f t="shared" ref="F41:F52" si="6">IF(C41=0,0,E41/C41)</f>
        <v>5.915475374571167E-2</v>
      </c>
    </row>
    <row r="42" spans="1:6" ht="15.75" x14ac:dyDescent="0.25">
      <c r="A42" s="121">
        <v>2</v>
      </c>
      <c r="B42" s="122" t="s">
        <v>114</v>
      </c>
      <c r="C42" s="119">
        <f t="shared" si="4"/>
        <v>68366992</v>
      </c>
      <c r="D42" s="119">
        <f t="shared" si="4"/>
        <v>79904650</v>
      </c>
      <c r="E42" s="123">
        <f t="shared" si="5"/>
        <v>11537658</v>
      </c>
      <c r="F42" s="124">
        <f t="shared" si="6"/>
        <v>0.16876064987618586</v>
      </c>
    </row>
    <row r="43" spans="1:6" ht="15.75" x14ac:dyDescent="0.25">
      <c r="A43" s="121">
        <v>3</v>
      </c>
      <c r="B43" s="122" t="s">
        <v>115</v>
      </c>
      <c r="C43" s="119">
        <f t="shared" si="4"/>
        <v>159185527</v>
      </c>
      <c r="D43" s="119">
        <f t="shared" si="4"/>
        <v>174133722</v>
      </c>
      <c r="E43" s="123">
        <f t="shared" si="5"/>
        <v>14948195</v>
      </c>
      <c r="F43" s="124">
        <f t="shared" si="6"/>
        <v>9.3904234145607973E-2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1415083</v>
      </c>
      <c r="D45" s="119">
        <f t="shared" si="4"/>
        <v>1516696</v>
      </c>
      <c r="E45" s="123">
        <f t="shared" si="5"/>
        <v>101613</v>
      </c>
      <c r="F45" s="124">
        <f t="shared" si="6"/>
        <v>7.1807095414191252E-2</v>
      </c>
    </row>
    <row r="46" spans="1:6" ht="15.75" x14ac:dyDescent="0.25">
      <c r="A46" s="121">
        <v>6</v>
      </c>
      <c r="B46" s="122" t="s">
        <v>118</v>
      </c>
      <c r="C46" s="119">
        <f t="shared" si="4"/>
        <v>237734578</v>
      </c>
      <c r="D46" s="119">
        <f t="shared" si="4"/>
        <v>243177437</v>
      </c>
      <c r="E46" s="123">
        <f t="shared" si="5"/>
        <v>5442859</v>
      </c>
      <c r="F46" s="124">
        <f t="shared" si="6"/>
        <v>2.2894688041551953E-2</v>
      </c>
    </row>
    <row r="47" spans="1:6" ht="15.75" x14ac:dyDescent="0.25">
      <c r="A47" s="121">
        <v>7</v>
      </c>
      <c r="B47" s="122" t="s">
        <v>119</v>
      </c>
      <c r="C47" s="119">
        <f t="shared" si="4"/>
        <v>250342213</v>
      </c>
      <c r="D47" s="119">
        <f t="shared" si="4"/>
        <v>250207102</v>
      </c>
      <c r="E47" s="123">
        <f t="shared" si="5"/>
        <v>-135111</v>
      </c>
      <c r="F47" s="124">
        <f t="shared" si="6"/>
        <v>-5.397052234255036E-4</v>
      </c>
    </row>
    <row r="48" spans="1:6" ht="15.75" x14ac:dyDescent="0.25">
      <c r="A48" s="121">
        <v>8</v>
      </c>
      <c r="B48" s="122" t="s">
        <v>120</v>
      </c>
      <c r="C48" s="119">
        <f t="shared" si="4"/>
        <v>8311609</v>
      </c>
      <c r="D48" s="119">
        <f t="shared" si="4"/>
        <v>9078271</v>
      </c>
      <c r="E48" s="123">
        <f t="shared" si="5"/>
        <v>766662</v>
      </c>
      <c r="F48" s="124">
        <f t="shared" si="6"/>
        <v>9.2239902045440303E-2</v>
      </c>
    </row>
    <row r="49" spans="1:6" ht="15.75" x14ac:dyDescent="0.25">
      <c r="A49" s="121">
        <v>9</v>
      </c>
      <c r="B49" s="122" t="s">
        <v>121</v>
      </c>
      <c r="C49" s="119">
        <f t="shared" si="4"/>
        <v>34444606</v>
      </c>
      <c r="D49" s="119">
        <f t="shared" si="4"/>
        <v>32484086</v>
      </c>
      <c r="E49" s="123">
        <f t="shared" si="5"/>
        <v>-1960520</v>
      </c>
      <c r="F49" s="124">
        <f t="shared" si="6"/>
        <v>-5.6918055616603659E-2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1698012</v>
      </c>
      <c r="D51" s="119">
        <f t="shared" si="4"/>
        <v>2790110</v>
      </c>
      <c r="E51" s="123">
        <f t="shared" si="5"/>
        <v>1092098</v>
      </c>
      <c r="F51" s="124">
        <f t="shared" si="6"/>
        <v>0.64316271027531013</v>
      </c>
    </row>
    <row r="52" spans="1:6" ht="18.75" customHeight="1" thickBot="1" x14ac:dyDescent="0.3">
      <c r="A52" s="125"/>
      <c r="B52" s="126" t="s">
        <v>128</v>
      </c>
      <c r="C52" s="127">
        <f>SUM(C41:C51)</f>
        <v>1231890672</v>
      </c>
      <c r="D52" s="128">
        <f>SUM(D41:D51)</f>
        <v>1291510052</v>
      </c>
      <c r="E52" s="127">
        <f t="shared" si="5"/>
        <v>59619380</v>
      </c>
      <c r="F52" s="129">
        <f t="shared" si="6"/>
        <v>4.8396648627273636E-2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86165813</v>
      </c>
      <c r="D57" s="113">
        <v>90754886</v>
      </c>
      <c r="E57" s="113">
        <f t="shared" ref="E57:E68" si="7">D57-C57</f>
        <v>4589073</v>
      </c>
      <c r="F57" s="114">
        <f t="shared" ref="F57:F68" si="8">IF(C57=0,0,E57/C57)</f>
        <v>5.3258628221844781E-2</v>
      </c>
    </row>
    <row r="58" spans="1:6" x14ac:dyDescent="0.2">
      <c r="A58" s="115">
        <v>2</v>
      </c>
      <c r="B58" s="116" t="s">
        <v>114</v>
      </c>
      <c r="C58" s="113">
        <v>10865677</v>
      </c>
      <c r="D58" s="113">
        <v>12191050</v>
      </c>
      <c r="E58" s="113">
        <f t="shared" si="7"/>
        <v>1325373</v>
      </c>
      <c r="F58" s="114">
        <f t="shared" si="8"/>
        <v>0.12197794946417052</v>
      </c>
    </row>
    <row r="59" spans="1:6" x14ac:dyDescent="0.2">
      <c r="A59" s="115">
        <v>3</v>
      </c>
      <c r="B59" s="116" t="s">
        <v>115</v>
      </c>
      <c r="C59" s="113">
        <v>16870763</v>
      </c>
      <c r="D59" s="113">
        <v>16004723</v>
      </c>
      <c r="E59" s="113">
        <f t="shared" si="7"/>
        <v>-866040</v>
      </c>
      <c r="F59" s="114">
        <f t="shared" si="8"/>
        <v>-5.1333777849881482E-2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183218</v>
      </c>
      <c r="D61" s="113">
        <v>206353</v>
      </c>
      <c r="E61" s="113">
        <f t="shared" si="7"/>
        <v>23135</v>
      </c>
      <c r="F61" s="114">
        <f t="shared" si="8"/>
        <v>0.12627034461679529</v>
      </c>
    </row>
    <row r="62" spans="1:6" x14ac:dyDescent="0.2">
      <c r="A62" s="115">
        <v>6</v>
      </c>
      <c r="B62" s="116" t="s">
        <v>118</v>
      </c>
      <c r="C62" s="113">
        <v>44362671</v>
      </c>
      <c r="D62" s="113">
        <v>41783049</v>
      </c>
      <c r="E62" s="113">
        <f t="shared" si="7"/>
        <v>-2579622</v>
      </c>
      <c r="F62" s="114">
        <f t="shared" si="8"/>
        <v>-5.8148482538393595E-2</v>
      </c>
    </row>
    <row r="63" spans="1:6" x14ac:dyDescent="0.2">
      <c r="A63" s="115">
        <v>7</v>
      </c>
      <c r="B63" s="116" t="s">
        <v>119</v>
      </c>
      <c r="C63" s="113">
        <v>58314614</v>
      </c>
      <c r="D63" s="113">
        <v>61475999</v>
      </c>
      <c r="E63" s="113">
        <f t="shared" si="7"/>
        <v>3161385</v>
      </c>
      <c r="F63" s="114">
        <f t="shared" si="8"/>
        <v>5.4212568396662969E-2</v>
      </c>
    </row>
    <row r="64" spans="1:6" x14ac:dyDescent="0.2">
      <c r="A64" s="115">
        <v>8</v>
      </c>
      <c r="B64" s="116" t="s">
        <v>120</v>
      </c>
      <c r="C64" s="113">
        <v>1812223</v>
      </c>
      <c r="D64" s="113">
        <v>2123430</v>
      </c>
      <c r="E64" s="113">
        <f t="shared" si="7"/>
        <v>311207</v>
      </c>
      <c r="F64" s="114">
        <f t="shared" si="8"/>
        <v>0.17172665836378856</v>
      </c>
    </row>
    <row r="65" spans="1:6" x14ac:dyDescent="0.2">
      <c r="A65" s="115">
        <v>9</v>
      </c>
      <c r="B65" s="116" t="s">
        <v>121</v>
      </c>
      <c r="C65" s="113">
        <v>1444587</v>
      </c>
      <c r="D65" s="113">
        <v>1434850</v>
      </c>
      <c r="E65" s="113">
        <f t="shared" si="7"/>
        <v>-9737</v>
      </c>
      <c r="F65" s="114">
        <f t="shared" si="8"/>
        <v>-6.7403347808058633E-3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454694</v>
      </c>
      <c r="D67" s="113">
        <v>491371</v>
      </c>
      <c r="E67" s="113">
        <f t="shared" si="7"/>
        <v>36677</v>
      </c>
      <c r="F67" s="114">
        <f t="shared" si="8"/>
        <v>8.0663039318750629E-2</v>
      </c>
    </row>
    <row r="68" spans="1:6" ht="15.75" x14ac:dyDescent="0.25">
      <c r="A68" s="117"/>
      <c r="B68" s="118" t="s">
        <v>131</v>
      </c>
      <c r="C68" s="119">
        <f>SUM(C57:C67)</f>
        <v>220474260</v>
      </c>
      <c r="D68" s="119">
        <f>SUM(D57:D67)</f>
        <v>226465711</v>
      </c>
      <c r="E68" s="119">
        <f t="shared" si="7"/>
        <v>5991451</v>
      </c>
      <c r="F68" s="120">
        <f t="shared" si="8"/>
        <v>2.7175285677339386E-2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67663204</v>
      </c>
      <c r="D70" s="113">
        <v>67848158</v>
      </c>
      <c r="E70" s="113">
        <f t="shared" ref="E70:E81" si="9">D70-C70</f>
        <v>184954</v>
      </c>
      <c r="F70" s="114">
        <f t="shared" ref="F70:F81" si="10">IF(C70=0,0,E70/C70)</f>
        <v>2.7334502220734331E-3</v>
      </c>
    </row>
    <row r="71" spans="1:6" x14ac:dyDescent="0.2">
      <c r="A71" s="115">
        <v>2</v>
      </c>
      <c r="B71" s="116" t="s">
        <v>114</v>
      </c>
      <c r="C71" s="113">
        <v>10476697</v>
      </c>
      <c r="D71" s="113">
        <v>11607216</v>
      </c>
      <c r="E71" s="113">
        <f t="shared" si="9"/>
        <v>1130519</v>
      </c>
      <c r="F71" s="114">
        <f t="shared" si="10"/>
        <v>0.107907959922865</v>
      </c>
    </row>
    <row r="72" spans="1:6" x14ac:dyDescent="0.2">
      <c r="A72" s="115">
        <v>3</v>
      </c>
      <c r="B72" s="116" t="s">
        <v>115</v>
      </c>
      <c r="C72" s="113">
        <v>18209887</v>
      </c>
      <c r="D72" s="113">
        <v>17890099</v>
      </c>
      <c r="E72" s="113">
        <f t="shared" si="9"/>
        <v>-319788</v>
      </c>
      <c r="F72" s="114">
        <f t="shared" si="10"/>
        <v>-1.7561229237721243E-2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196969</v>
      </c>
      <c r="D74" s="113">
        <v>220660</v>
      </c>
      <c r="E74" s="113">
        <f t="shared" si="9"/>
        <v>23691</v>
      </c>
      <c r="F74" s="114">
        <f t="shared" si="10"/>
        <v>0.12027781021378998</v>
      </c>
    </row>
    <row r="75" spans="1:6" x14ac:dyDescent="0.2">
      <c r="A75" s="115">
        <v>6</v>
      </c>
      <c r="B75" s="116" t="s">
        <v>118</v>
      </c>
      <c r="C75" s="113">
        <v>94941460</v>
      </c>
      <c r="D75" s="113">
        <v>101272306</v>
      </c>
      <c r="E75" s="113">
        <f t="shared" si="9"/>
        <v>6330846</v>
      </c>
      <c r="F75" s="114">
        <f t="shared" si="10"/>
        <v>6.6681574098397048E-2</v>
      </c>
    </row>
    <row r="76" spans="1:6" x14ac:dyDescent="0.2">
      <c r="A76" s="115">
        <v>7</v>
      </c>
      <c r="B76" s="116" t="s">
        <v>119</v>
      </c>
      <c r="C76" s="113">
        <v>92632504</v>
      </c>
      <c r="D76" s="113">
        <v>85549520</v>
      </c>
      <c r="E76" s="113">
        <f t="shared" si="9"/>
        <v>-7082984</v>
      </c>
      <c r="F76" s="114">
        <f t="shared" si="10"/>
        <v>-7.6463268228180462E-2</v>
      </c>
    </row>
    <row r="77" spans="1:6" x14ac:dyDescent="0.2">
      <c r="A77" s="115">
        <v>8</v>
      </c>
      <c r="B77" s="116" t="s">
        <v>120</v>
      </c>
      <c r="C77" s="113">
        <v>2021222</v>
      </c>
      <c r="D77" s="113">
        <v>4122057</v>
      </c>
      <c r="E77" s="113">
        <f t="shared" si="9"/>
        <v>2100835</v>
      </c>
      <c r="F77" s="114">
        <f t="shared" si="10"/>
        <v>1.0393885481159417</v>
      </c>
    </row>
    <row r="78" spans="1:6" x14ac:dyDescent="0.2">
      <c r="A78" s="115">
        <v>9</v>
      </c>
      <c r="B78" s="116" t="s">
        <v>121</v>
      </c>
      <c r="C78" s="113">
        <v>7611833</v>
      </c>
      <c r="D78" s="113">
        <v>7726218</v>
      </c>
      <c r="E78" s="113">
        <f t="shared" si="9"/>
        <v>114385</v>
      </c>
      <c r="F78" s="114">
        <f t="shared" si="10"/>
        <v>1.5027260845055323E-2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257729</v>
      </c>
      <c r="D80" s="113">
        <v>105704</v>
      </c>
      <c r="E80" s="113">
        <f t="shared" si="9"/>
        <v>-152025</v>
      </c>
      <c r="F80" s="114">
        <f t="shared" si="10"/>
        <v>-0.58986377163609838</v>
      </c>
    </row>
    <row r="81" spans="1:6" ht="15.75" x14ac:dyDescent="0.25">
      <c r="A81" s="117"/>
      <c r="B81" s="118" t="s">
        <v>133</v>
      </c>
      <c r="C81" s="119">
        <f>SUM(C70:C80)</f>
        <v>294011505</v>
      </c>
      <c r="D81" s="119">
        <f>SUM(D70:D80)</f>
        <v>296341938</v>
      </c>
      <c r="E81" s="119">
        <f t="shared" si="9"/>
        <v>2330433</v>
      </c>
      <c r="F81" s="120">
        <f t="shared" si="10"/>
        <v>7.9263326787160932E-3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153829017</v>
      </c>
      <c r="D84" s="119">
        <f t="shared" si="11"/>
        <v>158603044</v>
      </c>
      <c r="E84" s="119">
        <f t="shared" ref="E84:E95" si="12">D84-C84</f>
        <v>4774027</v>
      </c>
      <c r="F84" s="120">
        <f t="shared" ref="F84:F95" si="13">IF(C84=0,0,E84/C84)</f>
        <v>3.1034632432189305E-2</v>
      </c>
    </row>
    <row r="85" spans="1:6" ht="15.75" x14ac:dyDescent="0.25">
      <c r="A85" s="130">
        <v>2</v>
      </c>
      <c r="B85" s="122" t="s">
        <v>114</v>
      </c>
      <c r="C85" s="119">
        <f t="shared" si="11"/>
        <v>21342374</v>
      </c>
      <c r="D85" s="119">
        <f t="shared" si="11"/>
        <v>23798266</v>
      </c>
      <c r="E85" s="119">
        <f t="shared" si="12"/>
        <v>2455892</v>
      </c>
      <c r="F85" s="120">
        <f t="shared" si="13"/>
        <v>0.11507117249468124</v>
      </c>
    </row>
    <row r="86" spans="1:6" ht="15.75" x14ac:dyDescent="0.25">
      <c r="A86" s="130">
        <v>3</v>
      </c>
      <c r="B86" s="122" t="s">
        <v>115</v>
      </c>
      <c r="C86" s="119">
        <f t="shared" si="11"/>
        <v>35080650</v>
      </c>
      <c r="D86" s="119">
        <f t="shared" si="11"/>
        <v>33894822</v>
      </c>
      <c r="E86" s="119">
        <f t="shared" si="12"/>
        <v>-1185828</v>
      </c>
      <c r="F86" s="120">
        <f t="shared" si="13"/>
        <v>-3.3802908440978149E-2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380187</v>
      </c>
      <c r="D88" s="119">
        <f t="shared" si="11"/>
        <v>427013</v>
      </c>
      <c r="E88" s="119">
        <f t="shared" si="12"/>
        <v>46826</v>
      </c>
      <c r="F88" s="120">
        <f t="shared" si="13"/>
        <v>0.12316570529765615</v>
      </c>
    </row>
    <row r="89" spans="1:6" ht="15.75" x14ac:dyDescent="0.25">
      <c r="A89" s="130">
        <v>6</v>
      </c>
      <c r="B89" s="122" t="s">
        <v>118</v>
      </c>
      <c r="C89" s="119">
        <f t="shared" si="11"/>
        <v>139304131</v>
      </c>
      <c r="D89" s="119">
        <f t="shared" si="11"/>
        <v>143055355</v>
      </c>
      <c r="E89" s="119">
        <f t="shared" si="12"/>
        <v>3751224</v>
      </c>
      <c r="F89" s="120">
        <f t="shared" si="13"/>
        <v>2.6928304085971435E-2</v>
      </c>
    </row>
    <row r="90" spans="1:6" ht="15.75" x14ac:dyDescent="0.25">
      <c r="A90" s="130">
        <v>7</v>
      </c>
      <c r="B90" s="122" t="s">
        <v>119</v>
      </c>
      <c r="C90" s="119">
        <f t="shared" si="11"/>
        <v>150947118</v>
      </c>
      <c r="D90" s="119">
        <f t="shared" si="11"/>
        <v>147025519</v>
      </c>
      <c r="E90" s="119">
        <f t="shared" si="12"/>
        <v>-3921599</v>
      </c>
      <c r="F90" s="120">
        <f t="shared" si="13"/>
        <v>-2.5979952793798951E-2</v>
      </c>
    </row>
    <row r="91" spans="1:6" ht="15.75" x14ac:dyDescent="0.25">
      <c r="A91" s="130">
        <v>8</v>
      </c>
      <c r="B91" s="122" t="s">
        <v>120</v>
      </c>
      <c r="C91" s="119">
        <f t="shared" si="11"/>
        <v>3833445</v>
      </c>
      <c r="D91" s="119">
        <f t="shared" si="11"/>
        <v>6245487</v>
      </c>
      <c r="E91" s="119">
        <f t="shared" si="12"/>
        <v>2412042</v>
      </c>
      <c r="F91" s="120">
        <f t="shared" si="13"/>
        <v>0.62921001866467363</v>
      </c>
    </row>
    <row r="92" spans="1:6" ht="15.75" x14ac:dyDescent="0.25">
      <c r="A92" s="130">
        <v>9</v>
      </c>
      <c r="B92" s="122" t="s">
        <v>121</v>
      </c>
      <c r="C92" s="119">
        <f t="shared" si="11"/>
        <v>9056420</v>
      </c>
      <c r="D92" s="119">
        <f t="shared" si="11"/>
        <v>9161068</v>
      </c>
      <c r="E92" s="119">
        <f t="shared" si="12"/>
        <v>104648</v>
      </c>
      <c r="F92" s="120">
        <f t="shared" si="13"/>
        <v>1.1555117805932146E-2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712423</v>
      </c>
      <c r="D94" s="119">
        <f t="shared" si="11"/>
        <v>597075</v>
      </c>
      <c r="E94" s="119">
        <f t="shared" si="12"/>
        <v>-115348</v>
      </c>
      <c r="F94" s="120">
        <f t="shared" si="13"/>
        <v>-0.1619094274047862</v>
      </c>
    </row>
    <row r="95" spans="1:6" ht="18.75" customHeight="1" thickBot="1" x14ac:dyDescent="0.3">
      <c r="A95" s="131"/>
      <c r="B95" s="132" t="s">
        <v>134</v>
      </c>
      <c r="C95" s="128">
        <f>SUM(C84:C94)</f>
        <v>514485765</v>
      </c>
      <c r="D95" s="128">
        <f>SUM(D84:D94)</f>
        <v>522807649</v>
      </c>
      <c r="E95" s="128">
        <f t="shared" si="12"/>
        <v>8321884</v>
      </c>
      <c r="F95" s="129">
        <f t="shared" si="13"/>
        <v>1.6175149180269351E-2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7411</v>
      </c>
      <c r="D100" s="133">
        <v>7362</v>
      </c>
      <c r="E100" s="133">
        <f t="shared" ref="E100:E111" si="14">D100-C100</f>
        <v>-49</v>
      </c>
      <c r="F100" s="114">
        <f t="shared" ref="F100:F111" si="15">IF(C100=0,0,E100/C100)</f>
        <v>-6.6117932802590741E-3</v>
      </c>
    </row>
    <row r="101" spans="1:6" x14ac:dyDescent="0.2">
      <c r="A101" s="115">
        <v>2</v>
      </c>
      <c r="B101" s="116" t="s">
        <v>114</v>
      </c>
      <c r="C101" s="133">
        <v>958</v>
      </c>
      <c r="D101" s="133">
        <v>1083</v>
      </c>
      <c r="E101" s="133">
        <f t="shared" si="14"/>
        <v>125</v>
      </c>
      <c r="F101" s="114">
        <f t="shared" si="15"/>
        <v>0.13048016701461379</v>
      </c>
    </row>
    <row r="102" spans="1:6" x14ac:dyDescent="0.2">
      <c r="A102" s="115">
        <v>3</v>
      </c>
      <c r="B102" s="116" t="s">
        <v>115</v>
      </c>
      <c r="C102" s="133">
        <v>3321</v>
      </c>
      <c r="D102" s="133">
        <v>3250</v>
      </c>
      <c r="E102" s="133">
        <f t="shared" si="14"/>
        <v>-71</v>
      </c>
      <c r="F102" s="114">
        <f t="shared" si="15"/>
        <v>-2.1379102679915687E-2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35</v>
      </c>
      <c r="D104" s="133">
        <v>34</v>
      </c>
      <c r="E104" s="133">
        <f t="shared" si="14"/>
        <v>-1</v>
      </c>
      <c r="F104" s="114">
        <f t="shared" si="15"/>
        <v>-2.8571428571428571E-2</v>
      </c>
    </row>
    <row r="105" spans="1:6" x14ac:dyDescent="0.2">
      <c r="A105" s="115">
        <v>6</v>
      </c>
      <c r="B105" s="116" t="s">
        <v>118</v>
      </c>
      <c r="C105" s="133">
        <v>3030</v>
      </c>
      <c r="D105" s="133">
        <v>2941</v>
      </c>
      <c r="E105" s="133">
        <f t="shared" si="14"/>
        <v>-89</v>
      </c>
      <c r="F105" s="114">
        <f t="shared" si="15"/>
        <v>-2.9372937293729372E-2</v>
      </c>
    </row>
    <row r="106" spans="1:6" x14ac:dyDescent="0.2">
      <c r="A106" s="115">
        <v>7</v>
      </c>
      <c r="B106" s="116" t="s">
        <v>119</v>
      </c>
      <c r="C106" s="133">
        <v>3562</v>
      </c>
      <c r="D106" s="133">
        <v>3333</v>
      </c>
      <c r="E106" s="133">
        <f t="shared" si="14"/>
        <v>-229</v>
      </c>
      <c r="F106" s="114">
        <f t="shared" si="15"/>
        <v>-6.4289724873666479E-2</v>
      </c>
    </row>
    <row r="107" spans="1:6" x14ac:dyDescent="0.2">
      <c r="A107" s="115">
        <v>8</v>
      </c>
      <c r="B107" s="116" t="s">
        <v>120</v>
      </c>
      <c r="C107" s="133">
        <v>60</v>
      </c>
      <c r="D107" s="133">
        <v>67</v>
      </c>
      <c r="E107" s="133">
        <f t="shared" si="14"/>
        <v>7</v>
      </c>
      <c r="F107" s="114">
        <f t="shared" si="15"/>
        <v>0.11666666666666667</v>
      </c>
    </row>
    <row r="108" spans="1:6" x14ac:dyDescent="0.2">
      <c r="A108" s="115">
        <v>9</v>
      </c>
      <c r="B108" s="116" t="s">
        <v>121</v>
      </c>
      <c r="C108" s="133">
        <v>156</v>
      </c>
      <c r="D108" s="133">
        <v>175</v>
      </c>
      <c r="E108" s="133">
        <f t="shared" si="14"/>
        <v>19</v>
      </c>
      <c r="F108" s="114">
        <f t="shared" si="15"/>
        <v>0.12179487179487179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29</v>
      </c>
      <c r="D110" s="133">
        <v>45</v>
      </c>
      <c r="E110" s="133">
        <f t="shared" si="14"/>
        <v>16</v>
      </c>
      <c r="F110" s="114">
        <f t="shared" si="15"/>
        <v>0.55172413793103448</v>
      </c>
    </row>
    <row r="111" spans="1:6" ht="15.75" x14ac:dyDescent="0.25">
      <c r="A111" s="117"/>
      <c r="B111" s="118" t="s">
        <v>138</v>
      </c>
      <c r="C111" s="134">
        <f>SUM(C100:C110)</f>
        <v>18562</v>
      </c>
      <c r="D111" s="134">
        <f>SUM(D100:D110)</f>
        <v>18290</v>
      </c>
      <c r="E111" s="134">
        <f t="shared" si="14"/>
        <v>-272</v>
      </c>
      <c r="F111" s="120">
        <f t="shared" si="15"/>
        <v>-1.4653593362784182E-2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42905</v>
      </c>
      <c r="D113" s="133">
        <v>44789</v>
      </c>
      <c r="E113" s="133">
        <f t="shared" ref="E113:E124" si="16">D113-C113</f>
        <v>1884</v>
      </c>
      <c r="F113" s="114">
        <f t="shared" ref="F113:F124" si="17">IF(C113=0,0,E113/C113)</f>
        <v>4.3910966087868548E-2</v>
      </c>
    </row>
    <row r="114" spans="1:6" x14ac:dyDescent="0.2">
      <c r="A114" s="115">
        <v>2</v>
      </c>
      <c r="B114" s="116" t="s">
        <v>114</v>
      </c>
      <c r="C114" s="133">
        <v>5090</v>
      </c>
      <c r="D114" s="133">
        <v>5669</v>
      </c>
      <c r="E114" s="133">
        <f t="shared" si="16"/>
        <v>579</v>
      </c>
      <c r="F114" s="114">
        <f t="shared" si="17"/>
        <v>0.1137524557956778</v>
      </c>
    </row>
    <row r="115" spans="1:6" x14ac:dyDescent="0.2">
      <c r="A115" s="115">
        <v>3</v>
      </c>
      <c r="B115" s="116" t="s">
        <v>115</v>
      </c>
      <c r="C115" s="133">
        <v>16180</v>
      </c>
      <c r="D115" s="133">
        <v>15608</v>
      </c>
      <c r="E115" s="133">
        <f t="shared" si="16"/>
        <v>-572</v>
      </c>
      <c r="F115" s="114">
        <f t="shared" si="17"/>
        <v>-3.535228677379481E-2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99</v>
      </c>
      <c r="D117" s="133">
        <v>106</v>
      </c>
      <c r="E117" s="133">
        <f t="shared" si="16"/>
        <v>7</v>
      </c>
      <c r="F117" s="114">
        <f t="shared" si="17"/>
        <v>7.0707070707070704E-2</v>
      </c>
    </row>
    <row r="118" spans="1:6" x14ac:dyDescent="0.2">
      <c r="A118" s="115">
        <v>6</v>
      </c>
      <c r="B118" s="116" t="s">
        <v>118</v>
      </c>
      <c r="C118" s="133">
        <v>12675</v>
      </c>
      <c r="D118" s="133">
        <v>11593</v>
      </c>
      <c r="E118" s="133">
        <f t="shared" si="16"/>
        <v>-1082</v>
      </c>
      <c r="F118" s="114">
        <f t="shared" si="17"/>
        <v>-8.5364891518737676E-2</v>
      </c>
    </row>
    <row r="119" spans="1:6" x14ac:dyDescent="0.2">
      <c r="A119" s="115">
        <v>7</v>
      </c>
      <c r="B119" s="116" t="s">
        <v>119</v>
      </c>
      <c r="C119" s="133">
        <v>13092</v>
      </c>
      <c r="D119" s="133">
        <v>13128</v>
      </c>
      <c r="E119" s="133">
        <f t="shared" si="16"/>
        <v>36</v>
      </c>
      <c r="F119" s="114">
        <f t="shared" si="17"/>
        <v>2.7497708524289641E-3</v>
      </c>
    </row>
    <row r="120" spans="1:6" x14ac:dyDescent="0.2">
      <c r="A120" s="115">
        <v>8</v>
      </c>
      <c r="B120" s="116" t="s">
        <v>120</v>
      </c>
      <c r="C120" s="133">
        <v>238</v>
      </c>
      <c r="D120" s="133">
        <v>277</v>
      </c>
      <c r="E120" s="133">
        <f t="shared" si="16"/>
        <v>39</v>
      </c>
      <c r="F120" s="114">
        <f t="shared" si="17"/>
        <v>0.1638655462184874</v>
      </c>
    </row>
    <row r="121" spans="1:6" x14ac:dyDescent="0.2">
      <c r="A121" s="115">
        <v>9</v>
      </c>
      <c r="B121" s="116" t="s">
        <v>121</v>
      </c>
      <c r="C121" s="133">
        <v>566</v>
      </c>
      <c r="D121" s="133">
        <v>669</v>
      </c>
      <c r="E121" s="133">
        <f t="shared" si="16"/>
        <v>103</v>
      </c>
      <c r="F121" s="114">
        <f t="shared" si="17"/>
        <v>0.18197879858657243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158</v>
      </c>
      <c r="D123" s="133">
        <v>330</v>
      </c>
      <c r="E123" s="133">
        <f t="shared" si="16"/>
        <v>172</v>
      </c>
      <c r="F123" s="114">
        <f t="shared" si="17"/>
        <v>1.0886075949367089</v>
      </c>
    </row>
    <row r="124" spans="1:6" ht="15.75" x14ac:dyDescent="0.25">
      <c r="A124" s="117"/>
      <c r="B124" s="118" t="s">
        <v>140</v>
      </c>
      <c r="C124" s="134">
        <f>SUM(C113:C123)</f>
        <v>91003</v>
      </c>
      <c r="D124" s="134">
        <f>SUM(D113:D123)</f>
        <v>92169</v>
      </c>
      <c r="E124" s="134">
        <f t="shared" si="16"/>
        <v>1166</v>
      </c>
      <c r="F124" s="120">
        <f t="shared" si="17"/>
        <v>1.2812764414359966E-2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60172</v>
      </c>
      <c r="D126" s="133">
        <v>59310</v>
      </c>
      <c r="E126" s="133">
        <f t="shared" ref="E126:E137" si="18">D126-C126</f>
        <v>-862</v>
      </c>
      <c r="F126" s="114">
        <f t="shared" ref="F126:F137" si="19">IF(C126=0,0,E126/C126)</f>
        <v>-1.4325599946819119E-2</v>
      </c>
    </row>
    <row r="127" spans="1:6" x14ac:dyDescent="0.2">
      <c r="A127" s="115">
        <v>2</v>
      </c>
      <c r="B127" s="116" t="s">
        <v>114</v>
      </c>
      <c r="C127" s="133">
        <v>10374</v>
      </c>
      <c r="D127" s="133">
        <v>10426</v>
      </c>
      <c r="E127" s="133">
        <f t="shared" si="18"/>
        <v>52</v>
      </c>
      <c r="F127" s="114">
        <f t="shared" si="19"/>
        <v>5.0125313283208017E-3</v>
      </c>
    </row>
    <row r="128" spans="1:6" x14ac:dyDescent="0.2">
      <c r="A128" s="115">
        <v>3</v>
      </c>
      <c r="B128" s="116" t="s">
        <v>115</v>
      </c>
      <c r="C128" s="133">
        <v>39186</v>
      </c>
      <c r="D128" s="133">
        <v>37811</v>
      </c>
      <c r="E128" s="133">
        <f t="shared" si="18"/>
        <v>-1375</v>
      </c>
      <c r="F128" s="114">
        <f t="shared" si="19"/>
        <v>-3.5089062420252129E-2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312</v>
      </c>
      <c r="D130" s="133">
        <v>329</v>
      </c>
      <c r="E130" s="133">
        <f t="shared" si="18"/>
        <v>17</v>
      </c>
      <c r="F130" s="114">
        <f t="shared" si="19"/>
        <v>5.4487179487179488E-2</v>
      </c>
    </row>
    <row r="131" spans="1:6" x14ac:dyDescent="0.2">
      <c r="A131" s="115">
        <v>6</v>
      </c>
      <c r="B131" s="116" t="s">
        <v>118</v>
      </c>
      <c r="C131" s="133">
        <v>52789</v>
      </c>
      <c r="D131" s="133">
        <v>42956</v>
      </c>
      <c r="E131" s="133">
        <f t="shared" si="18"/>
        <v>-9833</v>
      </c>
      <c r="F131" s="114">
        <f t="shared" si="19"/>
        <v>-0.1862698668283165</v>
      </c>
    </row>
    <row r="132" spans="1:6" x14ac:dyDescent="0.2">
      <c r="A132" s="115">
        <v>7</v>
      </c>
      <c r="B132" s="116" t="s">
        <v>119</v>
      </c>
      <c r="C132" s="133">
        <v>36670</v>
      </c>
      <c r="D132" s="133">
        <v>43404</v>
      </c>
      <c r="E132" s="133">
        <f t="shared" si="18"/>
        <v>6734</v>
      </c>
      <c r="F132" s="114">
        <f t="shared" si="19"/>
        <v>0.18363785110444505</v>
      </c>
    </row>
    <row r="133" spans="1:6" x14ac:dyDescent="0.2">
      <c r="A133" s="115">
        <v>8</v>
      </c>
      <c r="B133" s="116" t="s">
        <v>120</v>
      </c>
      <c r="C133" s="133">
        <v>1530</v>
      </c>
      <c r="D133" s="133">
        <v>1406</v>
      </c>
      <c r="E133" s="133">
        <f t="shared" si="18"/>
        <v>-124</v>
      </c>
      <c r="F133" s="114">
        <f t="shared" si="19"/>
        <v>-8.1045751633986932E-2</v>
      </c>
    </row>
    <row r="134" spans="1:6" x14ac:dyDescent="0.2">
      <c r="A134" s="115">
        <v>9</v>
      </c>
      <c r="B134" s="116" t="s">
        <v>121</v>
      </c>
      <c r="C134" s="133">
        <v>13821</v>
      </c>
      <c r="D134" s="133">
        <v>12125</v>
      </c>
      <c r="E134" s="133">
        <f t="shared" si="18"/>
        <v>-1696</v>
      </c>
      <c r="F134" s="114">
        <f t="shared" si="19"/>
        <v>-0.12271181535344765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302</v>
      </c>
      <c r="D136" s="133">
        <v>784</v>
      </c>
      <c r="E136" s="133">
        <f t="shared" si="18"/>
        <v>482</v>
      </c>
      <c r="F136" s="114">
        <f t="shared" si="19"/>
        <v>1.5960264900662251</v>
      </c>
    </row>
    <row r="137" spans="1:6" ht="15.75" x14ac:dyDescent="0.25">
      <c r="A137" s="117"/>
      <c r="B137" s="118" t="s">
        <v>142</v>
      </c>
      <c r="C137" s="134">
        <f>SUM(C126:C136)</f>
        <v>215156</v>
      </c>
      <c r="D137" s="134">
        <f>SUM(D126:D136)</f>
        <v>208551</v>
      </c>
      <c r="E137" s="134">
        <f t="shared" si="18"/>
        <v>-6605</v>
      </c>
      <c r="F137" s="120">
        <f t="shared" si="19"/>
        <v>-3.069865585900463E-2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21464461</v>
      </c>
      <c r="D142" s="113">
        <v>23160431</v>
      </c>
      <c r="E142" s="113">
        <f t="shared" ref="E142:E153" si="20">D142-C142</f>
        <v>1695970</v>
      </c>
      <c r="F142" s="114">
        <f t="shared" ref="F142:F153" si="21">IF(C142=0,0,E142/C142)</f>
        <v>7.9012932120680779E-2</v>
      </c>
    </row>
    <row r="143" spans="1:6" x14ac:dyDescent="0.2">
      <c r="A143" s="115">
        <v>2</v>
      </c>
      <c r="B143" s="116" t="s">
        <v>114</v>
      </c>
      <c r="C143" s="113">
        <v>2964103</v>
      </c>
      <c r="D143" s="113">
        <v>3576727</v>
      </c>
      <c r="E143" s="113">
        <f t="shared" si="20"/>
        <v>612624</v>
      </c>
      <c r="F143" s="114">
        <f t="shared" si="21"/>
        <v>0.20668107687215997</v>
      </c>
    </row>
    <row r="144" spans="1:6" x14ac:dyDescent="0.2">
      <c r="A144" s="115">
        <v>3</v>
      </c>
      <c r="B144" s="116" t="s">
        <v>115</v>
      </c>
      <c r="C144" s="113">
        <v>30673802</v>
      </c>
      <c r="D144" s="113">
        <v>30775207</v>
      </c>
      <c r="E144" s="113">
        <f t="shared" si="20"/>
        <v>101405</v>
      </c>
      <c r="F144" s="114">
        <f t="shared" si="21"/>
        <v>3.3059155822939717E-3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306989</v>
      </c>
      <c r="D146" s="113">
        <v>313189</v>
      </c>
      <c r="E146" s="113">
        <f t="shared" si="20"/>
        <v>6200</v>
      </c>
      <c r="F146" s="114">
        <f t="shared" si="21"/>
        <v>2.0196163380446858E-2</v>
      </c>
    </row>
    <row r="147" spans="1:6" x14ac:dyDescent="0.2">
      <c r="A147" s="115">
        <v>6</v>
      </c>
      <c r="B147" s="116" t="s">
        <v>118</v>
      </c>
      <c r="C147" s="113">
        <v>25979503</v>
      </c>
      <c r="D147" s="113">
        <v>26854530</v>
      </c>
      <c r="E147" s="113">
        <f t="shared" si="20"/>
        <v>875027</v>
      </c>
      <c r="F147" s="114">
        <f t="shared" si="21"/>
        <v>3.3681437246894215E-2</v>
      </c>
    </row>
    <row r="148" spans="1:6" x14ac:dyDescent="0.2">
      <c r="A148" s="115">
        <v>7</v>
      </c>
      <c r="B148" s="116" t="s">
        <v>119</v>
      </c>
      <c r="C148" s="113">
        <v>23570505</v>
      </c>
      <c r="D148" s="113">
        <v>22144330</v>
      </c>
      <c r="E148" s="113">
        <f t="shared" si="20"/>
        <v>-1426175</v>
      </c>
      <c r="F148" s="114">
        <f t="shared" si="21"/>
        <v>-6.0506764704447359E-2</v>
      </c>
    </row>
    <row r="149" spans="1:6" x14ac:dyDescent="0.2">
      <c r="A149" s="115">
        <v>8</v>
      </c>
      <c r="B149" s="116" t="s">
        <v>120</v>
      </c>
      <c r="C149" s="113">
        <v>2106388</v>
      </c>
      <c r="D149" s="113">
        <v>2083143</v>
      </c>
      <c r="E149" s="113">
        <f t="shared" si="20"/>
        <v>-23245</v>
      </c>
      <c r="F149" s="114">
        <f t="shared" si="21"/>
        <v>-1.1035478743707238E-2</v>
      </c>
    </row>
    <row r="150" spans="1:6" x14ac:dyDescent="0.2">
      <c r="A150" s="115">
        <v>9</v>
      </c>
      <c r="B150" s="116" t="s">
        <v>121</v>
      </c>
      <c r="C150" s="113">
        <v>11584881</v>
      </c>
      <c r="D150" s="113">
        <v>10943235</v>
      </c>
      <c r="E150" s="113">
        <f t="shared" si="20"/>
        <v>-641646</v>
      </c>
      <c r="F150" s="114">
        <f t="shared" si="21"/>
        <v>-5.5386499006765802E-2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482812</v>
      </c>
      <c r="D152" s="113">
        <v>761933</v>
      </c>
      <c r="E152" s="113">
        <f t="shared" si="20"/>
        <v>279121</v>
      </c>
      <c r="F152" s="114">
        <f t="shared" si="21"/>
        <v>0.57811529125208161</v>
      </c>
    </row>
    <row r="153" spans="1:6" ht="33.75" customHeight="1" x14ac:dyDescent="0.25">
      <c r="A153" s="117"/>
      <c r="B153" s="118" t="s">
        <v>146</v>
      </c>
      <c r="C153" s="119">
        <f>SUM(C142:C152)</f>
        <v>119133444</v>
      </c>
      <c r="D153" s="119">
        <f>SUM(D142:D152)</f>
        <v>120612725</v>
      </c>
      <c r="E153" s="119">
        <f t="shared" si="20"/>
        <v>1479281</v>
      </c>
      <c r="F153" s="120">
        <f t="shared" si="21"/>
        <v>1.2417008610948911E-2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3764021</v>
      </c>
      <c r="D155" s="113">
        <v>4138510</v>
      </c>
      <c r="E155" s="113">
        <f t="shared" ref="E155:E166" si="22">D155-C155</f>
        <v>374489</v>
      </c>
      <c r="F155" s="114">
        <f t="shared" ref="F155:F166" si="23">IF(C155=0,0,E155/C155)</f>
        <v>9.9491740348951294E-2</v>
      </c>
    </row>
    <row r="156" spans="1:6" x14ac:dyDescent="0.2">
      <c r="A156" s="115">
        <v>2</v>
      </c>
      <c r="B156" s="116" t="s">
        <v>114</v>
      </c>
      <c r="C156" s="113">
        <v>479182</v>
      </c>
      <c r="D156" s="113">
        <v>994825</v>
      </c>
      <c r="E156" s="113">
        <f t="shared" si="22"/>
        <v>515643</v>
      </c>
      <c r="F156" s="114">
        <f t="shared" si="23"/>
        <v>1.076090086856351</v>
      </c>
    </row>
    <row r="157" spans="1:6" x14ac:dyDescent="0.2">
      <c r="A157" s="115">
        <v>3</v>
      </c>
      <c r="B157" s="116" t="s">
        <v>115</v>
      </c>
      <c r="C157" s="113">
        <v>5617326</v>
      </c>
      <c r="D157" s="113">
        <v>5945319</v>
      </c>
      <c r="E157" s="113">
        <f t="shared" si="22"/>
        <v>327993</v>
      </c>
      <c r="F157" s="114">
        <f t="shared" si="23"/>
        <v>5.8389525550057088E-2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100385</v>
      </c>
      <c r="D159" s="113">
        <v>102413</v>
      </c>
      <c r="E159" s="113">
        <f t="shared" si="22"/>
        <v>2028</v>
      </c>
      <c r="F159" s="114">
        <f t="shared" si="23"/>
        <v>2.0202221447427404E-2</v>
      </c>
    </row>
    <row r="160" spans="1:6" x14ac:dyDescent="0.2">
      <c r="A160" s="115">
        <v>6</v>
      </c>
      <c r="B160" s="116" t="s">
        <v>118</v>
      </c>
      <c r="C160" s="113">
        <v>16024642</v>
      </c>
      <c r="D160" s="113">
        <v>16114006</v>
      </c>
      <c r="E160" s="113">
        <f t="shared" si="22"/>
        <v>89364</v>
      </c>
      <c r="F160" s="114">
        <f t="shared" si="23"/>
        <v>5.5766612446006593E-3</v>
      </c>
    </row>
    <row r="161" spans="1:6" x14ac:dyDescent="0.2">
      <c r="A161" s="115">
        <v>7</v>
      </c>
      <c r="B161" s="116" t="s">
        <v>119</v>
      </c>
      <c r="C161" s="113">
        <v>15617382</v>
      </c>
      <c r="D161" s="113">
        <v>12906027</v>
      </c>
      <c r="E161" s="113">
        <f t="shared" si="22"/>
        <v>-2711355</v>
      </c>
      <c r="F161" s="114">
        <f t="shared" si="23"/>
        <v>-0.17361136456801787</v>
      </c>
    </row>
    <row r="162" spans="1:6" x14ac:dyDescent="0.2">
      <c r="A162" s="115">
        <v>8</v>
      </c>
      <c r="B162" s="116" t="s">
        <v>120</v>
      </c>
      <c r="C162" s="113">
        <v>1443283</v>
      </c>
      <c r="D162" s="113">
        <v>1433118</v>
      </c>
      <c r="E162" s="113">
        <f t="shared" si="22"/>
        <v>-10165</v>
      </c>
      <c r="F162" s="114">
        <f t="shared" si="23"/>
        <v>-7.0429707825838727E-3</v>
      </c>
    </row>
    <row r="163" spans="1:6" x14ac:dyDescent="0.2">
      <c r="A163" s="115">
        <v>9</v>
      </c>
      <c r="B163" s="116" t="s">
        <v>121</v>
      </c>
      <c r="C163" s="113">
        <v>1666453</v>
      </c>
      <c r="D163" s="113">
        <v>1546707</v>
      </c>
      <c r="E163" s="113">
        <f t="shared" si="22"/>
        <v>-119746</v>
      </c>
      <c r="F163" s="114">
        <f t="shared" si="23"/>
        <v>-7.185681204330395E-2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138936</v>
      </c>
      <c r="D165" s="113">
        <v>110296</v>
      </c>
      <c r="E165" s="113">
        <f t="shared" si="22"/>
        <v>-28640</v>
      </c>
      <c r="F165" s="114">
        <f t="shared" si="23"/>
        <v>-0.20613807796395461</v>
      </c>
    </row>
    <row r="166" spans="1:6" ht="33.75" customHeight="1" x14ac:dyDescent="0.25">
      <c r="A166" s="117"/>
      <c r="B166" s="118" t="s">
        <v>148</v>
      </c>
      <c r="C166" s="119">
        <f>SUM(C155:C165)</f>
        <v>44851610</v>
      </c>
      <c r="D166" s="119">
        <f>SUM(D155:D165)</f>
        <v>43291221</v>
      </c>
      <c r="E166" s="119">
        <f t="shared" si="22"/>
        <v>-1560389</v>
      </c>
      <c r="F166" s="120">
        <f t="shared" si="23"/>
        <v>-3.4790033178296161E-2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8760</v>
      </c>
      <c r="D168" s="133">
        <v>8854</v>
      </c>
      <c r="E168" s="133">
        <f t="shared" ref="E168:E179" si="24">D168-C168</f>
        <v>94</v>
      </c>
      <c r="F168" s="114">
        <f t="shared" ref="F168:F179" si="25">IF(C168=0,0,E168/C168)</f>
        <v>1.0730593607305937E-2</v>
      </c>
    </row>
    <row r="169" spans="1:6" x14ac:dyDescent="0.2">
      <c r="A169" s="115">
        <v>2</v>
      </c>
      <c r="B169" s="116" t="s">
        <v>114</v>
      </c>
      <c r="C169" s="133">
        <v>1201</v>
      </c>
      <c r="D169" s="133">
        <v>1348</v>
      </c>
      <c r="E169" s="133">
        <f t="shared" si="24"/>
        <v>147</v>
      </c>
      <c r="F169" s="114">
        <f t="shared" si="25"/>
        <v>0.12239800166527894</v>
      </c>
    </row>
    <row r="170" spans="1:6" x14ac:dyDescent="0.2">
      <c r="A170" s="115">
        <v>3</v>
      </c>
      <c r="B170" s="116" t="s">
        <v>115</v>
      </c>
      <c r="C170" s="133">
        <v>18776</v>
      </c>
      <c r="D170" s="133">
        <v>17326</v>
      </c>
      <c r="E170" s="133">
        <f t="shared" si="24"/>
        <v>-1450</v>
      </c>
      <c r="F170" s="114">
        <f t="shared" si="25"/>
        <v>-7.7226246271836385E-2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159</v>
      </c>
      <c r="D172" s="133">
        <v>181</v>
      </c>
      <c r="E172" s="133">
        <f t="shared" si="24"/>
        <v>22</v>
      </c>
      <c r="F172" s="114">
        <f t="shared" si="25"/>
        <v>0.13836477987421383</v>
      </c>
    </row>
    <row r="173" spans="1:6" x14ac:dyDescent="0.2">
      <c r="A173" s="115">
        <v>6</v>
      </c>
      <c r="B173" s="116" t="s">
        <v>118</v>
      </c>
      <c r="C173" s="133">
        <v>11415</v>
      </c>
      <c r="D173" s="133">
        <v>11063</v>
      </c>
      <c r="E173" s="133">
        <f t="shared" si="24"/>
        <v>-352</v>
      </c>
      <c r="F173" s="114">
        <f t="shared" si="25"/>
        <v>-3.0836618484450285E-2</v>
      </c>
    </row>
    <row r="174" spans="1:6" x14ac:dyDescent="0.2">
      <c r="A174" s="115">
        <v>7</v>
      </c>
      <c r="B174" s="116" t="s">
        <v>119</v>
      </c>
      <c r="C174" s="133">
        <v>10149</v>
      </c>
      <c r="D174" s="133">
        <v>9333</v>
      </c>
      <c r="E174" s="133">
        <f t="shared" si="24"/>
        <v>-816</v>
      </c>
      <c r="F174" s="114">
        <f t="shared" si="25"/>
        <v>-8.0402010050251257E-2</v>
      </c>
    </row>
    <row r="175" spans="1:6" x14ac:dyDescent="0.2">
      <c r="A175" s="115">
        <v>8</v>
      </c>
      <c r="B175" s="116" t="s">
        <v>120</v>
      </c>
      <c r="C175" s="133">
        <v>1267</v>
      </c>
      <c r="D175" s="133">
        <v>1139</v>
      </c>
      <c r="E175" s="133">
        <f t="shared" si="24"/>
        <v>-128</v>
      </c>
      <c r="F175" s="114">
        <f t="shared" si="25"/>
        <v>-0.10102604577742699</v>
      </c>
    </row>
    <row r="176" spans="1:6" x14ac:dyDescent="0.2">
      <c r="A176" s="115">
        <v>9</v>
      </c>
      <c r="B176" s="116" t="s">
        <v>121</v>
      </c>
      <c r="C176" s="133">
        <v>5990</v>
      </c>
      <c r="D176" s="133">
        <v>5145</v>
      </c>
      <c r="E176" s="133">
        <f t="shared" si="24"/>
        <v>-845</v>
      </c>
      <c r="F176" s="114">
        <f t="shared" si="25"/>
        <v>-0.14106844741235391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300</v>
      </c>
      <c r="D178" s="133">
        <v>388</v>
      </c>
      <c r="E178" s="133">
        <f t="shared" si="24"/>
        <v>88</v>
      </c>
      <c r="F178" s="114">
        <f t="shared" si="25"/>
        <v>0.29333333333333333</v>
      </c>
    </row>
    <row r="179" spans="1:6" ht="33.75" customHeight="1" x14ac:dyDescent="0.25">
      <c r="A179" s="117"/>
      <c r="B179" s="118" t="s">
        <v>150</v>
      </c>
      <c r="C179" s="134">
        <f>SUM(C168:C178)</f>
        <v>58017</v>
      </c>
      <c r="D179" s="134">
        <f>SUM(D168:D178)</f>
        <v>54777</v>
      </c>
      <c r="E179" s="134">
        <f t="shared" si="24"/>
        <v>-3240</v>
      </c>
      <c r="F179" s="120">
        <f t="shared" si="25"/>
        <v>-5.5845700398159163E-2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FILING&amp;RDANBURY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59802385</v>
      </c>
      <c r="D15" s="157">
        <v>61078519</v>
      </c>
      <c r="E15" s="157">
        <f>+D15-C15</f>
        <v>1276134</v>
      </c>
      <c r="F15" s="161">
        <f>IF(C15=0,0,E15/C15)</f>
        <v>2.1339182375418639E-2</v>
      </c>
    </row>
    <row r="16" spans="1:6" ht="15" customHeight="1" x14ac:dyDescent="0.2">
      <c r="A16" s="147">
        <v>2</v>
      </c>
      <c r="B16" s="160" t="s">
        <v>157</v>
      </c>
      <c r="C16" s="157">
        <v>8426011</v>
      </c>
      <c r="D16" s="157">
        <v>8610701</v>
      </c>
      <c r="E16" s="157">
        <f>+D16-C16</f>
        <v>184690</v>
      </c>
      <c r="F16" s="161">
        <f>IF(C16=0,0,E16/C16)</f>
        <v>2.1919031437295775E-2</v>
      </c>
    </row>
    <row r="17" spans="1:6" ht="15" customHeight="1" x14ac:dyDescent="0.2">
      <c r="A17" s="147">
        <v>3</v>
      </c>
      <c r="B17" s="160" t="s">
        <v>158</v>
      </c>
      <c r="C17" s="157">
        <v>122422314</v>
      </c>
      <c r="D17" s="157">
        <v>121938706</v>
      </c>
      <c r="E17" s="157">
        <f>+D17-C17</f>
        <v>-483608</v>
      </c>
      <c r="F17" s="161">
        <f>IF(C17=0,0,E17/C17)</f>
        <v>-3.9503255917871316E-3</v>
      </c>
    </row>
    <row r="18" spans="1:6" ht="15.75" customHeight="1" x14ac:dyDescent="0.25">
      <c r="A18" s="147"/>
      <c r="B18" s="162" t="s">
        <v>159</v>
      </c>
      <c r="C18" s="158">
        <f>SUM(C15:C17)</f>
        <v>190650710</v>
      </c>
      <c r="D18" s="158">
        <f>SUM(D15:D17)</f>
        <v>191627926</v>
      </c>
      <c r="E18" s="158">
        <f>+D18-C18</f>
        <v>977216</v>
      </c>
      <c r="F18" s="159">
        <f>IF(C18=0,0,E18/C18)</f>
        <v>5.1256877039692113E-3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15272468</v>
      </c>
      <c r="D21" s="157">
        <v>14791328</v>
      </c>
      <c r="E21" s="157">
        <f>+D21-C21</f>
        <v>-481140</v>
      </c>
      <c r="F21" s="161">
        <f>IF(C21=0,0,E21/C21)</f>
        <v>-3.1503749099359712E-2</v>
      </c>
    </row>
    <row r="22" spans="1:6" ht="15" customHeight="1" x14ac:dyDescent="0.2">
      <c r="A22" s="147">
        <v>2</v>
      </c>
      <c r="B22" s="160" t="s">
        <v>162</v>
      </c>
      <c r="C22" s="157">
        <v>2151854</v>
      </c>
      <c r="D22" s="157">
        <v>2085245</v>
      </c>
      <c r="E22" s="157">
        <f>+D22-C22</f>
        <v>-66609</v>
      </c>
      <c r="F22" s="161">
        <f>IF(C22=0,0,E22/C22)</f>
        <v>-3.0954237601621672E-2</v>
      </c>
    </row>
    <row r="23" spans="1:6" ht="15" customHeight="1" x14ac:dyDescent="0.2">
      <c r="A23" s="147">
        <v>3</v>
      </c>
      <c r="B23" s="160" t="s">
        <v>163</v>
      </c>
      <c r="C23" s="157">
        <v>31264486</v>
      </c>
      <c r="D23" s="157">
        <v>29529785</v>
      </c>
      <c r="E23" s="157">
        <f>+D23-C23</f>
        <v>-1734701</v>
      </c>
      <c r="F23" s="161">
        <f>IF(C23=0,0,E23/C23)</f>
        <v>-5.548471195080578E-2</v>
      </c>
    </row>
    <row r="24" spans="1:6" ht="15.75" customHeight="1" x14ac:dyDescent="0.25">
      <c r="A24" s="147"/>
      <c r="B24" s="162" t="s">
        <v>164</v>
      </c>
      <c r="C24" s="158">
        <f>SUM(C21:C23)</f>
        <v>48688808</v>
      </c>
      <c r="D24" s="158">
        <f>SUM(D21:D23)</f>
        <v>46406358</v>
      </c>
      <c r="E24" s="158">
        <f>+D24-C24</f>
        <v>-2282450</v>
      </c>
      <c r="F24" s="159">
        <f>IF(C24=0,0,E24/C24)</f>
        <v>-4.6878329820684871E-2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425977</v>
      </c>
      <c r="D27" s="157">
        <v>882261</v>
      </c>
      <c r="E27" s="157">
        <f>+D27-C27</f>
        <v>456284</v>
      </c>
      <c r="F27" s="161">
        <f>IF(C27=0,0,E27/C27)</f>
        <v>1.0711470337600386</v>
      </c>
    </row>
    <row r="28" spans="1:6" ht="15" customHeight="1" x14ac:dyDescent="0.2">
      <c r="A28" s="147">
        <v>2</v>
      </c>
      <c r="B28" s="160" t="s">
        <v>167</v>
      </c>
      <c r="C28" s="157">
        <v>58191711</v>
      </c>
      <c r="D28" s="157">
        <v>61072454</v>
      </c>
      <c r="E28" s="157">
        <f>+D28-C28</f>
        <v>2880743</v>
      </c>
      <c r="F28" s="161">
        <f>IF(C28=0,0,E28/C28)</f>
        <v>4.9504352948137237E-2</v>
      </c>
    </row>
    <row r="29" spans="1:6" ht="15" customHeight="1" x14ac:dyDescent="0.2">
      <c r="A29" s="147">
        <v>3</v>
      </c>
      <c r="B29" s="160" t="s">
        <v>168</v>
      </c>
      <c r="C29" s="157">
        <v>294565</v>
      </c>
      <c r="D29" s="157">
        <v>902798</v>
      </c>
      <c r="E29" s="157">
        <f>+D29-C29</f>
        <v>608233</v>
      </c>
      <c r="F29" s="161">
        <f>IF(C29=0,0,E29/C29)</f>
        <v>2.0648515607760598</v>
      </c>
    </row>
    <row r="30" spans="1:6" ht="15.75" customHeight="1" x14ac:dyDescent="0.25">
      <c r="A30" s="147"/>
      <c r="B30" s="162" t="s">
        <v>169</v>
      </c>
      <c r="C30" s="158">
        <f>SUM(C27:C29)</f>
        <v>58912253</v>
      </c>
      <c r="D30" s="158">
        <f>SUM(D27:D29)</f>
        <v>62857513</v>
      </c>
      <c r="E30" s="158">
        <f>+D30-C30</f>
        <v>3945260</v>
      </c>
      <c r="F30" s="159">
        <f>IF(C30=0,0,E30/C30)</f>
        <v>6.6968411477999326E-2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48355907</v>
      </c>
      <c r="D33" s="157">
        <v>48323324</v>
      </c>
      <c r="E33" s="157">
        <f>+D33-C33</f>
        <v>-32583</v>
      </c>
      <c r="F33" s="161">
        <f>IF(C33=0,0,E33/C33)</f>
        <v>-6.7381633437255139E-4</v>
      </c>
    </row>
    <row r="34" spans="1:6" ht="15" customHeight="1" x14ac:dyDescent="0.2">
      <c r="A34" s="147">
        <v>2</v>
      </c>
      <c r="B34" s="160" t="s">
        <v>173</v>
      </c>
      <c r="C34" s="157">
        <v>25357779</v>
      </c>
      <c r="D34" s="157">
        <v>28412785</v>
      </c>
      <c r="E34" s="157">
        <f>+D34-C34</f>
        <v>3055006</v>
      </c>
      <c r="F34" s="161">
        <f>IF(C34=0,0,E34/C34)</f>
        <v>0.12047608743652194</v>
      </c>
    </row>
    <row r="35" spans="1:6" ht="15.75" customHeight="1" x14ac:dyDescent="0.25">
      <c r="A35" s="147"/>
      <c r="B35" s="162" t="s">
        <v>174</v>
      </c>
      <c r="C35" s="158">
        <f>SUM(C33:C34)</f>
        <v>73713686</v>
      </c>
      <c r="D35" s="158">
        <f>SUM(D33:D34)</f>
        <v>76736109</v>
      </c>
      <c r="E35" s="158">
        <f>+D35-C35</f>
        <v>3022423</v>
      </c>
      <c r="F35" s="159">
        <f>IF(C35=0,0,E35/C35)</f>
        <v>4.1002195982982048E-2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11470670</v>
      </c>
      <c r="D38" s="157">
        <v>12651458</v>
      </c>
      <c r="E38" s="157">
        <f>+D38-C38</f>
        <v>1180788</v>
      </c>
      <c r="F38" s="161">
        <f>IF(C38=0,0,E38/C38)</f>
        <v>0.10293975853197765</v>
      </c>
    </row>
    <row r="39" spans="1:6" ht="15" customHeight="1" x14ac:dyDescent="0.2">
      <c r="A39" s="147">
        <v>2</v>
      </c>
      <c r="B39" s="160" t="s">
        <v>178</v>
      </c>
      <c r="C39" s="157">
        <v>18309761</v>
      </c>
      <c r="D39" s="157">
        <v>18780906</v>
      </c>
      <c r="E39" s="157">
        <f>+D39-C39</f>
        <v>471145</v>
      </c>
      <c r="F39" s="161">
        <f>IF(C39=0,0,E39/C39)</f>
        <v>2.5731903327410991E-2</v>
      </c>
    </row>
    <row r="40" spans="1:6" ht="15" customHeight="1" x14ac:dyDescent="0.2">
      <c r="A40" s="147">
        <v>3</v>
      </c>
      <c r="B40" s="160" t="s">
        <v>179</v>
      </c>
      <c r="C40" s="157">
        <v>252782</v>
      </c>
      <c r="D40" s="157">
        <v>249803</v>
      </c>
      <c r="E40" s="157">
        <f>+D40-C40</f>
        <v>-2979</v>
      </c>
      <c r="F40" s="161">
        <f>IF(C40=0,0,E40/C40)</f>
        <v>-1.178485809907351E-2</v>
      </c>
    </row>
    <row r="41" spans="1:6" ht="15.75" customHeight="1" x14ac:dyDescent="0.25">
      <c r="A41" s="147"/>
      <c r="B41" s="162" t="s">
        <v>180</v>
      </c>
      <c r="C41" s="158">
        <f>SUM(C38:C40)</f>
        <v>30033213</v>
      </c>
      <c r="D41" s="158">
        <f>SUM(D38:D40)</f>
        <v>31682167</v>
      </c>
      <c r="E41" s="158">
        <f>+D41-C41</f>
        <v>1648954</v>
      </c>
      <c r="F41" s="159">
        <f>IF(C41=0,0,E41/C41)</f>
        <v>5.490434872885562E-2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3984131</v>
      </c>
      <c r="D47" s="157">
        <v>4557028</v>
      </c>
      <c r="E47" s="157">
        <f>+D47-C47</f>
        <v>572897</v>
      </c>
      <c r="F47" s="161">
        <f>IF(C47=0,0,E47/C47)</f>
        <v>0.14379471960133841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5581123</v>
      </c>
      <c r="D50" s="157">
        <v>7495741</v>
      </c>
      <c r="E50" s="157">
        <f>+D50-C50</f>
        <v>1914618</v>
      </c>
      <c r="F50" s="161">
        <f>IF(C50=0,0,E50/C50)</f>
        <v>0.34305246453088384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554513</v>
      </c>
      <c r="D53" s="157">
        <v>613113</v>
      </c>
      <c r="E53" s="157">
        <f t="shared" ref="E53:E59" si="0">+D53-C53</f>
        <v>58600</v>
      </c>
      <c r="F53" s="161">
        <f t="shared" ref="F53:F59" si="1">IF(C53=0,0,E53/C53)</f>
        <v>0.10567831592766987</v>
      </c>
    </row>
    <row r="54" spans="1:6" ht="15" customHeight="1" x14ac:dyDescent="0.2">
      <c r="A54" s="147">
        <v>2</v>
      </c>
      <c r="B54" s="160" t="s">
        <v>189</v>
      </c>
      <c r="C54" s="157">
        <v>133529</v>
      </c>
      <c r="D54" s="157">
        <v>147991</v>
      </c>
      <c r="E54" s="157">
        <f t="shared" si="0"/>
        <v>14462</v>
      </c>
      <c r="F54" s="161">
        <f t="shared" si="1"/>
        <v>0.10830606085569427</v>
      </c>
    </row>
    <row r="55" spans="1:6" ht="15" customHeight="1" x14ac:dyDescent="0.2">
      <c r="A55" s="147">
        <v>3</v>
      </c>
      <c r="B55" s="160" t="s">
        <v>190</v>
      </c>
      <c r="C55" s="157">
        <v>2003476</v>
      </c>
      <c r="D55" s="157">
        <v>2348248</v>
      </c>
      <c r="E55" s="157">
        <f t="shared" si="0"/>
        <v>344772</v>
      </c>
      <c r="F55" s="161">
        <f t="shared" si="1"/>
        <v>0.17208691294530107</v>
      </c>
    </row>
    <row r="56" spans="1:6" ht="15" customHeight="1" x14ac:dyDescent="0.2">
      <c r="A56" s="147">
        <v>4</v>
      </c>
      <c r="B56" s="160" t="s">
        <v>191</v>
      </c>
      <c r="C56" s="157">
        <v>1639447</v>
      </c>
      <c r="D56" s="157">
        <v>1557846</v>
      </c>
      <c r="E56" s="157">
        <f t="shared" si="0"/>
        <v>-81601</v>
      </c>
      <c r="F56" s="161">
        <f t="shared" si="1"/>
        <v>-4.9773490695338124E-2</v>
      </c>
    </row>
    <row r="57" spans="1:6" ht="15" customHeight="1" x14ac:dyDescent="0.2">
      <c r="A57" s="147">
        <v>5</v>
      </c>
      <c r="B57" s="160" t="s">
        <v>192</v>
      </c>
      <c r="C57" s="157">
        <v>799668</v>
      </c>
      <c r="D57" s="157">
        <v>848158</v>
      </c>
      <c r="E57" s="157">
        <f t="shared" si="0"/>
        <v>48490</v>
      </c>
      <c r="F57" s="161">
        <f t="shared" si="1"/>
        <v>6.0637664630821791E-2</v>
      </c>
    </row>
    <row r="58" spans="1:6" ht="15" customHeight="1" x14ac:dyDescent="0.2">
      <c r="A58" s="147">
        <v>6</v>
      </c>
      <c r="B58" s="160" t="s">
        <v>193</v>
      </c>
      <c r="C58" s="157">
        <v>30466</v>
      </c>
      <c r="D58" s="157">
        <v>35971</v>
      </c>
      <c r="E58" s="157">
        <f t="shared" si="0"/>
        <v>5505</v>
      </c>
      <c r="F58" s="161">
        <f t="shared" si="1"/>
        <v>0.18069323179938293</v>
      </c>
    </row>
    <row r="59" spans="1:6" ht="15.75" customHeight="1" x14ac:dyDescent="0.25">
      <c r="A59" s="147"/>
      <c r="B59" s="162" t="s">
        <v>194</v>
      </c>
      <c r="C59" s="158">
        <f>SUM(C53:C58)</f>
        <v>5161099</v>
      </c>
      <c r="D59" s="158">
        <f>SUM(D53:D58)</f>
        <v>5551327</v>
      </c>
      <c r="E59" s="158">
        <f t="shared" si="0"/>
        <v>390228</v>
      </c>
      <c r="F59" s="159">
        <f t="shared" si="1"/>
        <v>7.5609477748828299E-2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391799</v>
      </c>
      <c r="D62" s="157">
        <v>315391</v>
      </c>
      <c r="E62" s="157">
        <f t="shared" ref="E62:E90" si="2">+D62-C62</f>
        <v>-76408</v>
      </c>
      <c r="F62" s="161">
        <f t="shared" ref="F62:F90" si="3">IF(C62=0,0,E62/C62)</f>
        <v>-0.19501836400807557</v>
      </c>
    </row>
    <row r="63" spans="1:6" ht="15" customHeight="1" x14ac:dyDescent="0.2">
      <c r="A63" s="147">
        <v>2</v>
      </c>
      <c r="B63" s="160" t="s">
        <v>198</v>
      </c>
      <c r="C63" s="157">
        <v>1628646</v>
      </c>
      <c r="D63" s="157">
        <v>1797527</v>
      </c>
      <c r="E63" s="157">
        <f t="shared" si="2"/>
        <v>168881</v>
      </c>
      <c r="F63" s="161">
        <f t="shared" si="3"/>
        <v>0.10369411155033076</v>
      </c>
    </row>
    <row r="64" spans="1:6" ht="15" customHeight="1" x14ac:dyDescent="0.2">
      <c r="A64" s="147">
        <v>3</v>
      </c>
      <c r="B64" s="160" t="s">
        <v>199</v>
      </c>
      <c r="C64" s="157">
        <v>3453870</v>
      </c>
      <c r="D64" s="157">
        <v>3908677</v>
      </c>
      <c r="E64" s="157">
        <f t="shared" si="2"/>
        <v>454807</v>
      </c>
      <c r="F64" s="161">
        <f t="shared" si="3"/>
        <v>0.13168040487916452</v>
      </c>
    </row>
    <row r="65" spans="1:6" ht="15" customHeight="1" x14ac:dyDescent="0.2">
      <c r="A65" s="147">
        <v>4</v>
      </c>
      <c r="B65" s="160" t="s">
        <v>200</v>
      </c>
      <c r="C65" s="157">
        <v>2569247</v>
      </c>
      <c r="D65" s="157">
        <v>2856041</v>
      </c>
      <c r="E65" s="157">
        <f t="shared" si="2"/>
        <v>286794</v>
      </c>
      <c r="F65" s="161">
        <f t="shared" si="3"/>
        <v>0.11162570200529572</v>
      </c>
    </row>
    <row r="66" spans="1:6" ht="15" customHeight="1" x14ac:dyDescent="0.2">
      <c r="A66" s="147">
        <v>5</v>
      </c>
      <c r="B66" s="160" t="s">
        <v>201</v>
      </c>
      <c r="C66" s="157">
        <v>7967245</v>
      </c>
      <c r="D66" s="157">
        <v>8070816</v>
      </c>
      <c r="E66" s="157">
        <f t="shared" si="2"/>
        <v>103571</v>
      </c>
      <c r="F66" s="161">
        <f t="shared" si="3"/>
        <v>1.2999600238225384E-2</v>
      </c>
    </row>
    <row r="67" spans="1:6" ht="15" customHeight="1" x14ac:dyDescent="0.2">
      <c r="A67" s="147">
        <v>6</v>
      </c>
      <c r="B67" s="160" t="s">
        <v>202</v>
      </c>
      <c r="C67" s="157">
        <v>0</v>
      </c>
      <c r="D67" s="157">
        <v>0</v>
      </c>
      <c r="E67" s="157">
        <f t="shared" si="2"/>
        <v>0</v>
      </c>
      <c r="F67" s="161">
        <f t="shared" si="3"/>
        <v>0</v>
      </c>
    </row>
    <row r="68" spans="1:6" ht="15" customHeight="1" x14ac:dyDescent="0.2">
      <c r="A68" s="147">
        <v>7</v>
      </c>
      <c r="B68" s="160" t="s">
        <v>203</v>
      </c>
      <c r="C68" s="157">
        <v>9317105</v>
      </c>
      <c r="D68" s="157">
        <v>9840746</v>
      </c>
      <c r="E68" s="157">
        <f t="shared" si="2"/>
        <v>523641</v>
      </c>
      <c r="F68" s="161">
        <f t="shared" si="3"/>
        <v>5.620211428335304E-2</v>
      </c>
    </row>
    <row r="69" spans="1:6" ht="15" customHeight="1" x14ac:dyDescent="0.2">
      <c r="A69" s="147">
        <v>8</v>
      </c>
      <c r="B69" s="160" t="s">
        <v>204</v>
      </c>
      <c r="C69" s="157">
        <v>1583667</v>
      </c>
      <c r="D69" s="157">
        <v>1084449</v>
      </c>
      <c r="E69" s="157">
        <f t="shared" si="2"/>
        <v>-499218</v>
      </c>
      <c r="F69" s="161">
        <f t="shared" si="3"/>
        <v>-0.31522914855206302</v>
      </c>
    </row>
    <row r="70" spans="1:6" ht="15" customHeight="1" x14ac:dyDescent="0.2">
      <c r="A70" s="147">
        <v>9</v>
      </c>
      <c r="B70" s="160" t="s">
        <v>205</v>
      </c>
      <c r="C70" s="157">
        <v>743827</v>
      </c>
      <c r="D70" s="157">
        <v>730366</v>
      </c>
      <c r="E70" s="157">
        <f t="shared" si="2"/>
        <v>-13461</v>
      </c>
      <c r="F70" s="161">
        <f t="shared" si="3"/>
        <v>-1.8096949962827378E-2</v>
      </c>
    </row>
    <row r="71" spans="1:6" ht="15" customHeight="1" x14ac:dyDescent="0.2">
      <c r="A71" s="147">
        <v>10</v>
      </c>
      <c r="B71" s="160" t="s">
        <v>206</v>
      </c>
      <c r="C71" s="157">
        <v>472599</v>
      </c>
      <c r="D71" s="157">
        <v>454789</v>
      </c>
      <c r="E71" s="157">
        <f t="shared" si="2"/>
        <v>-17810</v>
      </c>
      <c r="F71" s="161">
        <f t="shared" si="3"/>
        <v>-3.7685225741061659E-2</v>
      </c>
    </row>
    <row r="72" spans="1:6" ht="15" customHeight="1" x14ac:dyDescent="0.2">
      <c r="A72" s="147">
        <v>11</v>
      </c>
      <c r="B72" s="160" t="s">
        <v>207</v>
      </c>
      <c r="C72" s="157">
        <v>269461</v>
      </c>
      <c r="D72" s="157">
        <v>244372</v>
      </c>
      <c r="E72" s="157">
        <f t="shared" si="2"/>
        <v>-25089</v>
      </c>
      <c r="F72" s="161">
        <f t="shared" si="3"/>
        <v>-9.310809356456036E-2</v>
      </c>
    </row>
    <row r="73" spans="1:6" ht="15" customHeight="1" x14ac:dyDescent="0.2">
      <c r="A73" s="147">
        <v>12</v>
      </c>
      <c r="B73" s="160" t="s">
        <v>208</v>
      </c>
      <c r="C73" s="157">
        <v>779274</v>
      </c>
      <c r="D73" s="157">
        <v>940741</v>
      </c>
      <c r="E73" s="157">
        <f t="shared" si="2"/>
        <v>161467</v>
      </c>
      <c r="F73" s="161">
        <f t="shared" si="3"/>
        <v>0.20720183144824542</v>
      </c>
    </row>
    <row r="74" spans="1:6" ht="15" customHeight="1" x14ac:dyDescent="0.2">
      <c r="A74" s="147">
        <v>13</v>
      </c>
      <c r="B74" s="160" t="s">
        <v>209</v>
      </c>
      <c r="C74" s="157">
        <v>255940</v>
      </c>
      <c r="D74" s="157">
        <v>288984</v>
      </c>
      <c r="E74" s="157">
        <f t="shared" si="2"/>
        <v>33044</v>
      </c>
      <c r="F74" s="161">
        <f t="shared" si="3"/>
        <v>0.12910838477768227</v>
      </c>
    </row>
    <row r="75" spans="1:6" ht="15" customHeight="1" x14ac:dyDescent="0.2">
      <c r="A75" s="147">
        <v>14</v>
      </c>
      <c r="B75" s="160" t="s">
        <v>210</v>
      </c>
      <c r="C75" s="157">
        <v>673582</v>
      </c>
      <c r="D75" s="157">
        <v>767034</v>
      </c>
      <c r="E75" s="157">
        <f t="shared" si="2"/>
        <v>93452</v>
      </c>
      <c r="F75" s="161">
        <f t="shared" si="3"/>
        <v>0.13873886178668671</v>
      </c>
    </row>
    <row r="76" spans="1:6" ht="15" customHeight="1" x14ac:dyDescent="0.2">
      <c r="A76" s="147">
        <v>15</v>
      </c>
      <c r="B76" s="160" t="s">
        <v>211</v>
      </c>
      <c r="C76" s="157">
        <v>781362</v>
      </c>
      <c r="D76" s="157">
        <v>1335419</v>
      </c>
      <c r="E76" s="157">
        <f t="shared" si="2"/>
        <v>554057</v>
      </c>
      <c r="F76" s="161">
        <f t="shared" si="3"/>
        <v>0.70909130467056247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9811410</v>
      </c>
      <c r="D78" s="157">
        <v>11673124</v>
      </c>
      <c r="E78" s="157">
        <f t="shared" si="2"/>
        <v>1861714</v>
      </c>
      <c r="F78" s="161">
        <f t="shared" si="3"/>
        <v>0.18974989323654806</v>
      </c>
    </row>
    <row r="79" spans="1:6" ht="15" customHeight="1" x14ac:dyDescent="0.2">
      <c r="A79" s="147">
        <v>18</v>
      </c>
      <c r="B79" s="160" t="s">
        <v>214</v>
      </c>
      <c r="C79" s="157">
        <v>277057</v>
      </c>
      <c r="D79" s="157">
        <v>366101</v>
      </c>
      <c r="E79" s="157">
        <f t="shared" si="2"/>
        <v>89044</v>
      </c>
      <c r="F79" s="161">
        <f t="shared" si="3"/>
        <v>0.32139234886683965</v>
      </c>
    </row>
    <row r="80" spans="1:6" ht="15" customHeight="1" x14ac:dyDescent="0.2">
      <c r="A80" s="147">
        <v>19</v>
      </c>
      <c r="B80" s="160" t="s">
        <v>215</v>
      </c>
      <c r="C80" s="157">
        <v>5911120</v>
      </c>
      <c r="D80" s="157">
        <v>6301087</v>
      </c>
      <c r="E80" s="157">
        <f t="shared" si="2"/>
        <v>389967</v>
      </c>
      <c r="F80" s="161">
        <f t="shared" si="3"/>
        <v>6.5971761696598949E-2</v>
      </c>
    </row>
    <row r="81" spans="1:6" ht="15" customHeight="1" x14ac:dyDescent="0.2">
      <c r="A81" s="147">
        <v>20</v>
      </c>
      <c r="B81" s="160" t="s">
        <v>216</v>
      </c>
      <c r="C81" s="157">
        <v>5044307</v>
      </c>
      <c r="D81" s="157">
        <v>4370688</v>
      </c>
      <c r="E81" s="157">
        <f t="shared" si="2"/>
        <v>-673619</v>
      </c>
      <c r="F81" s="161">
        <f t="shared" si="3"/>
        <v>-0.13354044470330612</v>
      </c>
    </row>
    <row r="82" spans="1:6" ht="15" customHeight="1" x14ac:dyDescent="0.2">
      <c r="A82" s="147">
        <v>21</v>
      </c>
      <c r="B82" s="160" t="s">
        <v>217</v>
      </c>
      <c r="C82" s="157">
        <v>2735697</v>
      </c>
      <c r="D82" s="157">
        <v>2607958</v>
      </c>
      <c r="E82" s="157">
        <f t="shared" si="2"/>
        <v>-127739</v>
      </c>
      <c r="F82" s="161">
        <f t="shared" si="3"/>
        <v>-4.6693402083637189E-2</v>
      </c>
    </row>
    <row r="83" spans="1:6" ht="15" customHeight="1" x14ac:dyDescent="0.2">
      <c r="A83" s="147">
        <v>22</v>
      </c>
      <c r="B83" s="160" t="s">
        <v>218</v>
      </c>
      <c r="C83" s="157">
        <v>991221</v>
      </c>
      <c r="D83" s="157">
        <v>1073077</v>
      </c>
      <c r="E83" s="157">
        <f t="shared" si="2"/>
        <v>81856</v>
      </c>
      <c r="F83" s="161">
        <f t="shared" si="3"/>
        <v>8.2580978409456621E-2</v>
      </c>
    </row>
    <row r="84" spans="1:6" ht="15" customHeight="1" x14ac:dyDescent="0.2">
      <c r="A84" s="147">
        <v>23</v>
      </c>
      <c r="B84" s="160" t="s">
        <v>219</v>
      </c>
      <c r="C84" s="157">
        <v>1509000</v>
      </c>
      <c r="D84" s="157">
        <v>1505200</v>
      </c>
      <c r="E84" s="157">
        <f t="shared" si="2"/>
        <v>-3800</v>
      </c>
      <c r="F84" s="161">
        <f t="shared" si="3"/>
        <v>-2.5182239893969515E-3</v>
      </c>
    </row>
    <row r="85" spans="1:6" ht="15" customHeight="1" x14ac:dyDescent="0.2">
      <c r="A85" s="147">
        <v>24</v>
      </c>
      <c r="B85" s="160" t="s">
        <v>220</v>
      </c>
      <c r="C85" s="157">
        <v>249668</v>
      </c>
      <c r="D85" s="157">
        <v>262395</v>
      </c>
      <c r="E85" s="157">
        <f t="shared" si="2"/>
        <v>12727</v>
      </c>
      <c r="F85" s="161">
        <f t="shared" si="3"/>
        <v>5.0975695723921369E-2</v>
      </c>
    </row>
    <row r="86" spans="1:6" ht="15" customHeight="1" x14ac:dyDescent="0.2">
      <c r="A86" s="147">
        <v>25</v>
      </c>
      <c r="B86" s="160" t="s">
        <v>221</v>
      </c>
      <c r="C86" s="157">
        <v>409631</v>
      </c>
      <c r="D86" s="157">
        <v>378458</v>
      </c>
      <c r="E86" s="157">
        <f t="shared" si="2"/>
        <v>-31173</v>
      </c>
      <c r="F86" s="161">
        <f t="shared" si="3"/>
        <v>-7.6100197494818514E-2</v>
      </c>
    </row>
    <row r="87" spans="1:6" ht="15" customHeight="1" x14ac:dyDescent="0.2">
      <c r="A87" s="147">
        <v>26</v>
      </c>
      <c r="B87" s="160" t="s">
        <v>222</v>
      </c>
      <c r="C87" s="157">
        <v>262406</v>
      </c>
      <c r="D87" s="157">
        <v>208057</v>
      </c>
      <c r="E87" s="157">
        <f t="shared" si="2"/>
        <v>-54349</v>
      </c>
      <c r="F87" s="161">
        <f t="shared" si="3"/>
        <v>-0.20711797748527092</v>
      </c>
    </row>
    <row r="88" spans="1:6" ht="15" customHeight="1" x14ac:dyDescent="0.2">
      <c r="A88" s="147">
        <v>27</v>
      </c>
      <c r="B88" s="160" t="s">
        <v>223</v>
      </c>
      <c r="C88" s="157">
        <v>11754430</v>
      </c>
      <c r="D88" s="157">
        <v>13913062</v>
      </c>
      <c r="E88" s="157">
        <f t="shared" si="2"/>
        <v>2158632</v>
      </c>
      <c r="F88" s="161">
        <f t="shared" si="3"/>
        <v>0.18364412396007293</v>
      </c>
    </row>
    <row r="89" spans="1:6" ht="15" customHeight="1" x14ac:dyDescent="0.2">
      <c r="A89" s="147">
        <v>28</v>
      </c>
      <c r="B89" s="160" t="s">
        <v>224</v>
      </c>
      <c r="C89" s="157">
        <v>0</v>
      </c>
      <c r="D89" s="157">
        <v>0</v>
      </c>
      <c r="E89" s="157">
        <f t="shared" si="2"/>
        <v>0</v>
      </c>
      <c r="F89" s="161">
        <f t="shared" si="3"/>
        <v>0</v>
      </c>
    </row>
    <row r="90" spans="1:6" ht="15.75" customHeight="1" x14ac:dyDescent="0.25">
      <c r="A90" s="147"/>
      <c r="B90" s="162" t="s">
        <v>225</v>
      </c>
      <c r="C90" s="158">
        <f>SUM(C62:C89)</f>
        <v>69843571</v>
      </c>
      <c r="D90" s="158">
        <f>SUM(D62:D89)</f>
        <v>75294559</v>
      </c>
      <c r="E90" s="158">
        <f t="shared" si="2"/>
        <v>5450988</v>
      </c>
      <c r="F90" s="159">
        <f t="shared" si="3"/>
        <v>7.8045665792202984E-2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486568594</v>
      </c>
      <c r="D95" s="158">
        <f>+D93+D90+D59+D50+D47+D44+D41+D35+D30+D24+D18</f>
        <v>502208728</v>
      </c>
      <c r="E95" s="158">
        <f>+D95-C95</f>
        <v>15640134</v>
      </c>
      <c r="F95" s="159">
        <f>IF(C95=0,0,E95/C95)</f>
        <v>3.2143739223744472E-2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54112719</v>
      </c>
      <c r="D103" s="157">
        <v>66594519</v>
      </c>
      <c r="E103" s="157">
        <f t="shared" ref="E103:E121" si="4">D103-C103</f>
        <v>12481800</v>
      </c>
      <c r="F103" s="161">
        <f t="shared" ref="F103:F121" si="5">IF(C103=0,0,E103/C103)</f>
        <v>0.23066296114227786</v>
      </c>
    </row>
    <row r="104" spans="1:6" ht="15" customHeight="1" x14ac:dyDescent="0.2">
      <c r="A104" s="147">
        <v>2</v>
      </c>
      <c r="B104" s="169" t="s">
        <v>234</v>
      </c>
      <c r="C104" s="157">
        <v>1126417</v>
      </c>
      <c r="D104" s="157">
        <v>1122131</v>
      </c>
      <c r="E104" s="157">
        <f t="shared" si="4"/>
        <v>-4286</v>
      </c>
      <c r="F104" s="161">
        <f t="shared" si="5"/>
        <v>-3.8049851875459977E-3</v>
      </c>
    </row>
    <row r="105" spans="1:6" ht="15" customHeight="1" x14ac:dyDescent="0.2">
      <c r="A105" s="147">
        <v>3</v>
      </c>
      <c r="B105" s="169" t="s">
        <v>235</v>
      </c>
      <c r="C105" s="157">
        <v>5482141</v>
      </c>
      <c r="D105" s="157">
        <v>5045770</v>
      </c>
      <c r="E105" s="157">
        <f t="shared" si="4"/>
        <v>-436371</v>
      </c>
      <c r="F105" s="161">
        <f t="shared" si="5"/>
        <v>-7.959864585752173E-2</v>
      </c>
    </row>
    <row r="106" spans="1:6" ht="15" customHeight="1" x14ac:dyDescent="0.2">
      <c r="A106" s="147">
        <v>4</v>
      </c>
      <c r="B106" s="169" t="s">
        <v>236</v>
      </c>
      <c r="C106" s="157">
        <v>2068878</v>
      </c>
      <c r="D106" s="157">
        <v>0</v>
      </c>
      <c r="E106" s="157">
        <f t="shared" si="4"/>
        <v>-2068878</v>
      </c>
      <c r="F106" s="161">
        <f t="shared" si="5"/>
        <v>-1</v>
      </c>
    </row>
    <row r="107" spans="1:6" ht="15" customHeight="1" x14ac:dyDescent="0.2">
      <c r="A107" s="147">
        <v>5</v>
      </c>
      <c r="B107" s="169" t="s">
        <v>237</v>
      </c>
      <c r="C107" s="157">
        <v>28351257</v>
      </c>
      <c r="D107" s="157">
        <v>31632970</v>
      </c>
      <c r="E107" s="157">
        <f t="shared" si="4"/>
        <v>3281713</v>
      </c>
      <c r="F107" s="161">
        <f t="shared" si="5"/>
        <v>0.11575194002862024</v>
      </c>
    </row>
    <row r="108" spans="1:6" ht="15" customHeight="1" x14ac:dyDescent="0.2">
      <c r="A108" s="147">
        <v>6</v>
      </c>
      <c r="B108" s="169" t="s">
        <v>238</v>
      </c>
      <c r="C108" s="157">
        <v>2404396</v>
      </c>
      <c r="D108" s="157">
        <v>2589645</v>
      </c>
      <c r="E108" s="157">
        <f t="shared" si="4"/>
        <v>185249</v>
      </c>
      <c r="F108" s="161">
        <f t="shared" si="5"/>
        <v>7.7045960815106992E-2</v>
      </c>
    </row>
    <row r="109" spans="1:6" ht="15" customHeight="1" x14ac:dyDescent="0.2">
      <c r="A109" s="147">
        <v>7</v>
      </c>
      <c r="B109" s="169" t="s">
        <v>239</v>
      </c>
      <c r="C109" s="157">
        <v>3342633</v>
      </c>
      <c r="D109" s="157">
        <v>3535172</v>
      </c>
      <c r="E109" s="157">
        <f t="shared" si="4"/>
        <v>192539</v>
      </c>
      <c r="F109" s="161">
        <f t="shared" si="5"/>
        <v>5.7600998972965327E-2</v>
      </c>
    </row>
    <row r="110" spans="1:6" ht="15" customHeight="1" x14ac:dyDescent="0.2">
      <c r="A110" s="147">
        <v>8</v>
      </c>
      <c r="B110" s="169" t="s">
        <v>240</v>
      </c>
      <c r="C110" s="157">
        <v>0</v>
      </c>
      <c r="D110" s="157">
        <v>0</v>
      </c>
      <c r="E110" s="157">
        <f t="shared" si="4"/>
        <v>0</v>
      </c>
      <c r="F110" s="161">
        <f t="shared" si="5"/>
        <v>0</v>
      </c>
    </row>
    <row r="111" spans="1:6" ht="15" customHeight="1" x14ac:dyDescent="0.2">
      <c r="A111" s="147">
        <v>9</v>
      </c>
      <c r="B111" s="169" t="s">
        <v>241</v>
      </c>
      <c r="C111" s="157">
        <v>1529799</v>
      </c>
      <c r="D111" s="157">
        <v>1749332</v>
      </c>
      <c r="E111" s="157">
        <f t="shared" si="4"/>
        <v>219533</v>
      </c>
      <c r="F111" s="161">
        <f t="shared" si="5"/>
        <v>0.14350447346350731</v>
      </c>
    </row>
    <row r="112" spans="1:6" ht="15" customHeight="1" x14ac:dyDescent="0.2">
      <c r="A112" s="147">
        <v>10</v>
      </c>
      <c r="B112" s="169" t="s">
        <v>242</v>
      </c>
      <c r="C112" s="157">
        <v>5372241</v>
      </c>
      <c r="D112" s="157">
        <v>5755299</v>
      </c>
      <c r="E112" s="157">
        <f t="shared" si="4"/>
        <v>383058</v>
      </c>
      <c r="F112" s="161">
        <f t="shared" si="5"/>
        <v>7.1303204751983387E-2</v>
      </c>
    </row>
    <row r="113" spans="1:6" ht="15" customHeight="1" x14ac:dyDescent="0.2">
      <c r="A113" s="147">
        <v>11</v>
      </c>
      <c r="B113" s="169" t="s">
        <v>243</v>
      </c>
      <c r="C113" s="157">
        <v>5421719</v>
      </c>
      <c r="D113" s="157">
        <v>5070123</v>
      </c>
      <c r="E113" s="157">
        <f t="shared" si="4"/>
        <v>-351596</v>
      </c>
      <c r="F113" s="161">
        <f t="shared" si="5"/>
        <v>-6.4849543106162449E-2</v>
      </c>
    </row>
    <row r="114" spans="1:6" ht="15" customHeight="1" x14ac:dyDescent="0.2">
      <c r="A114" s="147">
        <v>12</v>
      </c>
      <c r="B114" s="169" t="s">
        <v>244</v>
      </c>
      <c r="C114" s="157">
        <v>82686</v>
      </c>
      <c r="D114" s="157">
        <v>77043</v>
      </c>
      <c r="E114" s="157">
        <f t="shared" si="4"/>
        <v>-5643</v>
      </c>
      <c r="F114" s="161">
        <f t="shared" si="5"/>
        <v>-6.8246135984326245E-2</v>
      </c>
    </row>
    <row r="115" spans="1:6" ht="15" customHeight="1" x14ac:dyDescent="0.2">
      <c r="A115" s="147">
        <v>13</v>
      </c>
      <c r="B115" s="169" t="s">
        <v>245</v>
      </c>
      <c r="C115" s="157">
        <v>8877110</v>
      </c>
      <c r="D115" s="157">
        <v>9825789</v>
      </c>
      <c r="E115" s="157">
        <f t="shared" si="4"/>
        <v>948679</v>
      </c>
      <c r="F115" s="161">
        <f t="shared" si="5"/>
        <v>0.10686800095977182</v>
      </c>
    </row>
    <row r="116" spans="1:6" ht="15" customHeight="1" x14ac:dyDescent="0.2">
      <c r="A116" s="147">
        <v>14</v>
      </c>
      <c r="B116" s="169" t="s">
        <v>246</v>
      </c>
      <c r="C116" s="157">
        <v>7429336</v>
      </c>
      <c r="D116" s="157">
        <v>7042175</v>
      </c>
      <c r="E116" s="157">
        <f t="shared" si="4"/>
        <v>-387161</v>
      </c>
      <c r="F116" s="161">
        <f t="shared" si="5"/>
        <v>-5.2112463348003103E-2</v>
      </c>
    </row>
    <row r="117" spans="1:6" ht="15" customHeight="1" x14ac:dyDescent="0.2">
      <c r="A117" s="147">
        <v>15</v>
      </c>
      <c r="B117" s="169" t="s">
        <v>203</v>
      </c>
      <c r="C117" s="157">
        <v>2769371</v>
      </c>
      <c r="D117" s="157">
        <v>3145257</v>
      </c>
      <c r="E117" s="157">
        <f t="shared" si="4"/>
        <v>375886</v>
      </c>
      <c r="F117" s="161">
        <f t="shared" si="5"/>
        <v>0.13572973790799428</v>
      </c>
    </row>
    <row r="118" spans="1:6" ht="15" customHeight="1" x14ac:dyDescent="0.2">
      <c r="A118" s="147">
        <v>16</v>
      </c>
      <c r="B118" s="169" t="s">
        <v>247</v>
      </c>
      <c r="C118" s="157">
        <v>2680334</v>
      </c>
      <c r="D118" s="157">
        <v>3340776</v>
      </c>
      <c r="E118" s="157">
        <f t="shared" si="4"/>
        <v>660442</v>
      </c>
      <c r="F118" s="161">
        <f t="shared" si="5"/>
        <v>0.24640287367171404</v>
      </c>
    </row>
    <row r="119" spans="1:6" ht="15" customHeight="1" x14ac:dyDescent="0.2">
      <c r="A119" s="147">
        <v>17</v>
      </c>
      <c r="B119" s="169" t="s">
        <v>248</v>
      </c>
      <c r="C119" s="157">
        <v>10558859</v>
      </c>
      <c r="D119" s="157">
        <v>11478010</v>
      </c>
      <c r="E119" s="157">
        <f t="shared" si="4"/>
        <v>919151</v>
      </c>
      <c r="F119" s="161">
        <f t="shared" si="5"/>
        <v>8.7050220104274531E-2</v>
      </c>
    </row>
    <row r="120" spans="1:6" ht="15" customHeight="1" x14ac:dyDescent="0.2">
      <c r="A120" s="147">
        <v>18</v>
      </c>
      <c r="B120" s="169" t="s">
        <v>249</v>
      </c>
      <c r="C120" s="157">
        <v>237184</v>
      </c>
      <c r="D120" s="157">
        <v>220415</v>
      </c>
      <c r="E120" s="157">
        <f t="shared" si="4"/>
        <v>-16769</v>
      </c>
      <c r="F120" s="161">
        <f t="shared" si="5"/>
        <v>-7.0700384511602807E-2</v>
      </c>
    </row>
    <row r="121" spans="1:6" ht="15.75" customHeight="1" x14ac:dyDescent="0.25">
      <c r="A121" s="147"/>
      <c r="B121" s="165" t="s">
        <v>250</v>
      </c>
      <c r="C121" s="158">
        <f>SUM(C103:C120)</f>
        <v>141847080</v>
      </c>
      <c r="D121" s="158">
        <f>SUM(D103:D120)</f>
        <v>158224426</v>
      </c>
      <c r="E121" s="158">
        <f t="shared" si="4"/>
        <v>16377346</v>
      </c>
      <c r="F121" s="159">
        <f t="shared" si="5"/>
        <v>0.1154577591586658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0</v>
      </c>
      <c r="D124" s="157">
        <v>0</v>
      </c>
      <c r="E124" s="157">
        <f t="shared" ref="E124:E130" si="6">D124-C124</f>
        <v>0</v>
      </c>
      <c r="F124" s="161">
        <f t="shared" ref="F124:F130" si="7">IF(C124=0,0,E124/C124)</f>
        <v>0</v>
      </c>
    </row>
    <row r="125" spans="1:6" ht="15" customHeight="1" x14ac:dyDescent="0.2">
      <c r="A125" s="147">
        <v>2</v>
      </c>
      <c r="B125" s="169" t="s">
        <v>253</v>
      </c>
      <c r="C125" s="157">
        <v>14903307</v>
      </c>
      <c r="D125" s="157">
        <v>14954642</v>
      </c>
      <c r="E125" s="157">
        <f t="shared" si="6"/>
        <v>51335</v>
      </c>
      <c r="F125" s="161">
        <f t="shared" si="7"/>
        <v>3.4445375110369798E-3</v>
      </c>
    </row>
    <row r="126" spans="1:6" ht="15" customHeight="1" x14ac:dyDescent="0.2">
      <c r="A126" s="147">
        <v>3</v>
      </c>
      <c r="B126" s="169" t="s">
        <v>254</v>
      </c>
      <c r="C126" s="157">
        <v>6961838</v>
      </c>
      <c r="D126" s="157">
        <v>6762892</v>
      </c>
      <c r="E126" s="157">
        <f t="shared" si="6"/>
        <v>-198946</v>
      </c>
      <c r="F126" s="161">
        <f t="shared" si="7"/>
        <v>-2.8576648867727171E-2</v>
      </c>
    </row>
    <row r="127" spans="1:6" ht="15" customHeight="1" x14ac:dyDescent="0.2">
      <c r="A127" s="147">
        <v>4</v>
      </c>
      <c r="B127" s="169" t="s">
        <v>255</v>
      </c>
      <c r="C127" s="157">
        <v>2053130</v>
      </c>
      <c r="D127" s="157">
        <v>2082356</v>
      </c>
      <c r="E127" s="157">
        <f t="shared" si="6"/>
        <v>29226</v>
      </c>
      <c r="F127" s="161">
        <f t="shared" si="7"/>
        <v>1.4234851178444618E-2</v>
      </c>
    </row>
    <row r="128" spans="1:6" ht="15" customHeight="1" x14ac:dyDescent="0.2">
      <c r="A128" s="147">
        <v>5</v>
      </c>
      <c r="B128" s="169" t="s">
        <v>256</v>
      </c>
      <c r="C128" s="157">
        <v>3693673</v>
      </c>
      <c r="D128" s="157">
        <v>3655827</v>
      </c>
      <c r="E128" s="157">
        <f t="shared" si="6"/>
        <v>-37846</v>
      </c>
      <c r="F128" s="161">
        <f t="shared" si="7"/>
        <v>-1.024616959866236E-2</v>
      </c>
    </row>
    <row r="129" spans="1:6" ht="15" customHeight="1" x14ac:dyDescent="0.2">
      <c r="A129" s="147">
        <v>6</v>
      </c>
      <c r="B129" s="169" t="s">
        <v>257</v>
      </c>
      <c r="C129" s="157">
        <v>317455</v>
      </c>
      <c r="D129" s="157">
        <v>45678</v>
      </c>
      <c r="E129" s="157">
        <f t="shared" si="6"/>
        <v>-271777</v>
      </c>
      <c r="F129" s="161">
        <f t="shared" si="7"/>
        <v>-0.85611188987415543</v>
      </c>
    </row>
    <row r="130" spans="1:6" ht="15.75" customHeight="1" x14ac:dyDescent="0.25">
      <c r="A130" s="147"/>
      <c r="B130" s="165" t="s">
        <v>258</v>
      </c>
      <c r="C130" s="158">
        <f>SUM(C124:C129)</f>
        <v>27929403</v>
      </c>
      <c r="D130" s="158">
        <f>SUM(D124:D129)</f>
        <v>27501395</v>
      </c>
      <c r="E130" s="158">
        <f t="shared" si="6"/>
        <v>-428008</v>
      </c>
      <c r="F130" s="159">
        <f t="shared" si="7"/>
        <v>-1.5324638339029303E-2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46319722</v>
      </c>
      <c r="D133" s="157">
        <v>47399739</v>
      </c>
      <c r="E133" s="157">
        <f t="shared" ref="E133:E167" si="8">D133-C133</f>
        <v>1080017</v>
      </c>
      <c r="F133" s="161">
        <f t="shared" ref="F133:F167" si="9">IF(C133=0,0,E133/C133)</f>
        <v>2.3316569127940792E-2</v>
      </c>
    </row>
    <row r="134" spans="1:6" ht="15" customHeight="1" x14ac:dyDescent="0.2">
      <c r="A134" s="147">
        <v>2</v>
      </c>
      <c r="B134" s="169" t="s">
        <v>261</v>
      </c>
      <c r="C134" s="157">
        <v>3511075</v>
      </c>
      <c r="D134" s="157">
        <v>3508568</v>
      </c>
      <c r="E134" s="157">
        <f t="shared" si="8"/>
        <v>-2507</v>
      </c>
      <c r="F134" s="161">
        <f t="shared" si="9"/>
        <v>-7.1402633096701148E-4</v>
      </c>
    </row>
    <row r="135" spans="1:6" ht="15" customHeight="1" x14ac:dyDescent="0.2">
      <c r="A135" s="147">
        <v>3</v>
      </c>
      <c r="B135" s="169" t="s">
        <v>262</v>
      </c>
      <c r="C135" s="157">
        <v>4040899</v>
      </c>
      <c r="D135" s="157">
        <v>3565343</v>
      </c>
      <c r="E135" s="157">
        <f t="shared" si="8"/>
        <v>-475556</v>
      </c>
      <c r="F135" s="161">
        <f t="shared" si="9"/>
        <v>-0.11768569320836775</v>
      </c>
    </row>
    <row r="136" spans="1:6" ht="15" customHeight="1" x14ac:dyDescent="0.2">
      <c r="A136" s="147">
        <v>4</v>
      </c>
      <c r="B136" s="169" t="s">
        <v>263</v>
      </c>
      <c r="C136" s="157">
        <v>5622656</v>
      </c>
      <c r="D136" s="157">
        <v>5444193</v>
      </c>
      <c r="E136" s="157">
        <f t="shared" si="8"/>
        <v>-178463</v>
      </c>
      <c r="F136" s="161">
        <f t="shared" si="9"/>
        <v>-3.1739981958704214E-2</v>
      </c>
    </row>
    <row r="137" spans="1:6" ht="15" customHeight="1" x14ac:dyDescent="0.2">
      <c r="A137" s="147">
        <v>5</v>
      </c>
      <c r="B137" s="169" t="s">
        <v>264</v>
      </c>
      <c r="C137" s="157">
        <v>8537997</v>
      </c>
      <c r="D137" s="157">
        <v>8609731</v>
      </c>
      <c r="E137" s="157">
        <f t="shared" si="8"/>
        <v>71734</v>
      </c>
      <c r="F137" s="161">
        <f t="shared" si="9"/>
        <v>8.401736379153096E-3</v>
      </c>
    </row>
    <row r="138" spans="1:6" ht="15" customHeight="1" x14ac:dyDescent="0.2">
      <c r="A138" s="147">
        <v>6</v>
      </c>
      <c r="B138" s="169" t="s">
        <v>265</v>
      </c>
      <c r="C138" s="157">
        <v>1581236</v>
      </c>
      <c r="D138" s="157">
        <v>1393408</v>
      </c>
      <c r="E138" s="157">
        <f t="shared" si="8"/>
        <v>-187828</v>
      </c>
      <c r="F138" s="161">
        <f t="shared" si="9"/>
        <v>-0.11878555762707148</v>
      </c>
    </row>
    <row r="139" spans="1:6" ht="15" customHeight="1" x14ac:dyDescent="0.2">
      <c r="A139" s="147">
        <v>7</v>
      </c>
      <c r="B139" s="169" t="s">
        <v>266</v>
      </c>
      <c r="C139" s="157">
        <v>4476578</v>
      </c>
      <c r="D139" s="157">
        <v>4705392</v>
      </c>
      <c r="E139" s="157">
        <f t="shared" si="8"/>
        <v>228814</v>
      </c>
      <c r="F139" s="161">
        <f t="shared" si="9"/>
        <v>5.1113596144197644E-2</v>
      </c>
    </row>
    <row r="140" spans="1:6" ht="15" customHeight="1" x14ac:dyDescent="0.2">
      <c r="A140" s="147">
        <v>8</v>
      </c>
      <c r="B140" s="169" t="s">
        <v>267</v>
      </c>
      <c r="C140" s="157">
        <v>2249155</v>
      </c>
      <c r="D140" s="157">
        <v>2348806</v>
      </c>
      <c r="E140" s="157">
        <f t="shared" si="8"/>
        <v>99651</v>
      </c>
      <c r="F140" s="161">
        <f t="shared" si="9"/>
        <v>4.4305972687520422E-2</v>
      </c>
    </row>
    <row r="141" spans="1:6" ht="15" customHeight="1" x14ac:dyDescent="0.2">
      <c r="A141" s="147">
        <v>9</v>
      </c>
      <c r="B141" s="169" t="s">
        <v>268</v>
      </c>
      <c r="C141" s="157">
        <v>2100836</v>
      </c>
      <c r="D141" s="157">
        <v>2070417</v>
      </c>
      <c r="E141" s="157">
        <f t="shared" si="8"/>
        <v>-30419</v>
      </c>
      <c r="F141" s="161">
        <f t="shared" si="9"/>
        <v>-1.44794738856341E-2</v>
      </c>
    </row>
    <row r="142" spans="1:6" ht="15" customHeight="1" x14ac:dyDescent="0.2">
      <c r="A142" s="147">
        <v>10</v>
      </c>
      <c r="B142" s="169" t="s">
        <v>269</v>
      </c>
      <c r="C142" s="157">
        <v>26934688</v>
      </c>
      <c r="D142" s="157">
        <v>23846975</v>
      </c>
      <c r="E142" s="157">
        <f t="shared" si="8"/>
        <v>-3087713</v>
      </c>
      <c r="F142" s="161">
        <f t="shared" si="9"/>
        <v>-0.11463704350315845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17231800</v>
      </c>
      <c r="D144" s="157">
        <v>17643785</v>
      </c>
      <c r="E144" s="157">
        <f t="shared" si="8"/>
        <v>411985</v>
      </c>
      <c r="F144" s="161">
        <f t="shared" si="9"/>
        <v>2.3908413514548685E-2</v>
      </c>
    </row>
    <row r="145" spans="1:6" ht="15" customHeight="1" x14ac:dyDescent="0.2">
      <c r="A145" s="147">
        <v>13</v>
      </c>
      <c r="B145" s="169" t="s">
        <v>272</v>
      </c>
      <c r="C145" s="157">
        <v>204376</v>
      </c>
      <c r="D145" s="157">
        <v>187797</v>
      </c>
      <c r="E145" s="157">
        <f t="shared" si="8"/>
        <v>-16579</v>
      </c>
      <c r="F145" s="161">
        <f t="shared" si="9"/>
        <v>-8.1120092378752881E-2</v>
      </c>
    </row>
    <row r="146" spans="1:6" ht="15" customHeight="1" x14ac:dyDescent="0.2">
      <c r="A146" s="147">
        <v>14</v>
      </c>
      <c r="B146" s="169" t="s">
        <v>273</v>
      </c>
      <c r="C146" s="157">
        <v>155590</v>
      </c>
      <c r="D146" s="157">
        <v>25660</v>
      </c>
      <c r="E146" s="157">
        <f t="shared" si="8"/>
        <v>-129930</v>
      </c>
      <c r="F146" s="161">
        <f t="shared" si="9"/>
        <v>-0.8350793752811877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3207753</v>
      </c>
      <c r="D150" s="157">
        <v>3418877</v>
      </c>
      <c r="E150" s="157">
        <f t="shared" si="8"/>
        <v>211124</v>
      </c>
      <c r="F150" s="161">
        <f t="shared" si="9"/>
        <v>6.5816788262687304E-2</v>
      </c>
    </row>
    <row r="151" spans="1:6" ht="15" customHeight="1" x14ac:dyDescent="0.2">
      <c r="A151" s="147">
        <v>19</v>
      </c>
      <c r="B151" s="169" t="s">
        <v>278</v>
      </c>
      <c r="C151" s="157">
        <v>1867540</v>
      </c>
      <c r="D151" s="157">
        <v>2323293</v>
      </c>
      <c r="E151" s="157">
        <f t="shared" si="8"/>
        <v>455753</v>
      </c>
      <c r="F151" s="161">
        <f t="shared" si="9"/>
        <v>0.24403921736616083</v>
      </c>
    </row>
    <row r="152" spans="1:6" ht="15" customHeight="1" x14ac:dyDescent="0.2">
      <c r="A152" s="147">
        <v>20</v>
      </c>
      <c r="B152" s="169" t="s">
        <v>279</v>
      </c>
      <c r="C152" s="157">
        <v>22158613</v>
      </c>
      <c r="D152" s="157">
        <v>23964841</v>
      </c>
      <c r="E152" s="157">
        <f t="shared" si="8"/>
        <v>1806228</v>
      </c>
      <c r="F152" s="161">
        <f t="shared" si="9"/>
        <v>8.1513585710441358E-2</v>
      </c>
    </row>
    <row r="153" spans="1:6" ht="15" customHeight="1" x14ac:dyDescent="0.2">
      <c r="A153" s="147">
        <v>21</v>
      </c>
      <c r="B153" s="169" t="s">
        <v>280</v>
      </c>
      <c r="C153" s="157">
        <v>128149</v>
      </c>
      <c r="D153" s="157">
        <v>206155</v>
      </c>
      <c r="E153" s="157">
        <f t="shared" si="8"/>
        <v>78006</v>
      </c>
      <c r="F153" s="161">
        <f t="shared" si="9"/>
        <v>0.60871329468041113</v>
      </c>
    </row>
    <row r="154" spans="1:6" ht="15" customHeight="1" x14ac:dyDescent="0.2">
      <c r="A154" s="147">
        <v>22</v>
      </c>
      <c r="B154" s="169" t="s">
        <v>281</v>
      </c>
      <c r="C154" s="157">
        <v>2962517</v>
      </c>
      <c r="D154" s="157">
        <v>2765003</v>
      </c>
      <c r="E154" s="157">
        <f t="shared" si="8"/>
        <v>-197514</v>
      </c>
      <c r="F154" s="161">
        <f t="shared" si="9"/>
        <v>-6.6671009820365584E-2</v>
      </c>
    </row>
    <row r="155" spans="1:6" ht="15" customHeight="1" x14ac:dyDescent="0.2">
      <c r="A155" s="147">
        <v>23</v>
      </c>
      <c r="B155" s="169" t="s">
        <v>282</v>
      </c>
      <c r="C155" s="157">
        <v>1016670</v>
      </c>
      <c r="D155" s="157">
        <v>1047946</v>
      </c>
      <c r="E155" s="157">
        <f t="shared" si="8"/>
        <v>31276</v>
      </c>
      <c r="F155" s="161">
        <f t="shared" si="9"/>
        <v>3.0763177825646474E-2</v>
      </c>
    </row>
    <row r="156" spans="1:6" ht="15" customHeight="1" x14ac:dyDescent="0.2">
      <c r="A156" s="147">
        <v>24</v>
      </c>
      <c r="B156" s="169" t="s">
        <v>283</v>
      </c>
      <c r="C156" s="157">
        <v>24932342</v>
      </c>
      <c r="D156" s="157">
        <v>26813965</v>
      </c>
      <c r="E156" s="157">
        <f t="shared" si="8"/>
        <v>1881623</v>
      </c>
      <c r="F156" s="161">
        <f t="shared" si="9"/>
        <v>7.5469163707123865E-2</v>
      </c>
    </row>
    <row r="157" spans="1:6" ht="15" customHeight="1" x14ac:dyDescent="0.2">
      <c r="A157" s="147">
        <v>25</v>
      </c>
      <c r="B157" s="169" t="s">
        <v>284</v>
      </c>
      <c r="C157" s="157">
        <v>1809130</v>
      </c>
      <c r="D157" s="157">
        <v>1728129</v>
      </c>
      <c r="E157" s="157">
        <f t="shared" si="8"/>
        <v>-81001</v>
      </c>
      <c r="F157" s="161">
        <f t="shared" si="9"/>
        <v>-4.4773454643944881E-2</v>
      </c>
    </row>
    <row r="158" spans="1:6" ht="15" customHeight="1" x14ac:dyDescent="0.2">
      <c r="A158" s="147">
        <v>26</v>
      </c>
      <c r="B158" s="169" t="s">
        <v>285</v>
      </c>
      <c r="C158" s="157">
        <v>1062642</v>
      </c>
      <c r="D158" s="157">
        <v>932676</v>
      </c>
      <c r="E158" s="157">
        <f t="shared" si="8"/>
        <v>-129966</v>
      </c>
      <c r="F158" s="161">
        <f t="shared" si="9"/>
        <v>-0.12230459552699781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5042969</v>
      </c>
      <c r="D160" s="157">
        <v>5083048</v>
      </c>
      <c r="E160" s="157">
        <f t="shared" si="8"/>
        <v>40079</v>
      </c>
      <c r="F160" s="161">
        <f t="shared" si="9"/>
        <v>7.9475007679008138E-3</v>
      </c>
    </row>
    <row r="161" spans="1:6" ht="15" customHeight="1" x14ac:dyDescent="0.2">
      <c r="A161" s="147">
        <v>29</v>
      </c>
      <c r="B161" s="169" t="s">
        <v>288</v>
      </c>
      <c r="C161" s="157">
        <v>1356578</v>
      </c>
      <c r="D161" s="157">
        <v>1220266</v>
      </c>
      <c r="E161" s="157">
        <f t="shared" si="8"/>
        <v>-136312</v>
      </c>
      <c r="F161" s="161">
        <f t="shared" si="9"/>
        <v>-0.100482242819801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622239</v>
      </c>
      <c r="D163" s="157">
        <v>604243</v>
      </c>
      <c r="E163" s="157">
        <f t="shared" si="8"/>
        <v>-17996</v>
      </c>
      <c r="F163" s="161">
        <f t="shared" si="9"/>
        <v>-2.8921363013247322E-2</v>
      </c>
    </row>
    <row r="164" spans="1:6" ht="15" customHeight="1" x14ac:dyDescent="0.2">
      <c r="A164" s="147">
        <v>32</v>
      </c>
      <c r="B164" s="169" t="s">
        <v>291</v>
      </c>
      <c r="C164" s="157">
        <v>8150185</v>
      </c>
      <c r="D164" s="157">
        <v>7480749</v>
      </c>
      <c r="E164" s="157">
        <f t="shared" si="8"/>
        <v>-669436</v>
      </c>
      <c r="F164" s="161">
        <f t="shared" si="9"/>
        <v>-8.2137522031708488E-2</v>
      </c>
    </row>
    <row r="165" spans="1:6" ht="15" customHeight="1" x14ac:dyDescent="0.2">
      <c r="A165" s="147">
        <v>33</v>
      </c>
      <c r="B165" s="169" t="s">
        <v>292</v>
      </c>
      <c r="C165" s="157">
        <v>1772224</v>
      </c>
      <c r="D165" s="157">
        <v>1758507</v>
      </c>
      <c r="E165" s="157">
        <f t="shared" si="8"/>
        <v>-13717</v>
      </c>
      <c r="F165" s="161">
        <f t="shared" si="9"/>
        <v>-7.7399922357444658E-3</v>
      </c>
    </row>
    <row r="166" spans="1:6" ht="15" customHeight="1" x14ac:dyDescent="0.2">
      <c r="A166" s="147">
        <v>34</v>
      </c>
      <c r="B166" s="169" t="s">
        <v>293</v>
      </c>
      <c r="C166" s="157">
        <v>9971035</v>
      </c>
      <c r="D166" s="157">
        <v>9530434</v>
      </c>
      <c r="E166" s="157">
        <f t="shared" si="8"/>
        <v>-440601</v>
      </c>
      <c r="F166" s="161">
        <f t="shared" si="9"/>
        <v>-4.4188090805016733E-2</v>
      </c>
    </row>
    <row r="167" spans="1:6" ht="15.75" customHeight="1" x14ac:dyDescent="0.25">
      <c r="A167" s="147"/>
      <c r="B167" s="165" t="s">
        <v>294</v>
      </c>
      <c r="C167" s="158">
        <f>SUM(C133:C166)</f>
        <v>209027194</v>
      </c>
      <c r="D167" s="158">
        <f>SUM(D133:D166)</f>
        <v>209627946</v>
      </c>
      <c r="E167" s="158">
        <f t="shared" si="8"/>
        <v>600752</v>
      </c>
      <c r="F167" s="159">
        <f t="shared" si="9"/>
        <v>2.8740375283418866E-3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53626466</v>
      </c>
      <c r="D170" s="157">
        <v>51895079</v>
      </c>
      <c r="E170" s="157">
        <f t="shared" ref="E170:E183" si="10">D170-C170</f>
        <v>-1731387</v>
      </c>
      <c r="F170" s="161">
        <f t="shared" ref="F170:F183" si="11">IF(C170=0,0,E170/C170)</f>
        <v>-3.2286054426931658E-2</v>
      </c>
    </row>
    <row r="171" spans="1:6" ht="15" customHeight="1" x14ac:dyDescent="0.2">
      <c r="A171" s="147">
        <v>2</v>
      </c>
      <c r="B171" s="169" t="s">
        <v>297</v>
      </c>
      <c r="C171" s="157">
        <v>6071854</v>
      </c>
      <c r="D171" s="157">
        <v>7049203</v>
      </c>
      <c r="E171" s="157">
        <f t="shared" si="10"/>
        <v>977349</v>
      </c>
      <c r="F171" s="161">
        <f t="shared" si="11"/>
        <v>0.16096385058006996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5036734</v>
      </c>
      <c r="D173" s="157">
        <v>4747827</v>
      </c>
      <c r="E173" s="157">
        <f t="shared" si="10"/>
        <v>-288907</v>
      </c>
      <c r="F173" s="161">
        <f t="shared" si="11"/>
        <v>-5.7359987642785978E-2</v>
      </c>
    </row>
    <row r="174" spans="1:6" ht="15" customHeight="1" x14ac:dyDescent="0.2">
      <c r="A174" s="147">
        <v>5</v>
      </c>
      <c r="B174" s="169" t="s">
        <v>300</v>
      </c>
      <c r="C174" s="157">
        <v>2335875</v>
      </c>
      <c r="D174" s="157">
        <v>2394498</v>
      </c>
      <c r="E174" s="157">
        <f t="shared" si="10"/>
        <v>58623</v>
      </c>
      <c r="F174" s="161">
        <f t="shared" si="11"/>
        <v>2.5096805265692728E-2</v>
      </c>
    </row>
    <row r="175" spans="1:6" ht="15" customHeight="1" x14ac:dyDescent="0.2">
      <c r="A175" s="147">
        <v>6</v>
      </c>
      <c r="B175" s="169" t="s">
        <v>301</v>
      </c>
      <c r="C175" s="157">
        <v>4946512</v>
      </c>
      <c r="D175" s="157">
        <v>4729048</v>
      </c>
      <c r="E175" s="157">
        <f t="shared" si="10"/>
        <v>-217464</v>
      </c>
      <c r="F175" s="161">
        <f t="shared" si="11"/>
        <v>-4.3963099654867915E-2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5190258</v>
      </c>
      <c r="D177" s="157">
        <v>4362411</v>
      </c>
      <c r="E177" s="157">
        <f t="shared" si="10"/>
        <v>-827847</v>
      </c>
      <c r="F177" s="161">
        <f t="shared" si="11"/>
        <v>-0.15950016357568353</v>
      </c>
    </row>
    <row r="178" spans="1:6" ht="15" customHeight="1" x14ac:dyDescent="0.2">
      <c r="A178" s="147">
        <v>9</v>
      </c>
      <c r="B178" s="169" t="s">
        <v>304</v>
      </c>
      <c r="C178" s="157">
        <v>3264967</v>
      </c>
      <c r="D178" s="157">
        <v>3237581</v>
      </c>
      <c r="E178" s="157">
        <f t="shared" si="10"/>
        <v>-27386</v>
      </c>
      <c r="F178" s="161">
        <f t="shared" si="11"/>
        <v>-8.3878336289463264E-3</v>
      </c>
    </row>
    <row r="179" spans="1:6" ht="15" customHeight="1" x14ac:dyDescent="0.2">
      <c r="A179" s="147">
        <v>10</v>
      </c>
      <c r="B179" s="169" t="s">
        <v>305</v>
      </c>
      <c r="C179" s="157">
        <v>8217193</v>
      </c>
      <c r="D179" s="157">
        <v>8521406</v>
      </c>
      <c r="E179" s="157">
        <f t="shared" si="10"/>
        <v>304213</v>
      </c>
      <c r="F179" s="161">
        <f t="shared" si="11"/>
        <v>3.7021523043209527E-2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7373498</v>
      </c>
      <c r="D181" s="157">
        <v>7533896</v>
      </c>
      <c r="E181" s="157">
        <f t="shared" si="10"/>
        <v>160398</v>
      </c>
      <c r="F181" s="161">
        <f t="shared" si="11"/>
        <v>2.1753311657506384E-2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96063357</v>
      </c>
      <c r="D183" s="158">
        <f>SUM(D170:D182)</f>
        <v>94470949</v>
      </c>
      <c r="E183" s="158">
        <f t="shared" si="10"/>
        <v>-1592408</v>
      </c>
      <c r="F183" s="159">
        <f t="shared" si="11"/>
        <v>-1.657664326679735E-2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11701560</v>
      </c>
      <c r="D186" s="157">
        <v>12384012</v>
      </c>
      <c r="E186" s="157">
        <f>D186-C186</f>
        <v>682452</v>
      </c>
      <c r="F186" s="161">
        <f>IF(C186=0,0,E186/C186)</f>
        <v>5.8321454575287396E-2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486568594</v>
      </c>
      <c r="D188" s="158">
        <f>+D186+D183+D167+D130+D121</f>
        <v>502208728</v>
      </c>
      <c r="E188" s="158">
        <f>D188-C188</f>
        <v>15640134</v>
      </c>
      <c r="F188" s="159">
        <f>IF(C188=0,0,E188/C188)</f>
        <v>3.2143739223744472E-2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FILING&amp;RDANBURY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521836000</v>
      </c>
      <c r="D11" s="183">
        <v>501863239</v>
      </c>
      <c r="E11" s="76">
        <v>506353775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22126583</v>
      </c>
      <c r="D12" s="185">
        <v>13159391</v>
      </c>
      <c r="E12" s="185">
        <v>32180920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543962583</v>
      </c>
      <c r="D13" s="76">
        <f>+D11+D12</f>
        <v>515022630</v>
      </c>
      <c r="E13" s="76">
        <f>+E11+E12</f>
        <v>538534695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514797196</v>
      </c>
      <c r="D14" s="185">
        <v>486568594</v>
      </c>
      <c r="E14" s="185">
        <v>502208728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29165387</v>
      </c>
      <c r="D15" s="76">
        <f>+D13-D14</f>
        <v>28454036</v>
      </c>
      <c r="E15" s="76">
        <f>+E13-E14</f>
        <v>36325967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24210874</v>
      </c>
      <c r="D16" s="185">
        <v>10187487</v>
      </c>
      <c r="E16" s="185">
        <v>14759703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53376261</v>
      </c>
      <c r="D17" s="76">
        <f>D15+D16</f>
        <v>38641523</v>
      </c>
      <c r="E17" s="76">
        <f>E15+E16</f>
        <v>51085670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5.1331836502879792E-2</v>
      </c>
      <c r="D20" s="189">
        <f>IF(+D27=0,0,+D24/+D27)</f>
        <v>5.4176481143450632E-2</v>
      </c>
      <c r="E20" s="189">
        <f>IF(+E27=0,0,+E24/+E27)</f>
        <v>6.5653957696495596E-2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4.2611765301102403E-2</v>
      </c>
      <c r="D21" s="189">
        <f>IF(D27=0,0,+D26/D27)</f>
        <v>1.9396974030490732E-2</v>
      </c>
      <c r="E21" s="189">
        <f>IF(E27=0,0,+E26/E27)</f>
        <v>2.6676039109291685E-2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9.3943601803982188E-2</v>
      </c>
      <c r="D22" s="189">
        <f>IF(D27=0,0,+D28/D27)</f>
        <v>7.3573455173941371E-2</v>
      </c>
      <c r="E22" s="189">
        <f>IF(E27=0,0,+E28/E27)</f>
        <v>9.2329996805787282E-2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29165387</v>
      </c>
      <c r="D24" s="76">
        <f>+D15</f>
        <v>28454036</v>
      </c>
      <c r="E24" s="76">
        <f>+E15</f>
        <v>36325967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543962583</v>
      </c>
      <c r="D25" s="76">
        <f>+D13</f>
        <v>515022630</v>
      </c>
      <c r="E25" s="76">
        <f>+E13</f>
        <v>538534695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24210874</v>
      </c>
      <c r="D26" s="76">
        <f>+D16</f>
        <v>10187487</v>
      </c>
      <c r="E26" s="76">
        <f>+E16</f>
        <v>14759703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568173457</v>
      </c>
      <c r="D27" s="76">
        <f>+D25+D26</f>
        <v>525210117</v>
      </c>
      <c r="E27" s="76">
        <f>+E25+E26</f>
        <v>553294398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53376261</v>
      </c>
      <c r="D28" s="76">
        <f>+D17</f>
        <v>38641523</v>
      </c>
      <c r="E28" s="76">
        <f>+E17</f>
        <v>51085670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386002265</v>
      </c>
      <c r="D31" s="76">
        <v>400930008</v>
      </c>
      <c r="E31" s="76">
        <v>412096873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444621099</v>
      </c>
      <c r="D32" s="76">
        <v>486647111</v>
      </c>
      <c r="E32" s="76">
        <v>489293538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56379521</v>
      </c>
      <c r="D33" s="76">
        <f>+D32-C32</f>
        <v>42026012</v>
      </c>
      <c r="E33" s="76">
        <f>+E32-D32</f>
        <v>2646427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1.1452</v>
      </c>
      <c r="D34" s="193">
        <f>IF(C32=0,0,+D33/C32)</f>
        <v>9.452095749509179E-2</v>
      </c>
      <c r="E34" s="193">
        <f>IF(D32=0,0,+E33/D32)</f>
        <v>5.4380822164173904E-3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0.4301891737028502</v>
      </c>
      <c r="D38" s="195">
        <f>IF((D40+D41)=0,0,+D39/(D40+D41))</f>
        <v>0.39014394239457728</v>
      </c>
      <c r="E38" s="195">
        <f>IF((E40+E41)=0,0,+E39/(E40+E41))</f>
        <v>0.38424379467098391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514797196</v>
      </c>
      <c r="D39" s="76">
        <v>486568594</v>
      </c>
      <c r="E39" s="196">
        <v>502208728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1177078060</v>
      </c>
      <c r="D40" s="76">
        <v>1231890672</v>
      </c>
      <c r="E40" s="196">
        <v>1291510052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19598257</v>
      </c>
      <c r="D41" s="76">
        <v>15260805</v>
      </c>
      <c r="E41" s="196">
        <v>15495383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1.4038313141988148</v>
      </c>
      <c r="D43" s="197">
        <f>IF(D38=0,0,IF((D46-D47)=0,0,((+D44-D45)/(D46-D47)/D38)))</f>
        <v>1.5185389276461059</v>
      </c>
      <c r="E43" s="197">
        <f>IF(E38=0,0,IF((E46-E47)=0,0,((+E44-E45)/(E46-E47)/E38)))</f>
        <v>1.5348272539024674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300340464</v>
      </c>
      <c r="D44" s="76">
        <v>303141114</v>
      </c>
      <c r="E44" s="196">
        <v>305487429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7736655</v>
      </c>
      <c r="D45" s="76">
        <v>9056420</v>
      </c>
      <c r="E45" s="196">
        <v>9161068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521061067</v>
      </c>
      <c r="D46" s="76">
        <v>530833006</v>
      </c>
      <c r="E46" s="196">
        <v>534946896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36547912</v>
      </c>
      <c r="D47" s="76">
        <v>34444606</v>
      </c>
      <c r="E47" s="76">
        <v>32484086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0.77967507443163953</v>
      </c>
      <c r="D49" s="198">
        <f>IF(D38=0,0,IF(D51=0,0,(D50/D51)/D38))</f>
        <v>0.83338127236987325</v>
      </c>
      <c r="E49" s="198">
        <f>IF(E38=0,0,IF(E51=0,0,(E50/E51)/E38))</f>
        <v>0.82110958594770023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170634278</v>
      </c>
      <c r="D50" s="199">
        <v>175171391</v>
      </c>
      <c r="E50" s="199">
        <v>182401310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508736798</v>
      </c>
      <c r="D51" s="199">
        <v>538759044</v>
      </c>
      <c r="E51" s="199">
        <v>578122628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0.57138745541692637</v>
      </c>
      <c r="D53" s="198">
        <f>IF(D38=0,0,IF(D55=0,0,(D54/D55)/D38))</f>
        <v>0.56485786990320552</v>
      </c>
      <c r="E53" s="198">
        <f>IF(E38=0,0,IF(E55=0,0,(E54/E55)/E38))</f>
        <v>0.50657483545490556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35364833</v>
      </c>
      <c r="D54" s="199">
        <v>35080650</v>
      </c>
      <c r="E54" s="199">
        <v>33894822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143873707</v>
      </c>
      <c r="D55" s="199">
        <v>159185527</v>
      </c>
      <c r="E55" s="199">
        <v>174133722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14361005.185722249</v>
      </c>
      <c r="D57" s="88">
        <f>+D60*D38</f>
        <v>11728671.446865531</v>
      </c>
      <c r="E57" s="88">
        <f>+E60*E38</f>
        <v>10653214.154115668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13969782</v>
      </c>
      <c r="D58" s="199">
        <v>12948351</v>
      </c>
      <c r="E58" s="199">
        <v>12601255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19413218</v>
      </c>
      <c r="D59" s="199">
        <v>17114070</v>
      </c>
      <c r="E59" s="199">
        <v>15123888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33383000</v>
      </c>
      <c r="D60" s="76">
        <v>30062421</v>
      </c>
      <c r="E60" s="201">
        <v>27725143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2.789643241514907E-2</v>
      </c>
      <c r="D62" s="202">
        <f>IF(D63=0,0,+D57/D63)</f>
        <v>2.4104867415395765E-2</v>
      </c>
      <c r="E62" s="202">
        <f>IF(E63=0,0,+E57/E63)</f>
        <v>2.1212722041970701E-2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514797196</v>
      </c>
      <c r="D63" s="199">
        <v>486568594</v>
      </c>
      <c r="E63" s="199">
        <v>502208728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2.3540234490943104</v>
      </c>
      <c r="D67" s="203">
        <f>IF(D69=0,0,D68/D69)</f>
        <v>1.8183505699171416</v>
      </c>
      <c r="E67" s="203">
        <f>IF(E69=0,0,E68/E69)</f>
        <v>1.5368262310467879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148404173</v>
      </c>
      <c r="D68" s="204">
        <v>142453384</v>
      </c>
      <c r="E68" s="204">
        <v>137232555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63042776</v>
      </c>
      <c r="D69" s="204">
        <v>78342090</v>
      </c>
      <c r="E69" s="204">
        <v>89296078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41.143770551363552</v>
      </c>
      <c r="D71" s="203">
        <f>IF((D77/365)=0,0,+D74/(D77/365))</f>
        <v>46.825724455735013</v>
      </c>
      <c r="E71" s="203">
        <f>IF((E77/365)=0,0,+E74/(E77/365))</f>
        <v>36.156263801226729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54460115</v>
      </c>
      <c r="D72" s="183">
        <v>58568767</v>
      </c>
      <c r="E72" s="183">
        <v>46609541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54460115</v>
      </c>
      <c r="D74" s="204">
        <f>+D72+D73</f>
        <v>58568767</v>
      </c>
      <c r="E74" s="204">
        <f>+E72+E73</f>
        <v>46609541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514797196</v>
      </c>
      <c r="D75" s="204">
        <f>+D14</f>
        <v>486568594</v>
      </c>
      <c r="E75" s="204">
        <f>+E14</f>
        <v>502208728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31663499</v>
      </c>
      <c r="D76" s="204">
        <v>30033213</v>
      </c>
      <c r="E76" s="204">
        <v>31682167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483133697</v>
      </c>
      <c r="D77" s="204">
        <f>+D75-D76</f>
        <v>456535381</v>
      </c>
      <c r="E77" s="204">
        <f>+E75-E76</f>
        <v>470526561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35.010152921607556</v>
      </c>
      <c r="D79" s="203">
        <f>IF((D84/365)=0,0,+D83/(D84/365))</f>
        <v>35.48806072245511</v>
      </c>
      <c r="E79" s="203">
        <f>IF((E84/365)=0,0,+E83/(E84/365))</f>
        <v>35.276812195189024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60038935</v>
      </c>
      <c r="D80" s="212">
        <v>57504970</v>
      </c>
      <c r="E80" s="212">
        <v>63595267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9985351</v>
      </c>
      <c r="D82" s="212">
        <v>8710030</v>
      </c>
      <c r="E82" s="212">
        <v>14656782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50053584</v>
      </c>
      <c r="D83" s="212">
        <f>+D80+D81-D82</f>
        <v>48794940</v>
      </c>
      <c r="E83" s="212">
        <f>+E80+E81-E82</f>
        <v>48938485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521836000</v>
      </c>
      <c r="D84" s="204">
        <f>+D11</f>
        <v>501863239</v>
      </c>
      <c r="E84" s="204">
        <f>+E11</f>
        <v>506353775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47.627837559010089</v>
      </c>
      <c r="D86" s="203">
        <f>IF((D90/365)=0,0,+D87/(D90/365))</f>
        <v>62.634494586959519</v>
      </c>
      <c r="E86" s="203">
        <f>IF((E90/365)=0,0,+E87/(E90/365))</f>
        <v>69.269348792405367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63042776</v>
      </c>
      <c r="D87" s="76">
        <f>+D69</f>
        <v>78342090</v>
      </c>
      <c r="E87" s="76">
        <f>+E69</f>
        <v>89296078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514797196</v>
      </c>
      <c r="D88" s="76">
        <f t="shared" si="0"/>
        <v>486568594</v>
      </c>
      <c r="E88" s="76">
        <f t="shared" si="0"/>
        <v>502208728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31663499</v>
      </c>
      <c r="D89" s="201">
        <f t="shared" si="0"/>
        <v>30033213</v>
      </c>
      <c r="E89" s="201">
        <f t="shared" si="0"/>
        <v>31682167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483133697</v>
      </c>
      <c r="D90" s="76">
        <f>+D88-D89</f>
        <v>456535381</v>
      </c>
      <c r="E90" s="76">
        <f>+E88-E89</f>
        <v>470526561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54.423068174539914</v>
      </c>
      <c r="D94" s="214">
        <f>IF(D96=0,0,(D95/D96)*100)</f>
        <v>58.649731885193333</v>
      </c>
      <c r="E94" s="214">
        <f>IF(E96=0,0,(E95/E96)*100)</f>
        <v>58.338104719268166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444621099</v>
      </c>
      <c r="D95" s="76">
        <f>+D32</f>
        <v>486647111</v>
      </c>
      <c r="E95" s="76">
        <f>+E32</f>
        <v>489293538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816971762</v>
      </c>
      <c r="D96" s="76">
        <v>829751638</v>
      </c>
      <c r="E96" s="76">
        <v>838720319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27.20203597705882</v>
      </c>
      <c r="D98" s="214">
        <f>IF(D104=0,0,(D101/D104)*100)</f>
        <v>21.127951767723374</v>
      </c>
      <c r="E98" s="214">
        <f>IF(E104=0,0,(E101/E104)*100)</f>
        <v>25.000020388371102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53376261</v>
      </c>
      <c r="D99" s="76">
        <f>+D28</f>
        <v>38641523</v>
      </c>
      <c r="E99" s="76">
        <f>+E28</f>
        <v>51085670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31663499</v>
      </c>
      <c r="D100" s="201">
        <f>+D76</f>
        <v>30033213</v>
      </c>
      <c r="E100" s="201">
        <f>+E76</f>
        <v>31682167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85039760</v>
      </c>
      <c r="D101" s="76">
        <f>+D99+D100</f>
        <v>68674736</v>
      </c>
      <c r="E101" s="76">
        <f>+E99+E100</f>
        <v>82767837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63042776</v>
      </c>
      <c r="D102" s="204">
        <f>+D69</f>
        <v>78342090</v>
      </c>
      <c r="E102" s="204">
        <f>+E69</f>
        <v>89296078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249580000</v>
      </c>
      <c r="D103" s="216">
        <v>246700000</v>
      </c>
      <c r="E103" s="216">
        <v>241775000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312622776</v>
      </c>
      <c r="D104" s="204">
        <f>+D102+D103</f>
        <v>325042090</v>
      </c>
      <c r="E104" s="204">
        <f>+E102+E103</f>
        <v>331071078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35.952118249239476</v>
      </c>
      <c r="D106" s="214">
        <f>IF(D109=0,0,(D107/D109)*100)</f>
        <v>33.640277066558184</v>
      </c>
      <c r="E106" s="214">
        <f>IF(E109=0,0,(E107/E109)*100)</f>
        <v>33.07145464930403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249580000</v>
      </c>
      <c r="D107" s="204">
        <f>+D103</f>
        <v>246700000</v>
      </c>
      <c r="E107" s="204">
        <f>+E103</f>
        <v>241775000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444621099</v>
      </c>
      <c r="D108" s="204">
        <f>+D32</f>
        <v>486647111</v>
      </c>
      <c r="E108" s="204">
        <f>+E32</f>
        <v>489293538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694201099</v>
      </c>
      <c r="D109" s="204">
        <f>+D107+D108</f>
        <v>733347111</v>
      </c>
      <c r="E109" s="204">
        <f>+E107+E108</f>
        <v>731068538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1.8771721289325864</v>
      </c>
      <c r="D111" s="214">
        <f>IF((+D113+D115)=0,0,((+D112+D113+D114)/(+D113+D115)))</f>
        <v>13.117376534333635</v>
      </c>
      <c r="E111" s="214">
        <f>IF((+E113+E115)=0,0,((+E112+E113+E114)/(+E113+E115)))</f>
        <v>11.741903486177543</v>
      </c>
    </row>
    <row r="112" spans="1:6" ht="24" customHeight="1" x14ac:dyDescent="0.2">
      <c r="A112" s="85">
        <v>16</v>
      </c>
      <c r="B112" s="75" t="s">
        <v>373</v>
      </c>
      <c r="C112" s="218">
        <f>+C17</f>
        <v>53376261</v>
      </c>
      <c r="D112" s="76">
        <f>+D17</f>
        <v>38641523</v>
      </c>
      <c r="E112" s="76">
        <f>+E17</f>
        <v>51085670</v>
      </c>
    </row>
    <row r="113" spans="1:8" ht="24" customHeight="1" x14ac:dyDescent="0.2">
      <c r="A113" s="85">
        <v>17</v>
      </c>
      <c r="B113" s="75" t="s">
        <v>88</v>
      </c>
      <c r="C113" s="218">
        <v>4156056</v>
      </c>
      <c r="D113" s="76">
        <v>3984131</v>
      </c>
      <c r="E113" s="76">
        <v>4557028</v>
      </c>
    </row>
    <row r="114" spans="1:8" ht="24" customHeight="1" x14ac:dyDescent="0.2">
      <c r="A114" s="85">
        <v>18</v>
      </c>
      <c r="B114" s="75" t="s">
        <v>374</v>
      </c>
      <c r="C114" s="218">
        <v>31663499</v>
      </c>
      <c r="D114" s="76">
        <v>30033213</v>
      </c>
      <c r="E114" s="76">
        <v>31682167</v>
      </c>
    </row>
    <row r="115" spans="1:8" ht="24" customHeight="1" x14ac:dyDescent="0.2">
      <c r="A115" s="85">
        <v>19</v>
      </c>
      <c r="B115" s="75" t="s">
        <v>104</v>
      </c>
      <c r="C115" s="218">
        <v>43360000</v>
      </c>
      <c r="D115" s="76">
        <v>1555000</v>
      </c>
      <c r="E115" s="76">
        <v>2880000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10.200325523088905</v>
      </c>
      <c r="D119" s="214">
        <f>IF(+D121=0,0,(+D120)/(+D121))</f>
        <v>10.931261966543506</v>
      </c>
      <c r="E119" s="214">
        <f>IF(+E121=0,0,(+E120)/(+E121))</f>
        <v>11.251372167819202</v>
      </c>
    </row>
    <row r="120" spans="1:8" ht="24" customHeight="1" x14ac:dyDescent="0.2">
      <c r="A120" s="85">
        <v>21</v>
      </c>
      <c r="B120" s="75" t="s">
        <v>378</v>
      </c>
      <c r="C120" s="218">
        <v>322977997</v>
      </c>
      <c r="D120" s="218">
        <v>328300919</v>
      </c>
      <c r="E120" s="218">
        <v>356467852</v>
      </c>
    </row>
    <row r="121" spans="1:8" ht="24" customHeight="1" x14ac:dyDescent="0.2">
      <c r="A121" s="85">
        <v>22</v>
      </c>
      <c r="B121" s="75" t="s">
        <v>374</v>
      </c>
      <c r="C121" s="218">
        <v>31663499</v>
      </c>
      <c r="D121" s="218">
        <v>30033213</v>
      </c>
      <c r="E121" s="218">
        <v>31682167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92010</v>
      </c>
      <c r="D124" s="218">
        <v>91003</v>
      </c>
      <c r="E124" s="218">
        <v>92169</v>
      </c>
    </row>
    <row r="125" spans="1:8" ht="24" customHeight="1" x14ac:dyDescent="0.2">
      <c r="A125" s="85">
        <v>2</v>
      </c>
      <c r="B125" s="75" t="s">
        <v>381</v>
      </c>
      <c r="C125" s="218">
        <v>19668</v>
      </c>
      <c r="D125" s="218">
        <v>18562</v>
      </c>
      <c r="E125" s="218">
        <v>18290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4.6781574130567423</v>
      </c>
      <c r="D126" s="219">
        <f>IF(D125=0,0,D124/D125)</f>
        <v>4.9026505764465034</v>
      </c>
      <c r="E126" s="219">
        <f>IF(E125=0,0,E124/E125)</f>
        <v>5.0393110989611811</v>
      </c>
    </row>
    <row r="127" spans="1:8" ht="24" customHeight="1" x14ac:dyDescent="0.2">
      <c r="A127" s="85">
        <v>4</v>
      </c>
      <c r="B127" s="75" t="s">
        <v>383</v>
      </c>
      <c r="C127" s="218">
        <v>265</v>
      </c>
      <c r="D127" s="218">
        <v>267</v>
      </c>
      <c r="E127" s="218">
        <v>273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371</v>
      </c>
      <c r="E128" s="218">
        <v>371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371</v>
      </c>
      <c r="D129" s="218">
        <v>371</v>
      </c>
      <c r="E129" s="218">
        <v>371</v>
      </c>
    </row>
    <row r="130" spans="1:7" ht="24" customHeight="1" x14ac:dyDescent="0.2">
      <c r="A130" s="85">
        <v>7</v>
      </c>
      <c r="B130" s="75" t="s">
        <v>386</v>
      </c>
      <c r="C130" s="193">
        <v>0.95120000000000005</v>
      </c>
      <c r="D130" s="193">
        <v>0.93369999999999997</v>
      </c>
      <c r="E130" s="193">
        <v>0.92490000000000006</v>
      </c>
    </row>
    <row r="131" spans="1:7" ht="24" customHeight="1" x14ac:dyDescent="0.2">
      <c r="A131" s="85">
        <v>8</v>
      </c>
      <c r="B131" s="75" t="s">
        <v>387</v>
      </c>
      <c r="C131" s="193">
        <v>0.6794</v>
      </c>
      <c r="D131" s="193">
        <v>0.67200000000000004</v>
      </c>
      <c r="E131" s="193">
        <v>0.68059999999999998</v>
      </c>
    </row>
    <row r="132" spans="1:7" ht="24" customHeight="1" x14ac:dyDescent="0.2">
      <c r="A132" s="85">
        <v>9</v>
      </c>
      <c r="B132" s="75" t="s">
        <v>388</v>
      </c>
      <c r="C132" s="219">
        <v>2403.9</v>
      </c>
      <c r="D132" s="219">
        <v>2361.9</v>
      </c>
      <c r="E132" s="219">
        <v>2351.1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0.41162363947213493</v>
      </c>
      <c r="D135" s="227">
        <f>IF(D149=0,0,D143/D149)</f>
        <v>0.40294842008512261</v>
      </c>
      <c r="E135" s="227">
        <f>IF(E149=0,0,E143/E149)</f>
        <v>0.38905063822143598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0.43220310979205578</v>
      </c>
      <c r="D136" s="227">
        <f>IF(D149=0,0,D144/D149)</f>
        <v>0.43734322878288667</v>
      </c>
      <c r="E136" s="227">
        <f>IF(E149=0,0,E144/E149)</f>
        <v>0.44763308431454624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0.12222953760602759</v>
      </c>
      <c r="D137" s="227">
        <f>IF(D149=0,0,D145/D149)</f>
        <v>0.12922049871646402</v>
      </c>
      <c r="E137" s="227">
        <f>IF(E149=0,0,E145/E149)</f>
        <v>0.13482955222093773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1.6345593936225437E-3</v>
      </c>
      <c r="D138" s="227">
        <f>IF(D149=0,0,D146/D149)</f>
        <v>1.3783788112002198E-3</v>
      </c>
      <c r="E138" s="227">
        <f>IF(E149=0,0,E146/E149)</f>
        <v>2.1603471035160013E-3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3.1049692660145241E-2</v>
      </c>
      <c r="D139" s="227">
        <f>IF(D149=0,0,D147/D149)</f>
        <v>2.7960765336487586E-2</v>
      </c>
      <c r="E139" s="227">
        <f>IF(E149=0,0,E147/E149)</f>
        <v>2.5152019490437539E-2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1.2594610760139392E-3</v>
      </c>
      <c r="D140" s="227">
        <f>IF(D149=0,0,D148/D149)</f>
        <v>1.148708267838885E-3</v>
      </c>
      <c r="E140" s="227">
        <f>IF(E149=0,0,E148/E149)</f>
        <v>1.1743586491264877E-3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484513155</v>
      </c>
      <c r="D143" s="229">
        <f>+D46-D147</f>
        <v>496388400</v>
      </c>
      <c r="E143" s="229">
        <f>+E46-E147</f>
        <v>502462810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508736798</v>
      </c>
      <c r="D144" s="229">
        <f>+D51</f>
        <v>538759044</v>
      </c>
      <c r="E144" s="229">
        <f>+E51</f>
        <v>578122628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143873707</v>
      </c>
      <c r="D145" s="229">
        <f>+D55</f>
        <v>159185527</v>
      </c>
      <c r="E145" s="229">
        <f>+E55</f>
        <v>174133722</v>
      </c>
    </row>
    <row r="146" spans="1:7" ht="20.100000000000001" customHeight="1" x14ac:dyDescent="0.2">
      <c r="A146" s="226">
        <v>11</v>
      </c>
      <c r="B146" s="224" t="s">
        <v>400</v>
      </c>
      <c r="C146" s="228">
        <v>1924004</v>
      </c>
      <c r="D146" s="229">
        <v>1698012</v>
      </c>
      <c r="E146" s="229">
        <v>2790110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36547912</v>
      </c>
      <c r="D147" s="229">
        <f>+D47</f>
        <v>34444606</v>
      </c>
      <c r="E147" s="229">
        <f>+E47</f>
        <v>32484086</v>
      </c>
    </row>
    <row r="148" spans="1:7" ht="20.100000000000001" customHeight="1" x14ac:dyDescent="0.2">
      <c r="A148" s="226">
        <v>13</v>
      </c>
      <c r="B148" s="224" t="s">
        <v>402</v>
      </c>
      <c r="C148" s="230">
        <v>1482484</v>
      </c>
      <c r="D148" s="229">
        <v>1415083</v>
      </c>
      <c r="E148" s="229">
        <v>1516696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1177078060</v>
      </c>
      <c r="D149" s="229">
        <f>SUM(D143:D148)</f>
        <v>1231890672</v>
      </c>
      <c r="E149" s="229">
        <f>SUM(E143:E148)</f>
        <v>1291510052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0.57686461429504421</v>
      </c>
      <c r="D152" s="227">
        <f>IF(D166=0,0,D160/D166)</f>
        <v>0.57160900068828924</v>
      </c>
      <c r="E152" s="227">
        <f>IF(E166=0,0,E160/E166)</f>
        <v>0.56679805960528329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0.33640326590548025</v>
      </c>
      <c r="D153" s="227">
        <f>IF(D166=0,0,D161/D166)</f>
        <v>0.34047859613764048</v>
      </c>
      <c r="E153" s="227">
        <f>IF(E166=0,0,E161/E166)</f>
        <v>0.34888799035149543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6.9721309568303164E-2</v>
      </c>
      <c r="D154" s="227">
        <f>IF(D166=0,0,D162/D166)</f>
        <v>6.8185851556067836E-2</v>
      </c>
      <c r="E154" s="227">
        <f>IF(E166=0,0,E162/E166)</f>
        <v>6.4832299345337241E-2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1.0364205889677131E-3</v>
      </c>
      <c r="D155" s="227">
        <f>IF(D166=0,0,D163/D166)</f>
        <v>1.3847283024438976E-3</v>
      </c>
      <c r="E155" s="227">
        <f>IF(E166=0,0,E163/E166)</f>
        <v>1.1420548286584077E-3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1.5252714986047314E-2</v>
      </c>
      <c r="D156" s="227">
        <f>IF(D166=0,0,D164/D166)</f>
        <v>1.7602858263726696E-2</v>
      </c>
      <c r="E156" s="227">
        <f>IF(E166=0,0,E164/E166)</f>
        <v>1.7522827023519694E-2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7.2167465615728438E-4</v>
      </c>
      <c r="D157" s="227">
        <f>IF(D166=0,0,D165/D166)</f>
        <v>7.3896505183190049E-4</v>
      </c>
      <c r="E157" s="227">
        <f>IF(E166=0,0,E165/E166)</f>
        <v>8.1676884570600463E-4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292603809</v>
      </c>
      <c r="D160" s="229">
        <f>+D44-D164</f>
        <v>294084694</v>
      </c>
      <c r="E160" s="229">
        <f>+E44-E164</f>
        <v>296326361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170634278</v>
      </c>
      <c r="D161" s="229">
        <f>+D50</f>
        <v>175171391</v>
      </c>
      <c r="E161" s="229">
        <f>+E50</f>
        <v>182401310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35364833</v>
      </c>
      <c r="D162" s="229">
        <f>+D54</f>
        <v>35080650</v>
      </c>
      <c r="E162" s="229">
        <f>+E54</f>
        <v>33894822</v>
      </c>
    </row>
    <row r="163" spans="1:6" ht="20.100000000000001" customHeight="1" x14ac:dyDescent="0.2">
      <c r="A163" s="226">
        <v>11</v>
      </c>
      <c r="B163" s="224" t="s">
        <v>415</v>
      </c>
      <c r="C163" s="228">
        <v>525705</v>
      </c>
      <c r="D163" s="229">
        <v>712423</v>
      </c>
      <c r="E163" s="229">
        <v>597075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7736655</v>
      </c>
      <c r="D164" s="229">
        <f>+D45</f>
        <v>9056420</v>
      </c>
      <c r="E164" s="229">
        <f>+E45</f>
        <v>9161068</v>
      </c>
    </row>
    <row r="165" spans="1:6" ht="20.100000000000001" customHeight="1" x14ac:dyDescent="0.2">
      <c r="A165" s="226">
        <v>13</v>
      </c>
      <c r="B165" s="224" t="s">
        <v>417</v>
      </c>
      <c r="C165" s="230">
        <v>366056</v>
      </c>
      <c r="D165" s="229">
        <v>380187</v>
      </c>
      <c r="E165" s="229">
        <v>427013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507231336</v>
      </c>
      <c r="D166" s="229">
        <f>SUM(D160:D165)</f>
        <v>514485765</v>
      </c>
      <c r="E166" s="229">
        <f>SUM(E160:E165)</f>
        <v>522807649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7521</v>
      </c>
      <c r="D169" s="218">
        <v>6808</v>
      </c>
      <c r="E169" s="218">
        <v>6516</v>
      </c>
    </row>
    <row r="170" spans="1:6" ht="20.100000000000001" customHeight="1" x14ac:dyDescent="0.2">
      <c r="A170" s="226">
        <v>2</v>
      </c>
      <c r="B170" s="224" t="s">
        <v>420</v>
      </c>
      <c r="C170" s="218">
        <v>8736</v>
      </c>
      <c r="D170" s="218">
        <v>8369</v>
      </c>
      <c r="E170" s="218">
        <v>8445</v>
      </c>
    </row>
    <row r="171" spans="1:6" ht="20.100000000000001" customHeight="1" x14ac:dyDescent="0.2">
      <c r="A171" s="226">
        <v>3</v>
      </c>
      <c r="B171" s="224" t="s">
        <v>421</v>
      </c>
      <c r="C171" s="218">
        <v>3377</v>
      </c>
      <c r="D171" s="218">
        <v>3350</v>
      </c>
      <c r="E171" s="218">
        <v>3295</v>
      </c>
    </row>
    <row r="172" spans="1:6" ht="20.100000000000001" customHeight="1" x14ac:dyDescent="0.2">
      <c r="A172" s="226">
        <v>4</v>
      </c>
      <c r="B172" s="224" t="s">
        <v>422</v>
      </c>
      <c r="C172" s="218">
        <v>3326</v>
      </c>
      <c r="D172" s="218">
        <v>3321</v>
      </c>
      <c r="E172" s="218">
        <v>3250</v>
      </c>
    </row>
    <row r="173" spans="1:6" ht="20.100000000000001" customHeight="1" x14ac:dyDescent="0.2">
      <c r="A173" s="226">
        <v>5</v>
      </c>
      <c r="B173" s="224" t="s">
        <v>423</v>
      </c>
      <c r="C173" s="218">
        <v>51</v>
      </c>
      <c r="D173" s="218">
        <v>29</v>
      </c>
      <c r="E173" s="218">
        <v>45</v>
      </c>
    </row>
    <row r="174" spans="1:6" ht="20.100000000000001" customHeight="1" x14ac:dyDescent="0.2">
      <c r="A174" s="226">
        <v>6</v>
      </c>
      <c r="B174" s="224" t="s">
        <v>424</v>
      </c>
      <c r="C174" s="218">
        <v>34</v>
      </c>
      <c r="D174" s="218">
        <v>35</v>
      </c>
      <c r="E174" s="218">
        <v>34</v>
      </c>
    </row>
    <row r="175" spans="1:6" ht="20.100000000000001" customHeight="1" x14ac:dyDescent="0.2">
      <c r="A175" s="226">
        <v>7</v>
      </c>
      <c r="B175" s="224" t="s">
        <v>425</v>
      </c>
      <c r="C175" s="218">
        <v>197</v>
      </c>
      <c r="D175" s="218">
        <v>156</v>
      </c>
      <c r="E175" s="218">
        <v>175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19668</v>
      </c>
      <c r="D176" s="218">
        <f>+D169+D170+D171+D174</f>
        <v>18562</v>
      </c>
      <c r="E176" s="218">
        <f>+E169+E170+E171+E174</f>
        <v>18290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1.2112000000000001</v>
      </c>
      <c r="D179" s="231">
        <v>1.2166999999999999</v>
      </c>
      <c r="E179" s="231">
        <v>1.2868299999999999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1.3210999999999999</v>
      </c>
      <c r="D180" s="231">
        <v>1.5411600000000001</v>
      </c>
      <c r="E180" s="231">
        <v>1.5812900000000001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0.98915299999999995</v>
      </c>
      <c r="D181" s="231">
        <v>1.0354779999999999</v>
      </c>
      <c r="E181" s="231">
        <v>1.05996</v>
      </c>
    </row>
    <row r="182" spans="1:6" ht="20.100000000000001" customHeight="1" x14ac:dyDescent="0.2">
      <c r="A182" s="226">
        <v>4</v>
      </c>
      <c r="B182" s="224" t="s">
        <v>422</v>
      </c>
      <c r="C182" s="231">
        <v>0.99129999999999996</v>
      </c>
      <c r="D182" s="231">
        <v>1.034</v>
      </c>
      <c r="E182" s="231">
        <v>1.0599000000000001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0.84919999999999995</v>
      </c>
      <c r="D183" s="231">
        <v>1.2048000000000001</v>
      </c>
      <c r="E183" s="231">
        <v>1.0643</v>
      </c>
    </row>
    <row r="184" spans="1:6" ht="20.100000000000001" customHeight="1" x14ac:dyDescent="0.2">
      <c r="A184" s="226">
        <v>6</v>
      </c>
      <c r="B184" s="224" t="s">
        <v>424</v>
      </c>
      <c r="C184" s="231">
        <v>0.96240000000000003</v>
      </c>
      <c r="D184" s="231">
        <v>0.87509999999999999</v>
      </c>
      <c r="E184" s="231">
        <v>0.71519999999999995</v>
      </c>
    </row>
    <row r="185" spans="1:6" ht="20.100000000000001" customHeight="1" x14ac:dyDescent="0.2">
      <c r="A185" s="226">
        <v>7</v>
      </c>
      <c r="B185" s="224" t="s">
        <v>425</v>
      </c>
      <c r="C185" s="231">
        <v>1.2902</v>
      </c>
      <c r="D185" s="231">
        <v>1.2056</v>
      </c>
      <c r="E185" s="231">
        <v>1.0898000000000001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1.2214590000000001</v>
      </c>
      <c r="D186" s="231">
        <v>1.3296380000000001</v>
      </c>
      <c r="E186" s="231">
        <v>1.3808560000000001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14260</v>
      </c>
      <c r="D189" s="218">
        <v>11548</v>
      </c>
      <c r="E189" s="218">
        <v>11281</v>
      </c>
    </row>
    <row r="190" spans="1:6" ht="20.100000000000001" customHeight="1" x14ac:dyDescent="0.2">
      <c r="A190" s="226">
        <v>2</v>
      </c>
      <c r="B190" s="224" t="s">
        <v>433</v>
      </c>
      <c r="C190" s="218">
        <v>56362</v>
      </c>
      <c r="D190" s="218">
        <v>58017</v>
      </c>
      <c r="E190" s="218">
        <v>54777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70622</v>
      </c>
      <c r="D191" s="218">
        <f>+D190+D189</f>
        <v>69565</v>
      </c>
      <c r="E191" s="218">
        <f>+E190+E189</f>
        <v>66058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FILING&amp;RDANBURY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104293</v>
      </c>
      <c r="D14" s="258">
        <v>114771</v>
      </c>
      <c r="E14" s="258">
        <f t="shared" ref="E14:E24" si="0">D14-C14</f>
        <v>10478</v>
      </c>
      <c r="F14" s="259">
        <f t="shared" ref="F14:F24" si="1">IF(C14=0,0,E14/C14)</f>
        <v>0.10046695367857862</v>
      </c>
    </row>
    <row r="15" spans="1:7" ht="20.25" customHeight="1" x14ac:dyDescent="0.3">
      <c r="A15" s="256">
        <v>2</v>
      </c>
      <c r="B15" s="257" t="s">
        <v>442</v>
      </c>
      <c r="C15" s="258">
        <v>36464</v>
      </c>
      <c r="D15" s="258">
        <v>14119</v>
      </c>
      <c r="E15" s="258">
        <f t="shared" si="0"/>
        <v>-22345</v>
      </c>
      <c r="F15" s="259">
        <f t="shared" si="1"/>
        <v>-0.61279618253620005</v>
      </c>
    </row>
    <row r="16" spans="1:7" ht="20.25" customHeight="1" x14ac:dyDescent="0.3">
      <c r="A16" s="256">
        <v>3</v>
      </c>
      <c r="B16" s="257" t="s">
        <v>443</v>
      </c>
      <c r="C16" s="258">
        <v>75831</v>
      </c>
      <c r="D16" s="258">
        <v>76046</v>
      </c>
      <c r="E16" s="258">
        <f t="shared" si="0"/>
        <v>215</v>
      </c>
      <c r="F16" s="259">
        <f t="shared" si="1"/>
        <v>2.8352520736901793E-3</v>
      </c>
    </row>
    <row r="17" spans="1:6" ht="20.25" customHeight="1" x14ac:dyDescent="0.3">
      <c r="A17" s="256">
        <v>4</v>
      </c>
      <c r="B17" s="257" t="s">
        <v>444</v>
      </c>
      <c r="C17" s="258">
        <v>48406</v>
      </c>
      <c r="D17" s="258">
        <v>37151</v>
      </c>
      <c r="E17" s="258">
        <f t="shared" si="0"/>
        <v>-11255</v>
      </c>
      <c r="F17" s="259">
        <f t="shared" si="1"/>
        <v>-0.23251249845060529</v>
      </c>
    </row>
    <row r="18" spans="1:6" ht="20.25" customHeight="1" x14ac:dyDescent="0.3">
      <c r="A18" s="256">
        <v>5</v>
      </c>
      <c r="B18" s="257" t="s">
        <v>381</v>
      </c>
      <c r="C18" s="260">
        <v>4</v>
      </c>
      <c r="D18" s="260">
        <v>3</v>
      </c>
      <c r="E18" s="260">
        <f t="shared" si="0"/>
        <v>-1</v>
      </c>
      <c r="F18" s="259">
        <f t="shared" si="1"/>
        <v>-0.25</v>
      </c>
    </row>
    <row r="19" spans="1:6" ht="20.25" customHeight="1" x14ac:dyDescent="0.3">
      <c r="A19" s="256">
        <v>6</v>
      </c>
      <c r="B19" s="257" t="s">
        <v>380</v>
      </c>
      <c r="C19" s="260">
        <v>16</v>
      </c>
      <c r="D19" s="260">
        <v>6</v>
      </c>
      <c r="E19" s="260">
        <f t="shared" si="0"/>
        <v>-10</v>
      </c>
      <c r="F19" s="259">
        <f t="shared" si="1"/>
        <v>-0.625</v>
      </c>
    </row>
    <row r="20" spans="1:6" ht="20.25" customHeight="1" x14ac:dyDescent="0.3">
      <c r="A20" s="256">
        <v>7</v>
      </c>
      <c r="B20" s="257" t="s">
        <v>445</v>
      </c>
      <c r="C20" s="260">
        <v>16</v>
      </c>
      <c r="D20" s="260">
        <v>7</v>
      </c>
      <c r="E20" s="260">
        <f t="shared" si="0"/>
        <v>-9</v>
      </c>
      <c r="F20" s="259">
        <f t="shared" si="1"/>
        <v>-0.5625</v>
      </c>
    </row>
    <row r="21" spans="1:6" ht="20.25" customHeight="1" x14ac:dyDescent="0.3">
      <c r="A21" s="256">
        <v>8</v>
      </c>
      <c r="B21" s="257" t="s">
        <v>446</v>
      </c>
      <c r="C21" s="260">
        <v>7</v>
      </c>
      <c r="D21" s="260">
        <v>3</v>
      </c>
      <c r="E21" s="260">
        <f t="shared" si="0"/>
        <v>-4</v>
      </c>
      <c r="F21" s="259">
        <f t="shared" si="1"/>
        <v>-0.5714285714285714</v>
      </c>
    </row>
    <row r="22" spans="1:6" ht="20.25" customHeight="1" x14ac:dyDescent="0.3">
      <c r="A22" s="256">
        <v>9</v>
      </c>
      <c r="B22" s="257" t="s">
        <v>447</v>
      </c>
      <c r="C22" s="260">
        <v>4</v>
      </c>
      <c r="D22" s="260">
        <v>1</v>
      </c>
      <c r="E22" s="260">
        <f t="shared" si="0"/>
        <v>-3</v>
      </c>
      <c r="F22" s="259">
        <f t="shared" si="1"/>
        <v>-0.75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180124</v>
      </c>
      <c r="D23" s="263">
        <f>+D14+D16</f>
        <v>190817</v>
      </c>
      <c r="E23" s="263">
        <f t="shared" si="0"/>
        <v>10693</v>
      </c>
      <c r="F23" s="264">
        <f t="shared" si="1"/>
        <v>5.9364659900957122E-2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84870</v>
      </c>
      <c r="D24" s="263">
        <f>+D15+D17</f>
        <v>51270</v>
      </c>
      <c r="E24" s="263">
        <f t="shared" si="0"/>
        <v>-33600</v>
      </c>
      <c r="F24" s="264">
        <f t="shared" si="1"/>
        <v>-0.39589961117002476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5211042</v>
      </c>
      <c r="D40" s="258">
        <v>5723534</v>
      </c>
      <c r="E40" s="258">
        <f t="shared" ref="E40:E50" si="4">D40-C40</f>
        <v>512492</v>
      </c>
      <c r="F40" s="259">
        <f t="shared" ref="F40:F50" si="5">IF(C40=0,0,E40/C40)</f>
        <v>9.8347317100879253E-2</v>
      </c>
    </row>
    <row r="41" spans="1:6" ht="20.25" customHeight="1" x14ac:dyDescent="0.3">
      <c r="A41" s="256">
        <v>2</v>
      </c>
      <c r="B41" s="257" t="s">
        <v>442</v>
      </c>
      <c r="C41" s="258">
        <v>1655326</v>
      </c>
      <c r="D41" s="258">
        <v>1636936</v>
      </c>
      <c r="E41" s="258">
        <f t="shared" si="4"/>
        <v>-18390</v>
      </c>
      <c r="F41" s="259">
        <f t="shared" si="5"/>
        <v>-1.1109594122245407E-2</v>
      </c>
    </row>
    <row r="42" spans="1:6" ht="20.25" customHeight="1" x14ac:dyDescent="0.3">
      <c r="A42" s="256">
        <v>3</v>
      </c>
      <c r="B42" s="257" t="s">
        <v>443</v>
      </c>
      <c r="C42" s="258">
        <v>5470953</v>
      </c>
      <c r="D42" s="258">
        <v>5459889</v>
      </c>
      <c r="E42" s="258">
        <f t="shared" si="4"/>
        <v>-11064</v>
      </c>
      <c r="F42" s="259">
        <f t="shared" si="5"/>
        <v>-2.0223167700398814E-3</v>
      </c>
    </row>
    <row r="43" spans="1:6" ht="20.25" customHeight="1" x14ac:dyDescent="0.3">
      <c r="A43" s="256">
        <v>4</v>
      </c>
      <c r="B43" s="257" t="s">
        <v>444</v>
      </c>
      <c r="C43" s="258">
        <v>1627117</v>
      </c>
      <c r="D43" s="258">
        <v>1539899</v>
      </c>
      <c r="E43" s="258">
        <f t="shared" si="4"/>
        <v>-87218</v>
      </c>
      <c r="F43" s="259">
        <f t="shared" si="5"/>
        <v>-5.360278332781232E-2</v>
      </c>
    </row>
    <row r="44" spans="1:6" ht="20.25" customHeight="1" x14ac:dyDescent="0.3">
      <c r="A44" s="256">
        <v>5</v>
      </c>
      <c r="B44" s="257" t="s">
        <v>381</v>
      </c>
      <c r="C44" s="260">
        <v>136</v>
      </c>
      <c r="D44" s="260">
        <v>147</v>
      </c>
      <c r="E44" s="260">
        <f t="shared" si="4"/>
        <v>11</v>
      </c>
      <c r="F44" s="259">
        <f t="shared" si="5"/>
        <v>8.0882352941176475E-2</v>
      </c>
    </row>
    <row r="45" spans="1:6" ht="20.25" customHeight="1" x14ac:dyDescent="0.3">
      <c r="A45" s="256">
        <v>6</v>
      </c>
      <c r="B45" s="257" t="s">
        <v>380</v>
      </c>
      <c r="C45" s="260">
        <v>655</v>
      </c>
      <c r="D45" s="260">
        <v>786</v>
      </c>
      <c r="E45" s="260">
        <f t="shared" si="4"/>
        <v>131</v>
      </c>
      <c r="F45" s="259">
        <f t="shared" si="5"/>
        <v>0.2</v>
      </c>
    </row>
    <row r="46" spans="1:6" ht="20.25" customHeight="1" x14ac:dyDescent="0.3">
      <c r="A46" s="256">
        <v>7</v>
      </c>
      <c r="B46" s="257" t="s">
        <v>445</v>
      </c>
      <c r="C46" s="260">
        <v>1270</v>
      </c>
      <c r="D46" s="260">
        <v>1217</v>
      </c>
      <c r="E46" s="260">
        <f t="shared" si="4"/>
        <v>-53</v>
      </c>
      <c r="F46" s="259">
        <f t="shared" si="5"/>
        <v>-4.1732283464566929E-2</v>
      </c>
    </row>
    <row r="47" spans="1:6" ht="20.25" customHeight="1" x14ac:dyDescent="0.3">
      <c r="A47" s="256">
        <v>8</v>
      </c>
      <c r="B47" s="257" t="s">
        <v>446</v>
      </c>
      <c r="C47" s="260">
        <v>148</v>
      </c>
      <c r="D47" s="260">
        <v>205</v>
      </c>
      <c r="E47" s="260">
        <f t="shared" si="4"/>
        <v>57</v>
      </c>
      <c r="F47" s="259">
        <f t="shared" si="5"/>
        <v>0.38513513513513514</v>
      </c>
    </row>
    <row r="48" spans="1:6" ht="20.25" customHeight="1" x14ac:dyDescent="0.3">
      <c r="A48" s="256">
        <v>9</v>
      </c>
      <c r="B48" s="257" t="s">
        <v>447</v>
      </c>
      <c r="C48" s="260">
        <v>100</v>
      </c>
      <c r="D48" s="260">
        <v>112</v>
      </c>
      <c r="E48" s="260">
        <f t="shared" si="4"/>
        <v>12</v>
      </c>
      <c r="F48" s="259">
        <f t="shared" si="5"/>
        <v>0.12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10681995</v>
      </c>
      <c r="D49" s="263">
        <f>+D40+D42</f>
        <v>11183423</v>
      </c>
      <c r="E49" s="263">
        <f t="shared" si="4"/>
        <v>501428</v>
      </c>
      <c r="F49" s="264">
        <f t="shared" si="5"/>
        <v>4.6941418714388089E-2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3282443</v>
      </c>
      <c r="D50" s="263">
        <f>+D41+D43</f>
        <v>3176835</v>
      </c>
      <c r="E50" s="263">
        <f t="shared" si="4"/>
        <v>-105608</v>
      </c>
      <c r="F50" s="264">
        <f t="shared" si="5"/>
        <v>-3.2173597530863449E-2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4112886</v>
      </c>
      <c r="D66" s="258">
        <v>2691351</v>
      </c>
      <c r="E66" s="258">
        <f t="shared" ref="E66:E76" si="8">D66-C66</f>
        <v>-1421535</v>
      </c>
      <c r="F66" s="259">
        <f t="shared" ref="F66:F76" si="9">IF(C66=0,0,E66/C66)</f>
        <v>-0.3456295652250026</v>
      </c>
    </row>
    <row r="67" spans="1:6" ht="20.25" customHeight="1" x14ac:dyDescent="0.3">
      <c r="A67" s="256">
        <v>2</v>
      </c>
      <c r="B67" s="257" t="s">
        <v>442</v>
      </c>
      <c r="C67" s="258">
        <v>1238969</v>
      </c>
      <c r="D67" s="258">
        <v>736252</v>
      </c>
      <c r="E67" s="258">
        <f t="shared" si="8"/>
        <v>-502717</v>
      </c>
      <c r="F67" s="259">
        <f t="shared" si="9"/>
        <v>-0.40575430055150696</v>
      </c>
    </row>
    <row r="68" spans="1:6" ht="20.25" customHeight="1" x14ac:dyDescent="0.3">
      <c r="A68" s="256">
        <v>3</v>
      </c>
      <c r="B68" s="257" t="s">
        <v>443</v>
      </c>
      <c r="C68" s="258">
        <v>3007884</v>
      </c>
      <c r="D68" s="258">
        <v>1796342</v>
      </c>
      <c r="E68" s="258">
        <f t="shared" si="8"/>
        <v>-1211542</v>
      </c>
      <c r="F68" s="259">
        <f t="shared" si="9"/>
        <v>-0.40278880435548714</v>
      </c>
    </row>
    <row r="69" spans="1:6" ht="20.25" customHeight="1" x14ac:dyDescent="0.3">
      <c r="A69" s="256">
        <v>4</v>
      </c>
      <c r="B69" s="257" t="s">
        <v>444</v>
      </c>
      <c r="C69" s="258">
        <v>1443291</v>
      </c>
      <c r="D69" s="258">
        <v>569249</v>
      </c>
      <c r="E69" s="258">
        <f t="shared" si="8"/>
        <v>-874042</v>
      </c>
      <c r="F69" s="259">
        <f t="shared" si="9"/>
        <v>-0.60558958657678874</v>
      </c>
    </row>
    <row r="70" spans="1:6" ht="20.25" customHeight="1" x14ac:dyDescent="0.3">
      <c r="A70" s="256">
        <v>5</v>
      </c>
      <c r="B70" s="257" t="s">
        <v>381</v>
      </c>
      <c r="C70" s="260">
        <v>113</v>
      </c>
      <c r="D70" s="260">
        <v>66</v>
      </c>
      <c r="E70" s="260">
        <f t="shared" si="8"/>
        <v>-47</v>
      </c>
      <c r="F70" s="259">
        <f t="shared" si="9"/>
        <v>-0.41592920353982299</v>
      </c>
    </row>
    <row r="71" spans="1:6" ht="20.25" customHeight="1" x14ac:dyDescent="0.3">
      <c r="A71" s="256">
        <v>6</v>
      </c>
      <c r="B71" s="257" t="s">
        <v>380</v>
      </c>
      <c r="C71" s="260">
        <v>682</v>
      </c>
      <c r="D71" s="260">
        <v>379</v>
      </c>
      <c r="E71" s="260">
        <f t="shared" si="8"/>
        <v>-303</v>
      </c>
      <c r="F71" s="259">
        <f t="shared" si="9"/>
        <v>-0.44428152492668621</v>
      </c>
    </row>
    <row r="72" spans="1:6" ht="20.25" customHeight="1" x14ac:dyDescent="0.3">
      <c r="A72" s="256">
        <v>7</v>
      </c>
      <c r="B72" s="257" t="s">
        <v>445</v>
      </c>
      <c r="C72" s="260">
        <v>855</v>
      </c>
      <c r="D72" s="260">
        <v>432</v>
      </c>
      <c r="E72" s="260">
        <f t="shared" si="8"/>
        <v>-423</v>
      </c>
      <c r="F72" s="259">
        <f t="shared" si="9"/>
        <v>-0.49473684210526314</v>
      </c>
    </row>
    <row r="73" spans="1:6" ht="20.25" customHeight="1" x14ac:dyDescent="0.3">
      <c r="A73" s="256">
        <v>8</v>
      </c>
      <c r="B73" s="257" t="s">
        <v>446</v>
      </c>
      <c r="C73" s="260">
        <v>163</v>
      </c>
      <c r="D73" s="260">
        <v>110</v>
      </c>
      <c r="E73" s="260">
        <f t="shared" si="8"/>
        <v>-53</v>
      </c>
      <c r="F73" s="259">
        <f t="shared" si="9"/>
        <v>-0.32515337423312884</v>
      </c>
    </row>
    <row r="74" spans="1:6" ht="20.25" customHeight="1" x14ac:dyDescent="0.3">
      <c r="A74" s="256">
        <v>9</v>
      </c>
      <c r="B74" s="257" t="s">
        <v>447</v>
      </c>
      <c r="C74" s="260">
        <v>90</v>
      </c>
      <c r="D74" s="260">
        <v>62</v>
      </c>
      <c r="E74" s="260">
        <f t="shared" si="8"/>
        <v>-28</v>
      </c>
      <c r="F74" s="259">
        <f t="shared" si="9"/>
        <v>-0.31111111111111112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7120770</v>
      </c>
      <c r="D75" s="263">
        <f>+D66+D68</f>
        <v>4487693</v>
      </c>
      <c r="E75" s="263">
        <f t="shared" si="8"/>
        <v>-2633077</v>
      </c>
      <c r="F75" s="264">
        <f t="shared" si="9"/>
        <v>-0.36977419576815429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2682260</v>
      </c>
      <c r="D76" s="263">
        <f>+D67+D69</f>
        <v>1305501</v>
      </c>
      <c r="E76" s="263">
        <f t="shared" si="8"/>
        <v>-1376759</v>
      </c>
      <c r="F76" s="264">
        <f t="shared" si="9"/>
        <v>-0.51328320147934947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9232176</v>
      </c>
      <c r="D118" s="258">
        <v>15874033</v>
      </c>
      <c r="E118" s="258">
        <f t="shared" ref="E118:E128" si="16">D118-C118</f>
        <v>6641857</v>
      </c>
      <c r="F118" s="259">
        <f t="shared" ref="F118:F128" si="17">IF(C118=0,0,E118/C118)</f>
        <v>0.71942486798345262</v>
      </c>
    </row>
    <row r="119" spans="1:6" ht="20.25" customHeight="1" x14ac:dyDescent="0.3">
      <c r="A119" s="256">
        <v>2</v>
      </c>
      <c r="B119" s="257" t="s">
        <v>442</v>
      </c>
      <c r="C119" s="258">
        <v>2987736</v>
      </c>
      <c r="D119" s="258">
        <v>4781359</v>
      </c>
      <c r="E119" s="258">
        <f t="shared" si="16"/>
        <v>1793623</v>
      </c>
      <c r="F119" s="259">
        <f t="shared" si="17"/>
        <v>0.60032847614380924</v>
      </c>
    </row>
    <row r="120" spans="1:6" ht="20.25" customHeight="1" x14ac:dyDescent="0.3">
      <c r="A120" s="256">
        <v>3</v>
      </c>
      <c r="B120" s="257" t="s">
        <v>443</v>
      </c>
      <c r="C120" s="258">
        <v>10443625</v>
      </c>
      <c r="D120" s="258">
        <v>14996062</v>
      </c>
      <c r="E120" s="258">
        <f t="shared" si="16"/>
        <v>4552437</v>
      </c>
      <c r="F120" s="259">
        <f t="shared" si="17"/>
        <v>0.43590582771786618</v>
      </c>
    </row>
    <row r="121" spans="1:6" ht="20.25" customHeight="1" x14ac:dyDescent="0.3">
      <c r="A121" s="256">
        <v>4</v>
      </c>
      <c r="B121" s="257" t="s">
        <v>444</v>
      </c>
      <c r="C121" s="258">
        <v>3207211</v>
      </c>
      <c r="D121" s="258">
        <v>4462408</v>
      </c>
      <c r="E121" s="258">
        <f t="shared" si="16"/>
        <v>1255197</v>
      </c>
      <c r="F121" s="259">
        <f t="shared" si="17"/>
        <v>0.39136714110795956</v>
      </c>
    </row>
    <row r="122" spans="1:6" ht="20.25" customHeight="1" x14ac:dyDescent="0.3">
      <c r="A122" s="256">
        <v>5</v>
      </c>
      <c r="B122" s="257" t="s">
        <v>381</v>
      </c>
      <c r="C122" s="260">
        <v>258</v>
      </c>
      <c r="D122" s="260">
        <v>421</v>
      </c>
      <c r="E122" s="260">
        <f t="shared" si="16"/>
        <v>163</v>
      </c>
      <c r="F122" s="259">
        <f t="shared" si="17"/>
        <v>0.63178294573643412</v>
      </c>
    </row>
    <row r="123" spans="1:6" ht="20.25" customHeight="1" x14ac:dyDescent="0.3">
      <c r="A123" s="256">
        <v>6</v>
      </c>
      <c r="B123" s="257" t="s">
        <v>380</v>
      </c>
      <c r="C123" s="260">
        <v>1322</v>
      </c>
      <c r="D123" s="260">
        <v>2194</v>
      </c>
      <c r="E123" s="260">
        <f t="shared" si="16"/>
        <v>872</v>
      </c>
      <c r="F123" s="259">
        <f t="shared" si="17"/>
        <v>0.65960665658093798</v>
      </c>
    </row>
    <row r="124" spans="1:6" ht="20.25" customHeight="1" x14ac:dyDescent="0.3">
      <c r="A124" s="256">
        <v>7</v>
      </c>
      <c r="B124" s="257" t="s">
        <v>445</v>
      </c>
      <c r="C124" s="260">
        <v>2640</v>
      </c>
      <c r="D124" s="260">
        <v>3557</v>
      </c>
      <c r="E124" s="260">
        <f t="shared" si="16"/>
        <v>917</v>
      </c>
      <c r="F124" s="259">
        <f t="shared" si="17"/>
        <v>0.34734848484848485</v>
      </c>
    </row>
    <row r="125" spans="1:6" ht="20.25" customHeight="1" x14ac:dyDescent="0.3">
      <c r="A125" s="256">
        <v>8</v>
      </c>
      <c r="B125" s="257" t="s">
        <v>446</v>
      </c>
      <c r="C125" s="260">
        <v>329</v>
      </c>
      <c r="D125" s="260">
        <v>471</v>
      </c>
      <c r="E125" s="260">
        <f t="shared" si="16"/>
        <v>142</v>
      </c>
      <c r="F125" s="259">
        <f t="shared" si="17"/>
        <v>0.43161094224924013</v>
      </c>
    </row>
    <row r="126" spans="1:6" ht="20.25" customHeight="1" x14ac:dyDescent="0.3">
      <c r="A126" s="256">
        <v>9</v>
      </c>
      <c r="B126" s="257" t="s">
        <v>447</v>
      </c>
      <c r="C126" s="260">
        <v>198</v>
      </c>
      <c r="D126" s="260">
        <v>314</v>
      </c>
      <c r="E126" s="260">
        <f t="shared" si="16"/>
        <v>116</v>
      </c>
      <c r="F126" s="259">
        <f t="shared" si="17"/>
        <v>0.58585858585858586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19675801</v>
      </c>
      <c r="D127" s="263">
        <f>+D118+D120</f>
        <v>30870095</v>
      </c>
      <c r="E127" s="263">
        <f t="shared" si="16"/>
        <v>11194294</v>
      </c>
      <c r="F127" s="264">
        <f t="shared" si="17"/>
        <v>0.56893714263526041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6194947</v>
      </c>
      <c r="D128" s="263">
        <f>+D119+D121</f>
        <v>9243767</v>
      </c>
      <c r="E128" s="263">
        <f t="shared" si="16"/>
        <v>3048820</v>
      </c>
      <c r="F128" s="264">
        <f t="shared" si="17"/>
        <v>0.49214626049262405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15851873</v>
      </c>
      <c r="D144" s="258">
        <v>16429903</v>
      </c>
      <c r="E144" s="258">
        <f t="shared" ref="E144:E154" si="20">D144-C144</f>
        <v>578030</v>
      </c>
      <c r="F144" s="259">
        <f t="shared" ref="F144:F154" si="21">IF(C144=0,0,E144/C144)</f>
        <v>3.6464460698114348E-2</v>
      </c>
    </row>
    <row r="145" spans="1:6" ht="20.25" customHeight="1" x14ac:dyDescent="0.3">
      <c r="A145" s="256">
        <v>2</v>
      </c>
      <c r="B145" s="257" t="s">
        <v>442</v>
      </c>
      <c r="C145" s="258">
        <v>4849184</v>
      </c>
      <c r="D145" s="258">
        <v>4979897</v>
      </c>
      <c r="E145" s="258">
        <f t="shared" si="20"/>
        <v>130713</v>
      </c>
      <c r="F145" s="259">
        <f t="shared" si="21"/>
        <v>2.6955669242495234E-2</v>
      </c>
    </row>
    <row r="146" spans="1:6" ht="20.25" customHeight="1" x14ac:dyDescent="0.3">
      <c r="A146" s="256">
        <v>3</v>
      </c>
      <c r="B146" s="257" t="s">
        <v>443</v>
      </c>
      <c r="C146" s="258">
        <v>14412520</v>
      </c>
      <c r="D146" s="258">
        <v>16393027</v>
      </c>
      <c r="E146" s="258">
        <f t="shared" si="20"/>
        <v>1980507</v>
      </c>
      <c r="F146" s="259">
        <f t="shared" si="21"/>
        <v>0.1374157329877079</v>
      </c>
    </row>
    <row r="147" spans="1:6" ht="20.25" customHeight="1" x14ac:dyDescent="0.3">
      <c r="A147" s="256">
        <v>4</v>
      </c>
      <c r="B147" s="257" t="s">
        <v>444</v>
      </c>
      <c r="C147" s="258">
        <v>4108698</v>
      </c>
      <c r="D147" s="258">
        <v>4937042</v>
      </c>
      <c r="E147" s="258">
        <f t="shared" si="20"/>
        <v>828344</v>
      </c>
      <c r="F147" s="259">
        <f t="shared" si="21"/>
        <v>0.20160741918729486</v>
      </c>
    </row>
    <row r="148" spans="1:6" ht="20.25" customHeight="1" x14ac:dyDescent="0.3">
      <c r="A148" s="256">
        <v>5</v>
      </c>
      <c r="B148" s="257" t="s">
        <v>381</v>
      </c>
      <c r="C148" s="260">
        <v>440</v>
      </c>
      <c r="D148" s="260">
        <v>443</v>
      </c>
      <c r="E148" s="260">
        <f t="shared" si="20"/>
        <v>3</v>
      </c>
      <c r="F148" s="259">
        <f t="shared" si="21"/>
        <v>6.8181818181818179E-3</v>
      </c>
    </row>
    <row r="149" spans="1:6" ht="20.25" customHeight="1" x14ac:dyDescent="0.3">
      <c r="A149" s="256">
        <v>6</v>
      </c>
      <c r="B149" s="257" t="s">
        <v>380</v>
      </c>
      <c r="C149" s="260">
        <v>2373</v>
      </c>
      <c r="D149" s="260">
        <v>2295</v>
      </c>
      <c r="E149" s="260">
        <f t="shared" si="20"/>
        <v>-78</v>
      </c>
      <c r="F149" s="259">
        <f t="shared" si="21"/>
        <v>-3.286978508217446E-2</v>
      </c>
    </row>
    <row r="150" spans="1:6" ht="20.25" customHeight="1" x14ac:dyDescent="0.3">
      <c r="A150" s="256">
        <v>7</v>
      </c>
      <c r="B150" s="257" t="s">
        <v>445</v>
      </c>
      <c r="C150" s="260">
        <v>4242</v>
      </c>
      <c r="D150" s="260">
        <v>3696</v>
      </c>
      <c r="E150" s="260">
        <f t="shared" si="20"/>
        <v>-546</v>
      </c>
      <c r="F150" s="259">
        <f t="shared" si="21"/>
        <v>-0.12871287128712872</v>
      </c>
    </row>
    <row r="151" spans="1:6" ht="20.25" customHeight="1" x14ac:dyDescent="0.3">
      <c r="A151" s="256">
        <v>8</v>
      </c>
      <c r="B151" s="257" t="s">
        <v>446</v>
      </c>
      <c r="C151" s="260">
        <v>549</v>
      </c>
      <c r="D151" s="260">
        <v>543</v>
      </c>
      <c r="E151" s="260">
        <f t="shared" si="20"/>
        <v>-6</v>
      </c>
      <c r="F151" s="259">
        <f t="shared" si="21"/>
        <v>-1.092896174863388E-2</v>
      </c>
    </row>
    <row r="152" spans="1:6" ht="20.25" customHeight="1" x14ac:dyDescent="0.3">
      <c r="A152" s="256">
        <v>9</v>
      </c>
      <c r="B152" s="257" t="s">
        <v>447</v>
      </c>
      <c r="C152" s="260">
        <v>334</v>
      </c>
      <c r="D152" s="260">
        <v>344</v>
      </c>
      <c r="E152" s="260">
        <f t="shared" si="20"/>
        <v>10</v>
      </c>
      <c r="F152" s="259">
        <f t="shared" si="21"/>
        <v>2.9940119760479042E-2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30264393</v>
      </c>
      <c r="D153" s="263">
        <f>+D144+D146</f>
        <v>32822930</v>
      </c>
      <c r="E153" s="263">
        <f t="shared" si="20"/>
        <v>2558537</v>
      </c>
      <c r="F153" s="264">
        <f t="shared" si="21"/>
        <v>8.4539511497884662E-2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8957882</v>
      </c>
      <c r="D154" s="263">
        <f>+D145+D147</f>
        <v>9916939</v>
      </c>
      <c r="E154" s="263">
        <f t="shared" si="20"/>
        <v>959057</v>
      </c>
      <c r="F154" s="264">
        <f t="shared" si="21"/>
        <v>0.10706291956067293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294244</v>
      </c>
      <c r="D183" s="258">
        <v>98869</v>
      </c>
      <c r="E183" s="258">
        <f t="shared" ref="E183:E193" si="26">D183-C183</f>
        <v>-195375</v>
      </c>
      <c r="F183" s="259">
        <f t="shared" ref="F183:F193" si="27">IF(C183=0,0,E183/C183)</f>
        <v>-0.66398975000339855</v>
      </c>
    </row>
    <row r="184" spans="1:6" ht="20.25" customHeight="1" x14ac:dyDescent="0.3">
      <c r="A184" s="256">
        <v>2</v>
      </c>
      <c r="B184" s="257" t="s">
        <v>442</v>
      </c>
      <c r="C184" s="258">
        <v>97998</v>
      </c>
      <c r="D184" s="258">
        <v>42487</v>
      </c>
      <c r="E184" s="258">
        <f t="shared" si="26"/>
        <v>-55511</v>
      </c>
      <c r="F184" s="259">
        <f t="shared" si="27"/>
        <v>-0.56645033572113712</v>
      </c>
    </row>
    <row r="185" spans="1:6" ht="20.25" customHeight="1" x14ac:dyDescent="0.3">
      <c r="A185" s="256">
        <v>3</v>
      </c>
      <c r="B185" s="257" t="s">
        <v>443</v>
      </c>
      <c r="C185" s="258">
        <v>149665</v>
      </c>
      <c r="D185" s="258">
        <v>250823</v>
      </c>
      <c r="E185" s="258">
        <f t="shared" si="26"/>
        <v>101158</v>
      </c>
      <c r="F185" s="259">
        <f t="shared" si="27"/>
        <v>0.67589616810877629</v>
      </c>
    </row>
    <row r="186" spans="1:6" ht="20.25" customHeight="1" x14ac:dyDescent="0.3">
      <c r="A186" s="256">
        <v>4</v>
      </c>
      <c r="B186" s="257" t="s">
        <v>444</v>
      </c>
      <c r="C186" s="258">
        <v>41974</v>
      </c>
      <c r="D186" s="258">
        <v>61467</v>
      </c>
      <c r="E186" s="258">
        <f t="shared" si="26"/>
        <v>19493</v>
      </c>
      <c r="F186" s="259">
        <f t="shared" si="27"/>
        <v>0.46440653738028304</v>
      </c>
    </row>
    <row r="187" spans="1:6" ht="20.25" customHeight="1" x14ac:dyDescent="0.3">
      <c r="A187" s="256">
        <v>5</v>
      </c>
      <c r="B187" s="257" t="s">
        <v>381</v>
      </c>
      <c r="C187" s="260">
        <v>7</v>
      </c>
      <c r="D187" s="260">
        <v>3</v>
      </c>
      <c r="E187" s="260">
        <f t="shared" si="26"/>
        <v>-4</v>
      </c>
      <c r="F187" s="259">
        <f t="shared" si="27"/>
        <v>-0.5714285714285714</v>
      </c>
    </row>
    <row r="188" spans="1:6" ht="20.25" customHeight="1" x14ac:dyDescent="0.3">
      <c r="A188" s="256">
        <v>6</v>
      </c>
      <c r="B188" s="257" t="s">
        <v>380</v>
      </c>
      <c r="C188" s="260">
        <v>42</v>
      </c>
      <c r="D188" s="260">
        <v>9</v>
      </c>
      <c r="E188" s="260">
        <f t="shared" si="26"/>
        <v>-33</v>
      </c>
      <c r="F188" s="259">
        <f t="shared" si="27"/>
        <v>-0.7857142857142857</v>
      </c>
    </row>
    <row r="189" spans="1:6" ht="20.25" customHeight="1" x14ac:dyDescent="0.3">
      <c r="A189" s="256">
        <v>7</v>
      </c>
      <c r="B189" s="257" t="s">
        <v>445</v>
      </c>
      <c r="C189" s="260">
        <v>150</v>
      </c>
      <c r="D189" s="260">
        <v>169</v>
      </c>
      <c r="E189" s="260">
        <f t="shared" si="26"/>
        <v>19</v>
      </c>
      <c r="F189" s="259">
        <f t="shared" si="27"/>
        <v>0.12666666666666668</v>
      </c>
    </row>
    <row r="190" spans="1:6" ht="20.25" customHeight="1" x14ac:dyDescent="0.3">
      <c r="A190" s="256">
        <v>8</v>
      </c>
      <c r="B190" s="257" t="s">
        <v>446</v>
      </c>
      <c r="C190" s="260">
        <v>5</v>
      </c>
      <c r="D190" s="260">
        <v>16</v>
      </c>
      <c r="E190" s="260">
        <f t="shared" si="26"/>
        <v>11</v>
      </c>
      <c r="F190" s="259">
        <f t="shared" si="27"/>
        <v>2.2000000000000002</v>
      </c>
    </row>
    <row r="191" spans="1:6" ht="20.25" customHeight="1" x14ac:dyDescent="0.3">
      <c r="A191" s="256">
        <v>9</v>
      </c>
      <c r="B191" s="257" t="s">
        <v>447</v>
      </c>
      <c r="C191" s="260">
        <v>6</v>
      </c>
      <c r="D191" s="260">
        <v>3</v>
      </c>
      <c r="E191" s="260">
        <f t="shared" si="26"/>
        <v>-3</v>
      </c>
      <c r="F191" s="259">
        <f t="shared" si="27"/>
        <v>-0.5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443909</v>
      </c>
      <c r="D192" s="263">
        <f>+D183+D185</f>
        <v>349692</v>
      </c>
      <c r="E192" s="263">
        <f t="shared" si="26"/>
        <v>-94217</v>
      </c>
      <c r="F192" s="264">
        <f t="shared" si="27"/>
        <v>-0.2122439508998466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139972</v>
      </c>
      <c r="D193" s="263">
        <f>+D184+D186</f>
        <v>103954</v>
      </c>
      <c r="E193" s="263">
        <f t="shared" si="26"/>
        <v>-36018</v>
      </c>
      <c r="F193" s="264">
        <f t="shared" si="27"/>
        <v>-0.25732289315005857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34806514</v>
      </c>
      <c r="D198" s="263">
        <f t="shared" si="28"/>
        <v>40932461</v>
      </c>
      <c r="E198" s="263">
        <f t="shared" ref="E198:E208" si="29">D198-C198</f>
        <v>6125947</v>
      </c>
      <c r="F198" s="273">
        <f t="shared" ref="F198:F208" si="30">IF(C198=0,0,E198/C198)</f>
        <v>0.17600001539941632</v>
      </c>
    </row>
    <row r="199" spans="1:9" ht="20.25" customHeight="1" x14ac:dyDescent="0.3">
      <c r="A199" s="271"/>
      <c r="B199" s="272" t="s">
        <v>466</v>
      </c>
      <c r="C199" s="263">
        <f t="shared" si="28"/>
        <v>10865677</v>
      </c>
      <c r="D199" s="263">
        <f t="shared" si="28"/>
        <v>12191050</v>
      </c>
      <c r="E199" s="263">
        <f t="shared" si="29"/>
        <v>1325373</v>
      </c>
      <c r="F199" s="273">
        <f t="shared" si="30"/>
        <v>0.12197794946417052</v>
      </c>
    </row>
    <row r="200" spans="1:9" ht="20.25" customHeight="1" x14ac:dyDescent="0.3">
      <c r="A200" s="271"/>
      <c r="B200" s="272" t="s">
        <v>467</v>
      </c>
      <c r="C200" s="263">
        <f t="shared" si="28"/>
        <v>33560478</v>
      </c>
      <c r="D200" s="263">
        <f t="shared" si="28"/>
        <v>38972189</v>
      </c>
      <c r="E200" s="263">
        <f t="shared" si="29"/>
        <v>5411711</v>
      </c>
      <c r="F200" s="273">
        <f t="shared" si="30"/>
        <v>0.1612525006348241</v>
      </c>
    </row>
    <row r="201" spans="1:9" ht="20.25" customHeight="1" x14ac:dyDescent="0.3">
      <c r="A201" s="271"/>
      <c r="B201" s="272" t="s">
        <v>468</v>
      </c>
      <c r="C201" s="263">
        <f t="shared" si="28"/>
        <v>10476697</v>
      </c>
      <c r="D201" s="263">
        <f t="shared" si="28"/>
        <v>11607216</v>
      </c>
      <c r="E201" s="263">
        <f t="shared" si="29"/>
        <v>1130519</v>
      </c>
      <c r="F201" s="273">
        <f t="shared" si="30"/>
        <v>0.107907959922865</v>
      </c>
    </row>
    <row r="202" spans="1:9" ht="20.25" customHeight="1" x14ac:dyDescent="0.3">
      <c r="A202" s="271"/>
      <c r="B202" s="272" t="s">
        <v>138</v>
      </c>
      <c r="C202" s="274">
        <f t="shared" si="28"/>
        <v>958</v>
      </c>
      <c r="D202" s="274">
        <f t="shared" si="28"/>
        <v>1083</v>
      </c>
      <c r="E202" s="274">
        <f t="shared" si="29"/>
        <v>125</v>
      </c>
      <c r="F202" s="273">
        <f t="shared" si="30"/>
        <v>0.13048016701461379</v>
      </c>
    </row>
    <row r="203" spans="1:9" ht="20.25" customHeight="1" x14ac:dyDescent="0.3">
      <c r="A203" s="271"/>
      <c r="B203" s="272" t="s">
        <v>140</v>
      </c>
      <c r="C203" s="274">
        <f t="shared" si="28"/>
        <v>5090</v>
      </c>
      <c r="D203" s="274">
        <f t="shared" si="28"/>
        <v>5669</v>
      </c>
      <c r="E203" s="274">
        <f t="shared" si="29"/>
        <v>579</v>
      </c>
      <c r="F203" s="273">
        <f t="shared" si="30"/>
        <v>0.1137524557956778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9173</v>
      </c>
      <c r="D204" s="274">
        <f t="shared" si="28"/>
        <v>9078</v>
      </c>
      <c r="E204" s="274">
        <f t="shared" si="29"/>
        <v>-95</v>
      </c>
      <c r="F204" s="273">
        <f t="shared" si="30"/>
        <v>-1.0356480976779679E-2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1201</v>
      </c>
      <c r="D205" s="274">
        <f t="shared" si="28"/>
        <v>1348</v>
      </c>
      <c r="E205" s="274">
        <f t="shared" si="29"/>
        <v>147</v>
      </c>
      <c r="F205" s="273">
        <f t="shared" si="30"/>
        <v>0.12239800166527894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732</v>
      </c>
      <c r="D206" s="274">
        <f t="shared" si="28"/>
        <v>836</v>
      </c>
      <c r="E206" s="274">
        <f t="shared" si="29"/>
        <v>104</v>
      </c>
      <c r="F206" s="273">
        <f t="shared" si="30"/>
        <v>0.14207650273224043</v>
      </c>
    </row>
    <row r="207" spans="1:9" ht="20.25" customHeight="1" x14ac:dyDescent="0.3">
      <c r="A207" s="271"/>
      <c r="B207" s="262" t="s">
        <v>471</v>
      </c>
      <c r="C207" s="263">
        <f>+C198+C200</f>
        <v>68366992</v>
      </c>
      <c r="D207" s="263">
        <f>+D198+D200</f>
        <v>79904650</v>
      </c>
      <c r="E207" s="263">
        <f t="shared" si="29"/>
        <v>11537658</v>
      </c>
      <c r="F207" s="273">
        <f t="shared" si="30"/>
        <v>0.16876064987618586</v>
      </c>
    </row>
    <row r="208" spans="1:9" ht="20.25" customHeight="1" x14ac:dyDescent="0.3">
      <c r="A208" s="271"/>
      <c r="B208" s="262" t="s">
        <v>472</v>
      </c>
      <c r="C208" s="263">
        <f>+C199+C201</f>
        <v>21342374</v>
      </c>
      <c r="D208" s="263">
        <f>+D199+D201</f>
        <v>23798266</v>
      </c>
      <c r="E208" s="263">
        <f t="shared" si="29"/>
        <v>2455892</v>
      </c>
      <c r="F208" s="273">
        <f t="shared" si="30"/>
        <v>0.11507117249468124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FILING&amp;RDANBURY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FILING&amp;RDANBURY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71777507</v>
      </c>
      <c r="D13" s="22">
        <v>144314483</v>
      </c>
      <c r="E13" s="22">
        <f t="shared" ref="E13:E22" si="0">D13-C13</f>
        <v>72536976</v>
      </c>
      <c r="F13" s="306">
        <f t="shared" ref="F13:F22" si="1">IF(C13=0,0,E13/C13)</f>
        <v>1.010580877377087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14004464</v>
      </c>
      <c r="E14" s="22">
        <f t="shared" si="0"/>
        <v>14004464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76374995</v>
      </c>
      <c r="D15" s="22">
        <v>128633349</v>
      </c>
      <c r="E15" s="22">
        <f t="shared" si="0"/>
        <v>52258354</v>
      </c>
      <c r="F15" s="306">
        <f t="shared" si="1"/>
        <v>0.68423381238846559</v>
      </c>
    </row>
    <row r="16" spans="1:8" ht="35.1" customHeight="1" x14ac:dyDescent="0.2">
      <c r="A16" s="304">
        <v>4</v>
      </c>
      <c r="B16" s="305" t="s">
        <v>19</v>
      </c>
      <c r="C16" s="22">
        <v>6189827</v>
      </c>
      <c r="D16" s="22">
        <v>9863637</v>
      </c>
      <c r="E16" s="22">
        <f t="shared" si="0"/>
        <v>3673810</v>
      </c>
      <c r="F16" s="306">
        <f t="shared" si="1"/>
        <v>0.59352385777502348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11258609</v>
      </c>
      <c r="D19" s="22">
        <v>14459240</v>
      </c>
      <c r="E19" s="22">
        <f t="shared" si="0"/>
        <v>3200631</v>
      </c>
      <c r="F19" s="306">
        <f t="shared" si="1"/>
        <v>0.28428298735660862</v>
      </c>
    </row>
    <row r="20" spans="1:11" ht="24" customHeight="1" x14ac:dyDescent="0.2">
      <c r="A20" s="304">
        <v>8</v>
      </c>
      <c r="B20" s="305" t="s">
        <v>23</v>
      </c>
      <c r="C20" s="22">
        <v>15085296</v>
      </c>
      <c r="D20" s="22">
        <v>30762442</v>
      </c>
      <c r="E20" s="22">
        <f t="shared" si="0"/>
        <v>15677146</v>
      </c>
      <c r="F20" s="306">
        <f t="shared" si="1"/>
        <v>1.039233568900471</v>
      </c>
    </row>
    <row r="21" spans="1:11" ht="24" customHeight="1" x14ac:dyDescent="0.2">
      <c r="A21" s="304">
        <v>9</v>
      </c>
      <c r="B21" s="305" t="s">
        <v>24</v>
      </c>
      <c r="C21" s="22">
        <v>13627769</v>
      </c>
      <c r="D21" s="22">
        <v>16375353</v>
      </c>
      <c r="E21" s="22">
        <f t="shared" si="0"/>
        <v>2747584</v>
      </c>
      <c r="F21" s="306">
        <f t="shared" si="1"/>
        <v>0.20161656687899537</v>
      </c>
    </row>
    <row r="22" spans="1:11" ht="24" customHeight="1" x14ac:dyDescent="0.25">
      <c r="A22" s="307"/>
      <c r="B22" s="308" t="s">
        <v>25</v>
      </c>
      <c r="C22" s="309">
        <f>SUM(C13:C21)</f>
        <v>194314003</v>
      </c>
      <c r="D22" s="309">
        <f>SUM(D13:D21)</f>
        <v>358412968</v>
      </c>
      <c r="E22" s="309">
        <f t="shared" si="0"/>
        <v>164098965</v>
      </c>
      <c r="F22" s="310">
        <f t="shared" si="1"/>
        <v>0.84450406283895041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7593627</v>
      </c>
      <c r="D25" s="22">
        <v>15765862</v>
      </c>
      <c r="E25" s="22">
        <f>D25-C25</f>
        <v>8172235</v>
      </c>
      <c r="F25" s="306">
        <f>IF(C25=0,0,E25/C25)</f>
        <v>1.0761965263766577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102677901</v>
      </c>
      <c r="D28" s="22">
        <v>117033285</v>
      </c>
      <c r="E28" s="22">
        <f>D28-C28</f>
        <v>14355384</v>
      </c>
      <c r="F28" s="306">
        <f>IF(C28=0,0,E28/C28)</f>
        <v>0.13980987009074133</v>
      </c>
    </row>
    <row r="29" spans="1:11" ht="35.1" customHeight="1" x14ac:dyDescent="0.25">
      <c r="A29" s="307"/>
      <c r="B29" s="308" t="s">
        <v>32</v>
      </c>
      <c r="C29" s="309">
        <f>SUM(C25:C28)</f>
        <v>110271528</v>
      </c>
      <c r="D29" s="309">
        <f>SUM(D25:D28)</f>
        <v>132799147</v>
      </c>
      <c r="E29" s="309">
        <f>D29-C29</f>
        <v>22527619</v>
      </c>
      <c r="F29" s="310">
        <f>IF(C29=0,0,E29/C29)</f>
        <v>0.20429225393521344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269214330</v>
      </c>
      <c r="D32" s="22">
        <v>433150793</v>
      </c>
      <c r="E32" s="22">
        <f>D32-C32</f>
        <v>163936463</v>
      </c>
      <c r="F32" s="306">
        <f>IF(C32=0,0,E32/C32)</f>
        <v>0.60894404469479768</v>
      </c>
    </row>
    <row r="33" spans="1:8" ht="24" customHeight="1" x14ac:dyDescent="0.2">
      <c r="A33" s="304">
        <v>7</v>
      </c>
      <c r="B33" s="305" t="s">
        <v>35</v>
      </c>
      <c r="C33" s="22">
        <v>49578607</v>
      </c>
      <c r="D33" s="22">
        <v>53835196</v>
      </c>
      <c r="E33" s="22">
        <f>D33-C33</f>
        <v>4256589</v>
      </c>
      <c r="F33" s="306">
        <f>IF(C33=0,0,E33/C33)</f>
        <v>8.5855356928442941E-2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647668638</v>
      </c>
      <c r="D36" s="22">
        <v>1318420986</v>
      </c>
      <c r="E36" s="22">
        <f>D36-C36</f>
        <v>670752348</v>
      </c>
      <c r="F36" s="306">
        <f>IF(C36=0,0,E36/C36)</f>
        <v>1.0356412348006883</v>
      </c>
    </row>
    <row r="37" spans="1:8" ht="24" customHeight="1" x14ac:dyDescent="0.2">
      <c r="A37" s="304">
        <v>2</v>
      </c>
      <c r="B37" s="305" t="s">
        <v>39</v>
      </c>
      <c r="C37" s="22">
        <v>408828028</v>
      </c>
      <c r="D37" s="22">
        <v>775229849</v>
      </c>
      <c r="E37" s="22">
        <f>D37-C37</f>
        <v>366401821</v>
      </c>
      <c r="F37" s="22">
        <f>IF(C37=0,0,E37/C37)</f>
        <v>0.89622480824626827</v>
      </c>
    </row>
    <row r="38" spans="1:8" ht="24" customHeight="1" x14ac:dyDescent="0.25">
      <c r="A38" s="307"/>
      <c r="B38" s="308" t="s">
        <v>40</v>
      </c>
      <c r="C38" s="309">
        <f>C36-C37</f>
        <v>238840610</v>
      </c>
      <c r="D38" s="309">
        <f>D36-D37</f>
        <v>543191137</v>
      </c>
      <c r="E38" s="309">
        <f>D38-C38</f>
        <v>304350527</v>
      </c>
      <c r="F38" s="310">
        <f>IF(C38=0,0,E38/C38)</f>
        <v>1.2742829914895963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110954585</v>
      </c>
      <c r="D40" s="22">
        <v>108748595</v>
      </c>
      <c r="E40" s="22">
        <f>D40-C40</f>
        <v>-2205990</v>
      </c>
      <c r="F40" s="306">
        <f>IF(C40=0,0,E40/C40)</f>
        <v>-1.9881918354252778E-2</v>
      </c>
    </row>
    <row r="41" spans="1:8" ht="24" customHeight="1" x14ac:dyDescent="0.25">
      <c r="A41" s="307"/>
      <c r="B41" s="308" t="s">
        <v>42</v>
      </c>
      <c r="C41" s="309">
        <f>+C38+C40</f>
        <v>349795195</v>
      </c>
      <c r="D41" s="309">
        <f>+D38+D40</f>
        <v>651939732</v>
      </c>
      <c r="E41" s="309">
        <f>D41-C41</f>
        <v>302144537</v>
      </c>
      <c r="F41" s="310">
        <f>IF(C41=0,0,E41/C41)</f>
        <v>0.8637755501472798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973173663</v>
      </c>
      <c r="D43" s="309">
        <f>D22+D29+D31+D32+D33+D41</f>
        <v>1630137836</v>
      </c>
      <c r="E43" s="309">
        <f>D43-C43</f>
        <v>656964173</v>
      </c>
      <c r="F43" s="310">
        <f>IF(C43=0,0,E43/C43)</f>
        <v>0.67507393384935865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41394472</v>
      </c>
      <c r="D49" s="22">
        <v>78566464</v>
      </c>
      <c r="E49" s="22">
        <f t="shared" ref="E49:E56" si="2">D49-C49</f>
        <v>37171992</v>
      </c>
      <c r="F49" s="306">
        <f t="shared" ref="F49:F56" si="3">IF(C49=0,0,E49/C49)</f>
        <v>0.89799410897184528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44842213</v>
      </c>
      <c r="D50" s="22">
        <v>69089102</v>
      </c>
      <c r="E50" s="22">
        <f t="shared" si="2"/>
        <v>24246889</v>
      </c>
      <c r="F50" s="306">
        <f t="shared" si="3"/>
        <v>0.54071570910204636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10798195</v>
      </c>
      <c r="D51" s="22">
        <v>53635921</v>
      </c>
      <c r="E51" s="22">
        <f t="shared" si="2"/>
        <v>42837726</v>
      </c>
      <c r="F51" s="306">
        <f t="shared" si="3"/>
        <v>3.9671191342627172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2880000</v>
      </c>
      <c r="D53" s="22">
        <v>11964141</v>
      </c>
      <c r="E53" s="22">
        <f t="shared" si="2"/>
        <v>9084141</v>
      </c>
      <c r="F53" s="306">
        <f t="shared" si="3"/>
        <v>3.154215625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0</v>
      </c>
      <c r="D55" s="22">
        <v>0</v>
      </c>
      <c r="E55" s="22">
        <f t="shared" si="2"/>
        <v>0</v>
      </c>
      <c r="F55" s="306">
        <f t="shared" si="3"/>
        <v>0</v>
      </c>
    </row>
    <row r="56" spans="1:6" ht="24" customHeight="1" x14ac:dyDescent="0.25">
      <c r="A56" s="307"/>
      <c r="B56" s="308" t="s">
        <v>54</v>
      </c>
      <c r="C56" s="309">
        <f>SUM(C49:C55)</f>
        <v>99914880</v>
      </c>
      <c r="D56" s="309">
        <f>SUM(D49:D55)</f>
        <v>213255628</v>
      </c>
      <c r="E56" s="309">
        <f t="shared" si="2"/>
        <v>113340748</v>
      </c>
      <c r="F56" s="310">
        <f t="shared" si="3"/>
        <v>1.1343730583472651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246700000</v>
      </c>
      <c r="D60" s="22">
        <v>363726412</v>
      </c>
      <c r="E60" s="22">
        <f>D60-C60</f>
        <v>117026412</v>
      </c>
      <c r="F60" s="306">
        <f>IF(C60=0,0,E60/C60)</f>
        <v>0.47436729631130931</v>
      </c>
    </row>
    <row r="61" spans="1:6" ht="24" customHeight="1" x14ac:dyDescent="0.25">
      <c r="A61" s="307"/>
      <c r="B61" s="308" t="s">
        <v>58</v>
      </c>
      <c r="C61" s="309">
        <f>SUM(C59:C60)</f>
        <v>246700000</v>
      </c>
      <c r="D61" s="309">
        <f>SUM(D59:D60)</f>
        <v>363726412</v>
      </c>
      <c r="E61" s="309">
        <f>D61-C61</f>
        <v>117026412</v>
      </c>
      <c r="F61" s="310">
        <f>IF(C61=0,0,E61/C61)</f>
        <v>0.47436729631130931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79978708</v>
      </c>
      <c r="D63" s="22">
        <v>169569725</v>
      </c>
      <c r="E63" s="22">
        <f>D63-C63</f>
        <v>89591017</v>
      </c>
      <c r="F63" s="306">
        <f>IF(C63=0,0,E63/C63)</f>
        <v>1.1201858499639679</v>
      </c>
    </row>
    <row r="64" spans="1:6" ht="24" customHeight="1" x14ac:dyDescent="0.2">
      <c r="A64" s="304">
        <v>4</v>
      </c>
      <c r="B64" s="305" t="s">
        <v>60</v>
      </c>
      <c r="C64" s="22">
        <v>46380935</v>
      </c>
      <c r="D64" s="22">
        <v>86031950</v>
      </c>
      <c r="E64" s="22">
        <f>D64-C64</f>
        <v>39651015</v>
      </c>
      <c r="F64" s="306">
        <f>IF(C64=0,0,E64/C64)</f>
        <v>0.85489900106584737</v>
      </c>
    </row>
    <row r="65" spans="1:6" ht="24" customHeight="1" x14ac:dyDescent="0.25">
      <c r="A65" s="307"/>
      <c r="B65" s="308" t="s">
        <v>61</v>
      </c>
      <c r="C65" s="309">
        <f>SUM(C61:C64)</f>
        <v>373059643</v>
      </c>
      <c r="D65" s="309">
        <f>SUM(D61:D64)</f>
        <v>619328087</v>
      </c>
      <c r="E65" s="309">
        <f>D65-C65</f>
        <v>246268444</v>
      </c>
      <c r="F65" s="310">
        <f>IF(C65=0,0,E65/C65)</f>
        <v>0.66013155971416615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404480146</v>
      </c>
      <c r="D70" s="22">
        <v>661351254</v>
      </c>
      <c r="E70" s="22">
        <f>D70-C70</f>
        <v>256871108</v>
      </c>
      <c r="F70" s="306">
        <f>IF(C70=0,0,E70/C70)</f>
        <v>0.63506481230354384</v>
      </c>
    </row>
    <row r="71" spans="1:6" ht="24" customHeight="1" x14ac:dyDescent="0.2">
      <c r="A71" s="304">
        <v>2</v>
      </c>
      <c r="B71" s="305" t="s">
        <v>65</v>
      </c>
      <c r="C71" s="22">
        <v>62336151</v>
      </c>
      <c r="D71" s="22">
        <v>92944545</v>
      </c>
      <c r="E71" s="22">
        <f>D71-C71</f>
        <v>30608394</v>
      </c>
      <c r="F71" s="306">
        <f>IF(C71=0,0,E71/C71)</f>
        <v>0.49102155826079158</v>
      </c>
    </row>
    <row r="72" spans="1:6" ht="24" customHeight="1" x14ac:dyDescent="0.2">
      <c r="A72" s="304">
        <v>3</v>
      </c>
      <c r="B72" s="305" t="s">
        <v>66</v>
      </c>
      <c r="C72" s="22">
        <v>33382843</v>
      </c>
      <c r="D72" s="22">
        <v>43258322</v>
      </c>
      <c r="E72" s="22">
        <f>D72-C72</f>
        <v>9875479</v>
      </c>
      <c r="F72" s="306">
        <f>IF(C72=0,0,E72/C72)</f>
        <v>0.29582498410935221</v>
      </c>
    </row>
    <row r="73" spans="1:6" ht="24" customHeight="1" x14ac:dyDescent="0.25">
      <c r="A73" s="304"/>
      <c r="B73" s="308" t="s">
        <v>67</v>
      </c>
      <c r="C73" s="309">
        <f>SUM(C70:C72)</f>
        <v>500199140</v>
      </c>
      <c r="D73" s="309">
        <f>SUM(D70:D72)</f>
        <v>797554121</v>
      </c>
      <c r="E73" s="309">
        <f>D73-C73</f>
        <v>297354981</v>
      </c>
      <c r="F73" s="310">
        <f>IF(C73=0,0,E73/C73)</f>
        <v>0.59447319521580944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973173663</v>
      </c>
      <c r="D75" s="309">
        <f>D56+D65+D67+D73</f>
        <v>1630137836</v>
      </c>
      <c r="E75" s="309">
        <f>D75-C75</f>
        <v>656964173</v>
      </c>
      <c r="F75" s="310">
        <f>IF(C75=0,0,E75/C75)</f>
        <v>0.67507393384935865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FILING&amp;RWESTERN CONNECTICUT HEALTH NETWORK 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1675013713</v>
      </c>
      <c r="D11" s="76">
        <v>2462700883</v>
      </c>
      <c r="E11" s="76">
        <f t="shared" ref="E11:E20" si="0">D11-C11</f>
        <v>787687170</v>
      </c>
      <c r="F11" s="77">
        <f t="shared" ref="F11:F20" si="1">IF(C11=0,0,E11/C11)</f>
        <v>0.47025714708283106</v>
      </c>
    </row>
    <row r="12" spans="1:7" ht="23.1" customHeight="1" x14ac:dyDescent="0.2">
      <c r="A12" s="74">
        <v>2</v>
      </c>
      <c r="B12" s="75" t="s">
        <v>72</v>
      </c>
      <c r="C12" s="76">
        <v>943746574</v>
      </c>
      <c r="D12" s="76">
        <v>1433142811</v>
      </c>
      <c r="E12" s="76">
        <f t="shared" si="0"/>
        <v>489396237</v>
      </c>
      <c r="F12" s="77">
        <f t="shared" si="1"/>
        <v>0.51856743164187635</v>
      </c>
    </row>
    <row r="13" spans="1:7" ht="23.1" customHeight="1" x14ac:dyDescent="0.2">
      <c r="A13" s="74">
        <v>3</v>
      </c>
      <c r="B13" s="75" t="s">
        <v>73</v>
      </c>
      <c r="C13" s="76">
        <v>15612154</v>
      </c>
      <c r="D13" s="76">
        <v>27520752</v>
      </c>
      <c r="E13" s="76">
        <f t="shared" si="0"/>
        <v>11908598</v>
      </c>
      <c r="F13" s="77">
        <f t="shared" si="1"/>
        <v>0.76277738485029034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715654985</v>
      </c>
      <c r="D15" s="79">
        <f>D11-D12-D13-D14</f>
        <v>1002037320</v>
      </c>
      <c r="E15" s="79">
        <f t="shared" si="0"/>
        <v>286382335</v>
      </c>
      <c r="F15" s="80">
        <f t="shared" si="1"/>
        <v>0.40016815505029985</v>
      </c>
    </row>
    <row r="16" spans="1:7" ht="23.1" customHeight="1" x14ac:dyDescent="0.2">
      <c r="A16" s="74">
        <v>5</v>
      </c>
      <c r="B16" s="75" t="s">
        <v>76</v>
      </c>
      <c r="C16" s="76">
        <v>22024123</v>
      </c>
      <c r="D16" s="76">
        <v>40667790</v>
      </c>
      <c r="E16" s="76">
        <f t="shared" si="0"/>
        <v>18643667</v>
      </c>
      <c r="F16" s="77">
        <f t="shared" si="1"/>
        <v>0.84651120954963788</v>
      </c>
      <c r="G16" s="65"/>
    </row>
    <row r="17" spans="1:7" ht="31.5" customHeight="1" x14ac:dyDescent="0.25">
      <c r="A17" s="71"/>
      <c r="B17" s="81" t="s">
        <v>77</v>
      </c>
      <c r="C17" s="79">
        <f>C15-C16</f>
        <v>693630862</v>
      </c>
      <c r="D17" s="79">
        <f>D15-D16</f>
        <v>961369530</v>
      </c>
      <c r="E17" s="79">
        <f t="shared" si="0"/>
        <v>267738668</v>
      </c>
      <c r="F17" s="80">
        <f t="shared" si="1"/>
        <v>0.38599589878110124</v>
      </c>
    </row>
    <row r="18" spans="1:7" ht="23.1" customHeight="1" x14ac:dyDescent="0.2">
      <c r="A18" s="74">
        <v>6</v>
      </c>
      <c r="B18" s="75" t="s">
        <v>78</v>
      </c>
      <c r="C18" s="76">
        <v>13364145</v>
      </c>
      <c r="D18" s="76">
        <v>25099816</v>
      </c>
      <c r="E18" s="76">
        <f t="shared" si="0"/>
        <v>11735671</v>
      </c>
      <c r="F18" s="77">
        <f t="shared" si="1"/>
        <v>0.87814603927149848</v>
      </c>
      <c r="G18" s="65"/>
    </row>
    <row r="19" spans="1:7" ht="33" customHeight="1" x14ac:dyDescent="0.2">
      <c r="A19" s="74">
        <v>7</v>
      </c>
      <c r="B19" s="82" t="s">
        <v>79</v>
      </c>
      <c r="C19" s="76">
        <v>5514055</v>
      </c>
      <c r="D19" s="76">
        <v>7155684</v>
      </c>
      <c r="E19" s="76">
        <f t="shared" si="0"/>
        <v>1641629</v>
      </c>
      <c r="F19" s="77">
        <f t="shared" si="1"/>
        <v>0.29771719723506568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712509062</v>
      </c>
      <c r="D20" s="79">
        <f>SUM(D17:D19)</f>
        <v>993625030</v>
      </c>
      <c r="E20" s="79">
        <f t="shared" si="0"/>
        <v>281115968</v>
      </c>
      <c r="F20" s="80">
        <f t="shared" si="1"/>
        <v>0.39454370897531127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347618831</v>
      </c>
      <c r="D23" s="76">
        <v>469826938</v>
      </c>
      <c r="E23" s="76">
        <f t="shared" ref="E23:E32" si="2">D23-C23</f>
        <v>122208107</v>
      </c>
      <c r="F23" s="77">
        <f t="shared" ref="F23:F32" si="3">IF(C23=0,0,E23/C23)</f>
        <v>0.35155778715566766</v>
      </c>
    </row>
    <row r="24" spans="1:7" ht="23.1" customHeight="1" x14ac:dyDescent="0.2">
      <c r="A24" s="74">
        <v>2</v>
      </c>
      <c r="B24" s="75" t="s">
        <v>83</v>
      </c>
      <c r="C24" s="76">
        <v>81025978</v>
      </c>
      <c r="D24" s="76">
        <v>104721012</v>
      </c>
      <c r="E24" s="76">
        <f t="shared" si="2"/>
        <v>23695034</v>
      </c>
      <c r="F24" s="77">
        <f t="shared" si="3"/>
        <v>0.29243749455267298</v>
      </c>
    </row>
    <row r="25" spans="1:7" ht="23.1" customHeight="1" x14ac:dyDescent="0.2">
      <c r="A25" s="74">
        <v>3</v>
      </c>
      <c r="B25" s="75" t="s">
        <v>84</v>
      </c>
      <c r="C25" s="76">
        <v>6963831</v>
      </c>
      <c r="D25" s="76">
        <v>16270068</v>
      </c>
      <c r="E25" s="76">
        <f t="shared" si="2"/>
        <v>9306237</v>
      </c>
      <c r="F25" s="77">
        <f t="shared" si="3"/>
        <v>1.3363674391294103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183503640</v>
      </c>
      <c r="D26" s="76">
        <v>218534365</v>
      </c>
      <c r="E26" s="76">
        <f t="shared" si="2"/>
        <v>35030725</v>
      </c>
      <c r="F26" s="77">
        <f t="shared" si="3"/>
        <v>0.19089934673775408</v>
      </c>
    </row>
    <row r="27" spans="1:7" ht="23.1" customHeight="1" x14ac:dyDescent="0.2">
      <c r="A27" s="74">
        <v>5</v>
      </c>
      <c r="B27" s="75" t="s">
        <v>86</v>
      </c>
      <c r="C27" s="76">
        <v>37300840</v>
      </c>
      <c r="D27" s="76">
        <v>53445138</v>
      </c>
      <c r="E27" s="76">
        <f t="shared" si="2"/>
        <v>16144298</v>
      </c>
      <c r="F27" s="77">
        <f t="shared" si="3"/>
        <v>0.43281325568003293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4067031</v>
      </c>
      <c r="D29" s="76">
        <v>6326466</v>
      </c>
      <c r="E29" s="76">
        <f t="shared" si="2"/>
        <v>2259435</v>
      </c>
      <c r="F29" s="77">
        <f t="shared" si="3"/>
        <v>0.55554899876593022</v>
      </c>
    </row>
    <row r="30" spans="1:7" ht="23.1" customHeight="1" x14ac:dyDescent="0.2">
      <c r="A30" s="74">
        <v>8</v>
      </c>
      <c r="B30" s="75" t="s">
        <v>89</v>
      </c>
      <c r="C30" s="76">
        <v>15709626</v>
      </c>
      <c r="D30" s="76">
        <v>20861003</v>
      </c>
      <c r="E30" s="76">
        <f t="shared" si="2"/>
        <v>5151377</v>
      </c>
      <c r="F30" s="77">
        <f t="shared" si="3"/>
        <v>0.32791213489105342</v>
      </c>
    </row>
    <row r="31" spans="1:7" ht="23.1" customHeight="1" x14ac:dyDescent="0.2">
      <c r="A31" s="74">
        <v>9</v>
      </c>
      <c r="B31" s="75" t="s">
        <v>90</v>
      </c>
      <c r="C31" s="76">
        <v>13082673</v>
      </c>
      <c r="D31" s="76">
        <v>71190612</v>
      </c>
      <c r="E31" s="76">
        <f t="shared" si="2"/>
        <v>58107939</v>
      </c>
      <c r="F31" s="77">
        <f t="shared" si="3"/>
        <v>4.4415953070140946</v>
      </c>
    </row>
    <row r="32" spans="1:7" ht="23.1" customHeight="1" x14ac:dyDescent="0.25">
      <c r="A32" s="71"/>
      <c r="B32" s="78" t="s">
        <v>91</v>
      </c>
      <c r="C32" s="79">
        <f>SUM(C23:C31)</f>
        <v>689272450</v>
      </c>
      <c r="D32" s="79">
        <f>SUM(D23:D31)</f>
        <v>961175602</v>
      </c>
      <c r="E32" s="79">
        <f t="shared" si="2"/>
        <v>271903152</v>
      </c>
      <c r="F32" s="80">
        <f t="shared" si="3"/>
        <v>0.39447848524919282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23236612</v>
      </c>
      <c r="D34" s="79">
        <f>+D20-D32</f>
        <v>32449428</v>
      </c>
      <c r="E34" s="79">
        <f>D34-C34</f>
        <v>9212816</v>
      </c>
      <c r="F34" s="80">
        <f>IF(C34=0,0,E34/C34)</f>
        <v>0.39647845391574299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7054057</v>
      </c>
      <c r="D37" s="76">
        <v>5772965</v>
      </c>
      <c r="E37" s="76">
        <f>D37-C37</f>
        <v>-1281092</v>
      </c>
      <c r="F37" s="77">
        <f>IF(C37=0,0,E37/C37)</f>
        <v>-0.18161066744995114</v>
      </c>
    </row>
    <row r="38" spans="1:6" ht="23.1" customHeight="1" x14ac:dyDescent="0.2">
      <c r="A38" s="85">
        <v>2</v>
      </c>
      <c r="B38" s="75" t="s">
        <v>95</v>
      </c>
      <c r="C38" s="76">
        <v>653873</v>
      </c>
      <c r="D38" s="76">
        <v>5517373</v>
      </c>
      <c r="E38" s="76">
        <f>D38-C38</f>
        <v>4863500</v>
      </c>
      <c r="F38" s="77">
        <f>IF(C38=0,0,E38/C38)</f>
        <v>7.4379887225806849</v>
      </c>
    </row>
    <row r="39" spans="1:6" ht="23.1" customHeight="1" x14ac:dyDescent="0.2">
      <c r="A39" s="85">
        <v>3</v>
      </c>
      <c r="B39" s="75" t="s">
        <v>96</v>
      </c>
      <c r="C39" s="76">
        <v>2778053</v>
      </c>
      <c r="D39" s="76">
        <v>306593216</v>
      </c>
      <c r="E39" s="76">
        <f>D39-C39</f>
        <v>303815163</v>
      </c>
      <c r="F39" s="77">
        <f>IF(C39=0,0,E39/C39)</f>
        <v>109.36262303131005</v>
      </c>
    </row>
    <row r="40" spans="1:6" ht="23.1" customHeight="1" x14ac:dyDescent="0.25">
      <c r="A40" s="83"/>
      <c r="B40" s="78" t="s">
        <v>97</v>
      </c>
      <c r="C40" s="79">
        <f>SUM(C37:C39)</f>
        <v>10485983</v>
      </c>
      <c r="D40" s="79">
        <f>SUM(D37:D39)</f>
        <v>317883554</v>
      </c>
      <c r="E40" s="79">
        <f>D40-C40</f>
        <v>307397571</v>
      </c>
      <c r="F40" s="80">
        <f>IF(C40=0,0,E40/C40)</f>
        <v>29.315093396584754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33722595</v>
      </c>
      <c r="D42" s="79">
        <f>D34+D40</f>
        <v>350332982</v>
      </c>
      <c r="E42" s="79">
        <f>D42-C42</f>
        <v>316610387</v>
      </c>
      <c r="F42" s="80">
        <f>IF(C42=0,0,E42/C42)</f>
        <v>9.3886721054533311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-1116608</v>
      </c>
      <c r="E46" s="76">
        <f>D46-C46</f>
        <v>-1116608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-1116608</v>
      </c>
      <c r="E47" s="79">
        <f>D47-C47</f>
        <v>-1116608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33722595</v>
      </c>
      <c r="D49" s="79">
        <f>D42+D47</f>
        <v>349216374</v>
      </c>
      <c r="E49" s="79">
        <f>D49-C49</f>
        <v>315493779</v>
      </c>
      <c r="F49" s="80">
        <f>IF(C49=0,0,E49/C49)</f>
        <v>9.3555605373785742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FILING&amp;R&amp;8WESTERN CONNECTICUT HEALTH NETWORK 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2015-07-07T12:00:18Z</cp:lastPrinted>
  <dcterms:created xsi:type="dcterms:W3CDTF">2015-07-07T11:56:31Z</dcterms:created>
  <dcterms:modified xsi:type="dcterms:W3CDTF">2015-07-07T12:01:04Z</dcterms:modified>
</cp:coreProperties>
</file>