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 s="1"/>
  <c r="E92" i="22"/>
  <c r="D92" i="22"/>
  <c r="C92" i="22"/>
  <c r="E91" i="22"/>
  <c r="E93" i="22"/>
  <c r="D91" i="22"/>
  <c r="D93" i="22" s="1"/>
  <c r="C91" i="22"/>
  <c r="C93" i="22" s="1"/>
  <c r="E87" i="22"/>
  <c r="D87" i="22"/>
  <c r="C87" i="22"/>
  <c r="E86" i="22"/>
  <c r="E88" i="22"/>
  <c r="D86" i="22"/>
  <c r="D88" i="22" s="1"/>
  <c r="C86" i="22"/>
  <c r="E83" i="22"/>
  <c r="D83" i="22"/>
  <c r="D102" i="22"/>
  <c r="C83" i="22"/>
  <c r="C101" i="22" s="1"/>
  <c r="E76" i="22"/>
  <c r="D76" i="22"/>
  <c r="C76" i="22"/>
  <c r="E75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34" i="22" s="1"/>
  <c r="C12" i="22"/>
  <c r="D21" i="21"/>
  <c r="E21" i="21" s="1"/>
  <c r="F21" i="21" s="1"/>
  <c r="C21" i="21"/>
  <c r="D19" i="21"/>
  <c r="C19" i="21"/>
  <c r="E17" i="21"/>
  <c r="F17" i="21" s="1"/>
  <c r="F15" i="21"/>
  <c r="E15" i="21"/>
  <c r="D45" i="20"/>
  <c r="C45" i="20"/>
  <c r="D44" i="20"/>
  <c r="C44" i="20"/>
  <c r="D43" i="20"/>
  <c r="D46" i="20"/>
  <c r="C43" i="20"/>
  <c r="D36" i="20"/>
  <c r="D40" i="20"/>
  <c r="C36" i="20"/>
  <c r="E35" i="20"/>
  <c r="F35" i="20"/>
  <c r="E34" i="20"/>
  <c r="F34" i="20"/>
  <c r="E33" i="20"/>
  <c r="F33" i="20" s="1"/>
  <c r="E30" i="20"/>
  <c r="F30" i="20"/>
  <c r="E29" i="20"/>
  <c r="F29" i="20"/>
  <c r="E28" i="20"/>
  <c r="F28" i="20" s="1"/>
  <c r="E27" i="20"/>
  <c r="F27" i="20" s="1"/>
  <c r="D25" i="20"/>
  <c r="D39" i="20" s="1"/>
  <c r="C25" i="20"/>
  <c r="E24" i="20"/>
  <c r="F24" i="20"/>
  <c r="E23" i="20"/>
  <c r="F23" i="20"/>
  <c r="E22" i="20"/>
  <c r="F22" i="20"/>
  <c r="D19" i="20"/>
  <c r="D20" i="20" s="1"/>
  <c r="C19" i="20"/>
  <c r="E18" i="20"/>
  <c r="F18" i="20"/>
  <c r="D16" i="20"/>
  <c r="C16" i="20"/>
  <c r="E15" i="20"/>
  <c r="F15" i="20"/>
  <c r="E13" i="20"/>
  <c r="F13" i="20"/>
  <c r="E12" i="20"/>
  <c r="F12" i="20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 s="1"/>
  <c r="C63" i="19"/>
  <c r="C65" i="19" s="1"/>
  <c r="C114" i="19"/>
  <c r="C116" i="19" s="1"/>
  <c r="C119" i="19" s="1"/>
  <c r="C123" i="19" s="1"/>
  <c r="C59" i="19"/>
  <c r="C60" i="19" s="1"/>
  <c r="C48" i="19"/>
  <c r="C64" i="19" s="1"/>
  <c r="C36" i="19"/>
  <c r="C32" i="19"/>
  <c r="C33" i="19" s="1"/>
  <c r="C21" i="19"/>
  <c r="C37" i="19" s="1"/>
  <c r="C38" i="19" s="1"/>
  <c r="C127" i="19" s="1"/>
  <c r="E328" i="18"/>
  <c r="E325" i="18"/>
  <c r="D324" i="18"/>
  <c r="E324" i="18" s="1"/>
  <c r="C324" i="18"/>
  <c r="C326" i="18" s="1"/>
  <c r="C330" i="18" s="1"/>
  <c r="E318" i="18"/>
  <c r="E315" i="18"/>
  <c r="D314" i="18"/>
  <c r="E314" i="18" s="1"/>
  <c r="D316" i="18"/>
  <c r="C314" i="18"/>
  <c r="C316" i="18"/>
  <c r="C320" i="18" s="1"/>
  <c r="E308" i="18"/>
  <c r="E305" i="18"/>
  <c r="D301" i="18"/>
  <c r="C301" i="18"/>
  <c r="D293" i="18"/>
  <c r="E293" i="18" s="1"/>
  <c r="C293" i="18"/>
  <c r="D292" i="18"/>
  <c r="E292" i="18" s="1"/>
  <c r="C292" i="18"/>
  <c r="D291" i="18"/>
  <c r="E291" i="18"/>
  <c r="C291" i="18"/>
  <c r="D290" i="18"/>
  <c r="E290" i="18" s="1"/>
  <c r="C290" i="18"/>
  <c r="D288" i="18"/>
  <c r="C288" i="18"/>
  <c r="E288" i="18" s="1"/>
  <c r="D287" i="18"/>
  <c r="E287" i="18" s="1"/>
  <c r="C287" i="18"/>
  <c r="D282" i="18"/>
  <c r="E282" i="18"/>
  <c r="C282" i="18"/>
  <c r="D281" i="18"/>
  <c r="C281" i="18"/>
  <c r="E281" i="18" s="1"/>
  <c r="D280" i="18"/>
  <c r="E280" i="18"/>
  <c r="C280" i="18"/>
  <c r="D279" i="18"/>
  <c r="E279" i="18" s="1"/>
  <c r="C279" i="18"/>
  <c r="D278" i="18"/>
  <c r="E278" i="18" s="1"/>
  <c r="C278" i="18"/>
  <c r="D277" i="18"/>
  <c r="E277" i="18" s="1"/>
  <c r="C277" i="18"/>
  <c r="D276" i="18"/>
  <c r="C276" i="18"/>
  <c r="E276" i="18" s="1"/>
  <c r="E270" i="18"/>
  <c r="D265" i="18"/>
  <c r="D302" i="18" s="1"/>
  <c r="C265" i="18"/>
  <c r="C302" i="18"/>
  <c r="D262" i="18"/>
  <c r="C262" i="18"/>
  <c r="E262" i="18" s="1"/>
  <c r="D251" i="18"/>
  <c r="C251" i="18"/>
  <c r="D233" i="18"/>
  <c r="E233" i="18" s="1"/>
  <c r="C233" i="18"/>
  <c r="D232" i="18"/>
  <c r="C232" i="18"/>
  <c r="E232" i="18" s="1"/>
  <c r="D231" i="18"/>
  <c r="C231" i="18"/>
  <c r="D230" i="18"/>
  <c r="E230" i="18" s="1"/>
  <c r="C230" i="18"/>
  <c r="D228" i="18"/>
  <c r="C228" i="18"/>
  <c r="E228" i="18" s="1"/>
  <c r="D227" i="18"/>
  <c r="C227" i="18"/>
  <c r="E227" i="18" s="1"/>
  <c r="D221" i="18"/>
  <c r="D245" i="18"/>
  <c r="C221" i="18"/>
  <c r="C245" i="18"/>
  <c r="D220" i="18"/>
  <c r="C220" i="18"/>
  <c r="E220" i="18" s="1"/>
  <c r="C244" i="18"/>
  <c r="E244" i="18" s="1"/>
  <c r="D219" i="18"/>
  <c r="D243" i="18"/>
  <c r="C219" i="18"/>
  <c r="C243" i="18"/>
  <c r="D218" i="18"/>
  <c r="D217" i="18" s="1"/>
  <c r="E218" i="18"/>
  <c r="C218" i="18"/>
  <c r="C217" i="18" s="1"/>
  <c r="C242" i="18"/>
  <c r="E242" i="18" s="1"/>
  <c r="D216" i="18"/>
  <c r="C216" i="18"/>
  <c r="D215" i="18"/>
  <c r="D239" i="18" s="1"/>
  <c r="C215" i="18"/>
  <c r="C239" i="18"/>
  <c r="E209" i="18"/>
  <c r="E208" i="18"/>
  <c r="E207" i="18"/>
  <c r="E206" i="18"/>
  <c r="D205" i="18"/>
  <c r="D210" i="18" s="1"/>
  <c r="D234" i="18" s="1"/>
  <c r="C205" i="18"/>
  <c r="C229" i="18"/>
  <c r="E204" i="18"/>
  <c r="E203" i="18"/>
  <c r="E197" i="18"/>
  <c r="E196" i="18"/>
  <c r="D195" i="18"/>
  <c r="D260" i="18" s="1"/>
  <c r="C195" i="18"/>
  <c r="C260" i="18"/>
  <c r="E194" i="18"/>
  <c r="E193" i="18"/>
  <c r="E192" i="18"/>
  <c r="E191" i="18"/>
  <c r="E190" i="18"/>
  <c r="D188" i="18"/>
  <c r="D261" i="18" s="1"/>
  <c r="C188" i="18"/>
  <c r="C261" i="18" s="1"/>
  <c r="E186" i="18"/>
  <c r="E185" i="18"/>
  <c r="D179" i="18"/>
  <c r="E179" i="18"/>
  <c r="C179" i="18"/>
  <c r="D178" i="18"/>
  <c r="C178" i="18"/>
  <c r="E178" i="18" s="1"/>
  <c r="D177" i="18"/>
  <c r="E177" i="18" s="1"/>
  <c r="C177" i="18"/>
  <c r="D176" i="18"/>
  <c r="E176" i="18" s="1"/>
  <c r="C176" i="18"/>
  <c r="D174" i="18"/>
  <c r="C174" i="18"/>
  <c r="E174" i="18"/>
  <c r="D173" i="18"/>
  <c r="C173" i="18"/>
  <c r="D167" i="18"/>
  <c r="C167" i="18"/>
  <c r="E167" i="18"/>
  <c r="D166" i="18"/>
  <c r="C166" i="18"/>
  <c r="E166" i="18" s="1"/>
  <c r="D165" i="18"/>
  <c r="C165" i="18"/>
  <c r="D164" i="18"/>
  <c r="C164" i="18"/>
  <c r="E164" i="18" s="1"/>
  <c r="D162" i="18"/>
  <c r="E162" i="18"/>
  <c r="C162" i="18"/>
  <c r="D161" i="18"/>
  <c r="E161" i="18" s="1"/>
  <c r="C161" i="18"/>
  <c r="E155" i="18"/>
  <c r="E154" i="18"/>
  <c r="E153" i="18"/>
  <c r="E152" i="18"/>
  <c r="D151" i="18"/>
  <c r="D156" i="18"/>
  <c r="C151" i="18"/>
  <c r="C156" i="18" s="1"/>
  <c r="C157" i="18" s="1"/>
  <c r="E150" i="18"/>
  <c r="E149" i="18"/>
  <c r="D144" i="18"/>
  <c r="E143" i="18"/>
  <c r="E142" i="18"/>
  <c r="E141" i="18"/>
  <c r="E140" i="18"/>
  <c r="D139" i="18"/>
  <c r="D175" i="18"/>
  <c r="E175" i="18" s="1"/>
  <c r="C139" i="18"/>
  <c r="C163" i="18" s="1"/>
  <c r="E138" i="18"/>
  <c r="E137" i="18"/>
  <c r="D75" i="18"/>
  <c r="C75" i="18"/>
  <c r="E75" i="18" s="1"/>
  <c r="D74" i="18"/>
  <c r="C74" i="18"/>
  <c r="E74" i="18" s="1"/>
  <c r="D73" i="18"/>
  <c r="E73" i="18" s="1"/>
  <c r="C73" i="18"/>
  <c r="D72" i="18"/>
  <c r="E72" i="18" s="1"/>
  <c r="C72" i="18"/>
  <c r="D70" i="18"/>
  <c r="C70" i="18"/>
  <c r="D69" i="18"/>
  <c r="C69" i="18"/>
  <c r="E64" i="18"/>
  <c r="E63" i="18"/>
  <c r="E62" i="18"/>
  <c r="E61" i="18"/>
  <c r="D60" i="18"/>
  <c r="D289" i="18" s="1"/>
  <c r="E289" i="18"/>
  <c r="C60" i="18"/>
  <c r="C289" i="18"/>
  <c r="E59" i="18"/>
  <c r="E58" i="18"/>
  <c r="C55" i="18"/>
  <c r="D54" i="18"/>
  <c r="D55" i="18" s="1"/>
  <c r="E55" i="18" s="1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E41" i="18" s="1"/>
  <c r="D40" i="18"/>
  <c r="E40" i="18" s="1"/>
  <c r="C40" i="18"/>
  <c r="D39" i="18"/>
  <c r="C39" i="18"/>
  <c r="E39" i="18" s="1"/>
  <c r="D38" i="18"/>
  <c r="E38" i="18"/>
  <c r="C38" i="18"/>
  <c r="D37" i="18"/>
  <c r="D43" i="18" s="1"/>
  <c r="C37" i="18"/>
  <c r="D36" i="18"/>
  <c r="D44" i="18"/>
  <c r="C36" i="18"/>
  <c r="C33" i="18"/>
  <c r="D32" i="18"/>
  <c r="D33" i="18"/>
  <c r="C32" i="18"/>
  <c r="E31" i="18"/>
  <c r="E30" i="18"/>
  <c r="E29" i="18"/>
  <c r="E28" i="18"/>
  <c r="E27" i="18"/>
  <c r="E26" i="18"/>
  <c r="E25" i="18"/>
  <c r="D21" i="18"/>
  <c r="D22" i="18" s="1"/>
  <c r="D283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F311" i="17"/>
  <c r="D311" i="17"/>
  <c r="E311" i="17" s="1"/>
  <c r="C311" i="17"/>
  <c r="F308" i="17"/>
  <c r="E308" i="17"/>
  <c r="D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E249" i="17"/>
  <c r="F249" i="17" s="1"/>
  <c r="E248" i="17"/>
  <c r="F248" i="17" s="1"/>
  <c r="F245" i="17"/>
  <c r="E245" i="17"/>
  <c r="F244" i="17"/>
  <c r="E244" i="17"/>
  <c r="E243" i="17"/>
  <c r="F243" i="17" s="1"/>
  <c r="D238" i="17"/>
  <c r="E238" i="17"/>
  <c r="F238" i="17" s="1"/>
  <c r="C238" i="17"/>
  <c r="C239" i="17" s="1"/>
  <c r="D237" i="17"/>
  <c r="D239" i="17" s="1"/>
  <c r="C237" i="17"/>
  <c r="E234" i="17"/>
  <c r="F234" i="17" s="1"/>
  <c r="E233" i="17"/>
  <c r="F233" i="17" s="1"/>
  <c r="D230" i="17"/>
  <c r="E230" i="17" s="1"/>
  <c r="C230" i="17"/>
  <c r="F230" i="17" s="1"/>
  <c r="D229" i="17"/>
  <c r="E229" i="17"/>
  <c r="C229" i="17"/>
  <c r="F228" i="17"/>
  <c r="E228" i="17"/>
  <c r="D226" i="17"/>
  <c r="D227" i="17"/>
  <c r="C226" i="17"/>
  <c r="C227" i="17"/>
  <c r="E225" i="17"/>
  <c r="F225" i="17" s="1"/>
  <c r="F224" i="17"/>
  <c r="E224" i="17"/>
  <c r="D223" i="17"/>
  <c r="C223" i="17"/>
  <c r="E222" i="17"/>
  <c r="F222" i="17" s="1"/>
  <c r="F221" i="17"/>
  <c r="E221" i="17"/>
  <c r="D204" i="17"/>
  <c r="C204" i="17"/>
  <c r="C285" i="17"/>
  <c r="D203" i="17"/>
  <c r="E203" i="17" s="1"/>
  <c r="F203" i="17" s="1"/>
  <c r="C203" i="17"/>
  <c r="C283" i="17"/>
  <c r="D198" i="17"/>
  <c r="C198" i="17"/>
  <c r="C290" i="17" s="1"/>
  <c r="D191" i="17"/>
  <c r="D280" i="17" s="1"/>
  <c r="C191" i="17"/>
  <c r="C280" i="17"/>
  <c r="D189" i="17"/>
  <c r="D278" i="17"/>
  <c r="C189" i="17"/>
  <c r="C278" i="17"/>
  <c r="D188" i="17"/>
  <c r="C188" i="17"/>
  <c r="C277" i="17"/>
  <c r="D180" i="17"/>
  <c r="E180" i="17" s="1"/>
  <c r="C180" i="17"/>
  <c r="D179" i="17"/>
  <c r="E179" i="17" s="1"/>
  <c r="C179" i="17"/>
  <c r="F179" i="17" s="1"/>
  <c r="D171" i="17"/>
  <c r="E171" i="17"/>
  <c r="C171" i="17"/>
  <c r="D170" i="17"/>
  <c r="C170" i="17"/>
  <c r="E169" i="17"/>
  <c r="F169" i="17" s="1"/>
  <c r="E168" i="17"/>
  <c r="F168" i="17" s="1"/>
  <c r="D165" i="17"/>
  <c r="C165" i="17"/>
  <c r="D164" i="17"/>
  <c r="E164" i="17" s="1"/>
  <c r="F164" i="17" s="1"/>
  <c r="C164" i="17"/>
  <c r="E163" i="17"/>
  <c r="F163" i="17" s="1"/>
  <c r="D158" i="17"/>
  <c r="E158" i="17" s="1"/>
  <c r="F158" i="17"/>
  <c r="C158" i="17"/>
  <c r="C159" i="17" s="1"/>
  <c r="E157" i="17"/>
  <c r="F157" i="17"/>
  <c r="E156" i="17"/>
  <c r="F156" i="17"/>
  <c r="D155" i="17"/>
  <c r="E155" i="17" s="1"/>
  <c r="F155" i="17" s="1"/>
  <c r="C155" i="17"/>
  <c r="E154" i="17"/>
  <c r="F154" i="17"/>
  <c r="E153" i="17"/>
  <c r="F153" i="17"/>
  <c r="D145" i="17"/>
  <c r="C145" i="17"/>
  <c r="C146" i="17" s="1"/>
  <c r="D144" i="17"/>
  <c r="D146" i="17" s="1"/>
  <c r="C144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 s="1"/>
  <c r="D120" i="17"/>
  <c r="C120" i="17"/>
  <c r="E119" i="17"/>
  <c r="F119" i="17"/>
  <c r="E118" i="17"/>
  <c r="F118" i="17"/>
  <c r="D110" i="17"/>
  <c r="D111" i="17" s="1"/>
  <c r="C110" i="17"/>
  <c r="D109" i="17"/>
  <c r="C109" i="17"/>
  <c r="C111" i="17" s="1"/>
  <c r="D101" i="17"/>
  <c r="D102" i="17" s="1"/>
  <c r="C101" i="17"/>
  <c r="C102" i="17" s="1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C89" i="17" s="1"/>
  <c r="E87" i="17"/>
  <c r="F87" i="17" s="1"/>
  <c r="E86" i="17"/>
  <c r="F86" i="17" s="1"/>
  <c r="D85" i="17"/>
  <c r="C85" i="17"/>
  <c r="E84" i="17"/>
  <c r="F84" i="17" s="1"/>
  <c r="E83" i="17"/>
  <c r="F83" i="17" s="1"/>
  <c r="D76" i="17"/>
  <c r="D77" i="17"/>
  <c r="C76" i="17"/>
  <c r="F74" i="17"/>
  <c r="E74" i="17"/>
  <c r="F73" i="17"/>
  <c r="E73" i="17"/>
  <c r="D67" i="17"/>
  <c r="E67" i="17"/>
  <c r="F67" i="17"/>
  <c r="C67" i="17"/>
  <c r="D66" i="17"/>
  <c r="C66" i="17"/>
  <c r="C68" i="17" s="1"/>
  <c r="D59" i="17"/>
  <c r="D60" i="17"/>
  <c r="C59" i="17"/>
  <c r="C60" i="17"/>
  <c r="D58" i="17"/>
  <c r="E58" i="17" s="1"/>
  <c r="F58" i="17" s="1"/>
  <c r="C58" i="17"/>
  <c r="E57" i="17"/>
  <c r="F57" i="17"/>
  <c r="E56" i="17"/>
  <c r="F56" i="17"/>
  <c r="D53" i="17"/>
  <c r="E53" i="17" s="1"/>
  <c r="F53" i="17" s="1"/>
  <c r="C53" i="17"/>
  <c r="D52" i="17"/>
  <c r="E52" i="17" s="1"/>
  <c r="C52" i="17"/>
  <c r="E51" i="17"/>
  <c r="F51" i="17" s="1"/>
  <c r="D47" i="17"/>
  <c r="D48" i="17" s="1"/>
  <c r="C47" i="17"/>
  <c r="C48" i="17"/>
  <c r="E46" i="17"/>
  <c r="F46" i="17"/>
  <c r="E45" i="17"/>
  <c r="F45" i="17" s="1"/>
  <c r="D44" i="17"/>
  <c r="E44" i="17" s="1"/>
  <c r="C44" i="17"/>
  <c r="E43" i="17"/>
  <c r="F43" i="17"/>
  <c r="E42" i="17"/>
  <c r="F42" i="17" s="1"/>
  <c r="D36" i="17"/>
  <c r="C36" i="17"/>
  <c r="D35" i="17"/>
  <c r="D37" i="17"/>
  <c r="C35" i="17"/>
  <c r="D30" i="17"/>
  <c r="D31" i="17"/>
  <c r="C30" i="17"/>
  <c r="C31" i="17"/>
  <c r="D29" i="17"/>
  <c r="E29" i="17" s="1"/>
  <c r="F29" i="17" s="1"/>
  <c r="C29" i="17"/>
  <c r="E28" i="17"/>
  <c r="F28" i="17"/>
  <c r="E27" i="17"/>
  <c r="F27" i="17"/>
  <c r="D24" i="17"/>
  <c r="E24" i="17" s="1"/>
  <c r="F24" i="17" s="1"/>
  <c r="C24" i="17"/>
  <c r="D23" i="17"/>
  <c r="C23" i="17"/>
  <c r="E22" i="17"/>
  <c r="F22" i="17" s="1"/>
  <c r="D20" i="17"/>
  <c r="E20" i="17" s="1"/>
  <c r="C20" i="17"/>
  <c r="E19" i="17"/>
  <c r="F19" i="17"/>
  <c r="E18" i="17"/>
  <c r="F18" i="17"/>
  <c r="D17" i="17"/>
  <c r="E17" i="17" s="1"/>
  <c r="C17" i="17"/>
  <c r="E16" i="17"/>
  <c r="F16" i="17"/>
  <c r="E15" i="17"/>
  <c r="F15" i="17" s="1"/>
  <c r="D23" i="16"/>
  <c r="E23" i="16" s="1"/>
  <c r="C23" i="16"/>
  <c r="E22" i="16"/>
  <c r="F22" i="16" s="1"/>
  <c r="D19" i="16"/>
  <c r="E19" i="16"/>
  <c r="F19" i="16" s="1"/>
  <c r="C19" i="16"/>
  <c r="E18" i="16"/>
  <c r="F18" i="16" s="1"/>
  <c r="E17" i="16"/>
  <c r="F17" i="16" s="1"/>
  <c r="D14" i="16"/>
  <c r="E14" i="16" s="1"/>
  <c r="F14" i="16" s="1"/>
  <c r="C14" i="16"/>
  <c r="E13" i="16"/>
  <c r="F13" i="16" s="1"/>
  <c r="E12" i="16"/>
  <c r="F12" i="16" s="1"/>
  <c r="D107" i="15"/>
  <c r="E107" i="15"/>
  <c r="F107" i="15" s="1"/>
  <c r="C107" i="15"/>
  <c r="E106" i="15"/>
  <c r="F106" i="15" s="1"/>
  <c r="E105" i="15"/>
  <c r="F105" i="15" s="1"/>
  <c r="E104" i="15"/>
  <c r="F104" i="15" s="1"/>
  <c r="D100" i="15"/>
  <c r="E100" i="15" s="1"/>
  <c r="C100" i="15"/>
  <c r="F100" i="15" s="1"/>
  <c r="F99" i="15"/>
  <c r="E99" i="15"/>
  <c r="F98" i="15"/>
  <c r="E98" i="15"/>
  <c r="F97" i="15"/>
  <c r="E97" i="15"/>
  <c r="E96" i="15"/>
  <c r="F96" i="15" s="1"/>
  <c r="E95" i="15"/>
  <c r="F95" i="15" s="1"/>
  <c r="D92" i="15"/>
  <c r="E92" i="15" s="1"/>
  <c r="F92" i="15" s="1"/>
  <c r="C92" i="15"/>
  <c r="E91" i="15"/>
  <c r="F91" i="15" s="1"/>
  <c r="E90" i="15"/>
  <c r="F90" i="15" s="1"/>
  <c r="E89" i="15"/>
  <c r="F89" i="15" s="1"/>
  <c r="F88" i="15"/>
  <c r="E88" i="15"/>
  <c r="F87" i="15"/>
  <c r="E87" i="15"/>
  <c r="E86" i="15"/>
  <c r="F86" i="15" s="1"/>
  <c r="F85" i="15"/>
  <c r="E85" i="15"/>
  <c r="F84" i="15"/>
  <c r="E84" i="15"/>
  <c r="E83" i="15"/>
  <c r="F83" i="15" s="1"/>
  <c r="F82" i="15"/>
  <c r="E82" i="15"/>
  <c r="E81" i="15"/>
  <c r="F81" i="15" s="1"/>
  <c r="F80" i="15"/>
  <c r="E80" i="15"/>
  <c r="F79" i="15"/>
  <c r="E79" i="15"/>
  <c r="D75" i="15"/>
  <c r="C75" i="15"/>
  <c r="F75" i="15" s="1"/>
  <c r="E74" i="15"/>
  <c r="F74" i="15" s="1"/>
  <c r="F73" i="15"/>
  <c r="E73" i="15"/>
  <c r="E75" i="15" s="1"/>
  <c r="D70" i="15"/>
  <c r="C70" i="15"/>
  <c r="F69" i="15"/>
  <c r="E69" i="15"/>
  <c r="E68" i="15"/>
  <c r="F68" i="15" s="1"/>
  <c r="D65" i="15"/>
  <c r="E65" i="15"/>
  <c r="F65" i="15"/>
  <c r="C65" i="15"/>
  <c r="F64" i="15"/>
  <c r="E64" i="15"/>
  <c r="E63" i="15"/>
  <c r="F63" i="15" s="1"/>
  <c r="D60" i="15"/>
  <c r="C60" i="15"/>
  <c r="E59" i="15"/>
  <c r="F59" i="15" s="1"/>
  <c r="F58" i="15"/>
  <c r="E58" i="15"/>
  <c r="D55" i="15"/>
  <c r="C55" i="15"/>
  <c r="F54" i="15"/>
  <c r="E54" i="15"/>
  <c r="E53" i="15"/>
  <c r="F53" i="15" s="1"/>
  <c r="D50" i="15"/>
  <c r="C50" i="15"/>
  <c r="E50" i="15" s="1"/>
  <c r="F49" i="15"/>
  <c r="E49" i="15"/>
  <c r="E48" i="15"/>
  <c r="F48" i="15" s="1"/>
  <c r="D45" i="15"/>
  <c r="E45" i="15"/>
  <c r="C45" i="15"/>
  <c r="F44" i="15"/>
  <c r="E44" i="15"/>
  <c r="E43" i="15"/>
  <c r="F43" i="15" s="1"/>
  <c r="D37" i="15"/>
  <c r="C37" i="15"/>
  <c r="E37" i="15" s="1"/>
  <c r="F37" i="15" s="1"/>
  <c r="F36" i="15"/>
  <c r="E36" i="15"/>
  <c r="F35" i="15"/>
  <c r="E35" i="15"/>
  <c r="E34" i="15"/>
  <c r="F34" i="15" s="1"/>
  <c r="E33" i="15"/>
  <c r="F33" i="15" s="1"/>
  <c r="D30" i="15"/>
  <c r="E30" i="15" s="1"/>
  <c r="C30" i="15"/>
  <c r="F30" i="15" s="1"/>
  <c r="F29" i="15"/>
  <c r="E29" i="15"/>
  <c r="F28" i="15"/>
  <c r="E28" i="15"/>
  <c r="F27" i="15"/>
  <c r="E27" i="15"/>
  <c r="E26" i="15"/>
  <c r="F26" i="15" s="1"/>
  <c r="D23" i="15"/>
  <c r="F23" i="15"/>
  <c r="C23" i="15"/>
  <c r="E23" i="15" s="1"/>
  <c r="F22" i="15"/>
  <c r="E22" i="15"/>
  <c r="E21" i="15"/>
  <c r="F21" i="15" s="1"/>
  <c r="E20" i="15"/>
  <c r="F20" i="15" s="1"/>
  <c r="F19" i="15"/>
  <c r="E19" i="15"/>
  <c r="D16" i="15"/>
  <c r="E16" i="15" s="1"/>
  <c r="C16" i="15"/>
  <c r="E15" i="15"/>
  <c r="F15" i="15" s="1"/>
  <c r="E14" i="15"/>
  <c r="F14" i="15" s="1"/>
  <c r="F13" i="15"/>
  <c r="E13" i="15"/>
  <c r="E12" i="15"/>
  <c r="F12" i="15" s="1"/>
  <c r="I37" i="14"/>
  <c r="H37" i="14"/>
  <c r="E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G36" i="14" s="1"/>
  <c r="F17" i="14"/>
  <c r="F31" i="14" s="1"/>
  <c r="E17" i="14"/>
  <c r="E33" i="14" s="1"/>
  <c r="E36" i="14" s="1"/>
  <c r="E38" i="14" s="1"/>
  <c r="E40" i="14" s="1"/>
  <c r="D17" i="14"/>
  <c r="D31" i="14" s="1"/>
  <c r="C17" i="14"/>
  <c r="C31" i="14" s="1"/>
  <c r="C33" i="14"/>
  <c r="C36" i="14" s="1"/>
  <c r="C38" i="14" s="1"/>
  <c r="C40" i="14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D80" i="13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/>
  <c r="D66" i="13"/>
  <c r="D65" i="13" s="1"/>
  <c r="C66" i="13"/>
  <c r="C65" i="13"/>
  <c r="E60" i="13"/>
  <c r="D60" i="13"/>
  <c r="C60" i="13"/>
  <c r="E59" i="13"/>
  <c r="E61" i="13" s="1"/>
  <c r="E57" i="13" s="1"/>
  <c r="E58" i="13"/>
  <c r="D58" i="13"/>
  <c r="C58" i="13"/>
  <c r="E55" i="13"/>
  <c r="E50" i="13" s="1"/>
  <c r="D55" i="13"/>
  <c r="C55" i="13"/>
  <c r="E54" i="13"/>
  <c r="D54" i="13"/>
  <c r="C54" i="13"/>
  <c r="C50" i="13"/>
  <c r="D50" i="13"/>
  <c r="E48" i="13"/>
  <c r="E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C25" i="13"/>
  <c r="C27" i="13" s="1"/>
  <c r="C15" i="13"/>
  <c r="C24" i="13"/>
  <c r="E13" i="13"/>
  <c r="D13" i="13"/>
  <c r="D25" i="13"/>
  <c r="D27" i="13" s="1"/>
  <c r="C13" i="13"/>
  <c r="D47" i="12"/>
  <c r="C47" i="12"/>
  <c r="E46" i="12"/>
  <c r="F46" i="12" s="1"/>
  <c r="F45" i="12"/>
  <c r="E45" i="12"/>
  <c r="D40" i="12"/>
  <c r="C40" i="12"/>
  <c r="F39" i="12"/>
  <c r="E39" i="12"/>
  <c r="F38" i="12"/>
  <c r="E38" i="12"/>
  <c r="F37" i="12"/>
  <c r="E37" i="12"/>
  <c r="D32" i="12"/>
  <c r="E32" i="12"/>
  <c r="F32" i="12" s="1"/>
  <c r="C32" i="12"/>
  <c r="F31" i="12"/>
  <c r="E31" i="12"/>
  <c r="F30" i="12"/>
  <c r="E30" i="12"/>
  <c r="E29" i="12"/>
  <c r="F29" i="12" s="1"/>
  <c r="F28" i="12"/>
  <c r="E28" i="12"/>
  <c r="F27" i="12"/>
  <c r="E27" i="12"/>
  <c r="F26" i="12"/>
  <c r="E26" i="12"/>
  <c r="E25" i="12"/>
  <c r="F25" i="12" s="1"/>
  <c r="F24" i="12"/>
  <c r="E24" i="12"/>
  <c r="F23" i="12"/>
  <c r="E23" i="12"/>
  <c r="F19" i="12"/>
  <c r="E19" i="12"/>
  <c r="E18" i="12"/>
  <c r="F18" i="12" s="1"/>
  <c r="F16" i="12"/>
  <c r="E16" i="12"/>
  <c r="D15" i="12"/>
  <c r="E15" i="12" s="1"/>
  <c r="F15" i="12" s="1"/>
  <c r="C15" i="12"/>
  <c r="C17" i="12"/>
  <c r="F14" i="12"/>
  <c r="E14" i="12"/>
  <c r="F13" i="12"/>
  <c r="E13" i="12"/>
  <c r="E12" i="12"/>
  <c r="F12" i="12" s="1"/>
  <c r="E11" i="12"/>
  <c r="F11" i="12" s="1"/>
  <c r="D73" i="11"/>
  <c r="E73" i="11"/>
  <c r="F73" i="11" s="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D65" i="11" s="1"/>
  <c r="E65" i="11" s="1"/>
  <c r="C61" i="11"/>
  <c r="C65" i="11" s="1"/>
  <c r="C75" i="11" s="1"/>
  <c r="F60" i="11"/>
  <c r="E60" i="11"/>
  <c r="F59" i="11"/>
  <c r="E59" i="11"/>
  <c r="D56" i="11"/>
  <c r="C56" i="11"/>
  <c r="F55" i="11"/>
  <c r="E55" i="11"/>
  <c r="F54" i="11"/>
  <c r="E54" i="11"/>
  <c r="F53" i="11"/>
  <c r="E53" i="1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F49" i="11"/>
  <c r="E49" i="11"/>
  <c r="F40" i="11"/>
  <c r="E40" i="11"/>
  <c r="D38" i="11"/>
  <c r="D41" i="11"/>
  <c r="C38" i="11"/>
  <c r="C41" i="11"/>
  <c r="E41" i="11" s="1"/>
  <c r="F37" i="11"/>
  <c r="E37" i="11"/>
  <c r="F36" i="11"/>
  <c r="E36" i="11"/>
  <c r="E33" i="11"/>
  <c r="F33" i="11" s="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E25" i="11"/>
  <c r="F25" i="11" s="1"/>
  <c r="D22" i="11"/>
  <c r="C22" i="11"/>
  <c r="C43" i="11" s="1"/>
  <c r="F21" i="11"/>
  <c r="E21" i="11"/>
  <c r="E20" i="11"/>
  <c r="F20" i="11" s="1"/>
  <c r="E19" i="11"/>
  <c r="F19" i="11" s="1"/>
  <c r="F18" i="11"/>
  <c r="E18" i="11"/>
  <c r="F17" i="11"/>
  <c r="E17" i="11"/>
  <c r="E16" i="11"/>
  <c r="F16" i="11" s="1"/>
  <c r="E15" i="11"/>
  <c r="F15" i="11" s="1"/>
  <c r="E14" i="11"/>
  <c r="F14" i="11" s="1"/>
  <c r="F13" i="11"/>
  <c r="E13" i="11"/>
  <c r="D120" i="10"/>
  <c r="E120" i="10" s="1"/>
  <c r="C120" i="10"/>
  <c r="F120" i="10" s="1"/>
  <c r="F119" i="10"/>
  <c r="D119" i="10"/>
  <c r="E119" i="10"/>
  <c r="C119" i="10"/>
  <c r="D118" i="10"/>
  <c r="E118" i="10" s="1"/>
  <c r="C118" i="10"/>
  <c r="F118" i="10" s="1"/>
  <c r="F117" i="10"/>
  <c r="D117" i="10"/>
  <c r="E117" i="10"/>
  <c r="C117" i="10"/>
  <c r="D116" i="10"/>
  <c r="C116" i="10"/>
  <c r="F116" i="10" s="1"/>
  <c r="F115" i="10"/>
  <c r="D115" i="10"/>
  <c r="E115" i="10"/>
  <c r="C115" i="10"/>
  <c r="D114" i="10"/>
  <c r="C114" i="10"/>
  <c r="F114" i="10" s="1"/>
  <c r="F113" i="10"/>
  <c r="D113" i="10"/>
  <c r="E113" i="10" s="1"/>
  <c r="C113" i="10"/>
  <c r="C122" i="10" s="1"/>
  <c r="F122" i="10" s="1"/>
  <c r="D112" i="10"/>
  <c r="E112" i="10" s="1"/>
  <c r="C112" i="10"/>
  <c r="F112" i="10" s="1"/>
  <c r="C121" i="10"/>
  <c r="F121" i="10" s="1"/>
  <c r="D108" i="10"/>
  <c r="E108" i="10" s="1"/>
  <c r="C108" i="10"/>
  <c r="F108" i="10" s="1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D71" i="10"/>
  <c r="E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 s="1"/>
  <c r="C60" i="10"/>
  <c r="F60" i="10" s="1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 s="1"/>
  <c r="C48" i="10"/>
  <c r="F48" i="10" s="1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D23" i="10"/>
  <c r="E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F205" i="9" s="1"/>
  <c r="C205" i="9"/>
  <c r="D204" i="9"/>
  <c r="C204" i="9"/>
  <c r="D203" i="9"/>
  <c r="E203" i="9"/>
  <c r="F203" i="9" s="1"/>
  <c r="C203" i="9"/>
  <c r="D202" i="9"/>
  <c r="C202" i="9"/>
  <c r="D201" i="9"/>
  <c r="E201" i="9" s="1"/>
  <c r="F201" i="9" s="1"/>
  <c r="C201" i="9"/>
  <c r="D200" i="9"/>
  <c r="C200" i="9"/>
  <c r="D199" i="9"/>
  <c r="E199" i="9"/>
  <c r="F199" i="9"/>
  <c r="C199" i="9"/>
  <c r="C208" i="9" s="1"/>
  <c r="D198" i="9"/>
  <c r="C198" i="9"/>
  <c r="C207" i="9"/>
  <c r="D193" i="9"/>
  <c r="C193" i="9"/>
  <c r="D192" i="9"/>
  <c r="E192" i="9"/>
  <c r="C192" i="9"/>
  <c r="F191" i="9"/>
  <c r="E191" i="9"/>
  <c r="E190" i="9"/>
  <c r="F190" i="9" s="1"/>
  <c r="E189" i="9"/>
  <c r="F189" i="9" s="1"/>
  <c r="E188" i="9"/>
  <c r="F188" i="9" s="1"/>
  <c r="E187" i="9"/>
  <c r="F187" i="9" s="1"/>
  <c r="E186" i="9"/>
  <c r="F186" i="9" s="1"/>
  <c r="E185" i="9"/>
  <c r="F185" i="9" s="1"/>
  <c r="E184" i="9"/>
  <c r="F184" i="9" s="1"/>
  <c r="E183" i="9"/>
  <c r="F183" i="9" s="1"/>
  <c r="D180" i="9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E153" i="9"/>
  <c r="F153" i="9" s="1"/>
  <c r="C153" i="9"/>
  <c r="F152" i="9"/>
  <c r="E152" i="9"/>
  <c r="E151" i="9"/>
  <c r="F151" i="9" s="1"/>
  <c r="F150" i="9"/>
  <c r="E150" i="9"/>
  <c r="F149" i="9"/>
  <c r="E149" i="9"/>
  <c r="F148" i="9"/>
  <c r="E148" i="9"/>
  <c r="E147" i="9"/>
  <c r="F147" i="9" s="1"/>
  <c r="E146" i="9"/>
  <c r="F146" i="9" s="1"/>
  <c r="F145" i="9"/>
  <c r="E145" i="9"/>
  <c r="F144" i="9"/>
  <c r="E144" i="9"/>
  <c r="D141" i="9"/>
  <c r="E141" i="9"/>
  <c r="C141" i="9"/>
  <c r="F141" i="9" s="1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F128" i="9"/>
  <c r="C128" i="9"/>
  <c r="D127" i="9"/>
  <c r="E127" i="9" s="1"/>
  <c r="C127" i="9"/>
  <c r="F126" i="9"/>
  <c r="E126" i="9"/>
  <c r="F125" i="9"/>
  <c r="E125" i="9"/>
  <c r="F124" i="9"/>
  <c r="E124" i="9"/>
  <c r="E123" i="9"/>
  <c r="F123" i="9" s="1"/>
  <c r="E122" i="9"/>
  <c r="F122" i="9" s="1"/>
  <c r="F121" i="9"/>
  <c r="E121" i="9"/>
  <c r="F120" i="9"/>
  <c r="E120" i="9"/>
  <c r="E119" i="9"/>
  <c r="F119" i="9" s="1"/>
  <c r="F118" i="9"/>
  <c r="E118" i="9"/>
  <c r="F115" i="9"/>
  <c r="D115" i="9"/>
  <c r="E115" i="9"/>
  <c r="C115" i="9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C102" i="9"/>
  <c r="E102" i="9" s="1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 s="1"/>
  <c r="C76" i="9"/>
  <c r="D75" i="9"/>
  <c r="E75" i="9" s="1"/>
  <c r="F75" i="9" s="1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 s="1"/>
  <c r="C50" i="9"/>
  <c r="D49" i="9"/>
  <c r="E49" i="9" s="1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D37" i="9"/>
  <c r="C37" i="9"/>
  <c r="F37" i="9" s="1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 s="1"/>
  <c r="C24" i="9"/>
  <c r="D23" i="9"/>
  <c r="E23" i="9" s="1"/>
  <c r="F23" i="9" s="1"/>
  <c r="C23" i="9"/>
  <c r="E22" i="9"/>
  <c r="F22" i="9" s="1"/>
  <c r="F21" i="9"/>
  <c r="E21" i="9"/>
  <c r="F20" i="9"/>
  <c r="E20" i="9"/>
  <c r="F19" i="9"/>
  <c r="E19" i="9"/>
  <c r="E18" i="9"/>
  <c r="F18" i="9" s="1"/>
  <c r="F17" i="9"/>
  <c r="E17" i="9"/>
  <c r="F16" i="9"/>
  <c r="E16" i="9"/>
  <c r="F15" i="9"/>
  <c r="E15" i="9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D166" i="8" s="1"/>
  <c r="D154" i="8" s="1"/>
  <c r="C164" i="8"/>
  <c r="C160" i="8" s="1"/>
  <c r="E162" i="8"/>
  <c r="D162" i="8"/>
  <c r="C162" i="8"/>
  <c r="E161" i="8"/>
  <c r="E166" i="8" s="1"/>
  <c r="D161" i="8"/>
  <c r="C161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 s="1"/>
  <c r="C143" i="8"/>
  <c r="E126" i="8"/>
  <c r="D126" i="8"/>
  <c r="C126" i="8"/>
  <c r="E119" i="8"/>
  <c r="D119" i="8"/>
  <c r="C119" i="8"/>
  <c r="E109" i="8"/>
  <c r="E106" i="8" s="1"/>
  <c r="E108" i="8"/>
  <c r="D108" i="8"/>
  <c r="C108" i="8"/>
  <c r="E107" i="8"/>
  <c r="D107" i="8"/>
  <c r="D109" i="8"/>
  <c r="D106" i="8" s="1"/>
  <c r="C107" i="8"/>
  <c r="C109" i="8" s="1"/>
  <c r="C106" i="8"/>
  <c r="C104" i="8"/>
  <c r="E102" i="8"/>
  <c r="E104" i="8" s="1"/>
  <c r="D102" i="8"/>
  <c r="D104" i="8"/>
  <c r="C102" i="8"/>
  <c r="E100" i="8"/>
  <c r="D100" i="8"/>
  <c r="C100" i="8"/>
  <c r="E95" i="8"/>
  <c r="E94" i="8"/>
  <c r="D95" i="8"/>
  <c r="C95" i="8"/>
  <c r="C94" i="8" s="1"/>
  <c r="D94" i="8"/>
  <c r="E89" i="8"/>
  <c r="D89" i="8"/>
  <c r="C89" i="8"/>
  <c r="C88" i="8"/>
  <c r="E87" i="8"/>
  <c r="D87" i="8"/>
  <c r="C87" i="8"/>
  <c r="E84" i="8"/>
  <c r="E79" i="8" s="1"/>
  <c r="D84" i="8"/>
  <c r="C84" i="8"/>
  <c r="E83" i="8"/>
  <c r="D83" i="8"/>
  <c r="C83" i="8"/>
  <c r="C79" i="8"/>
  <c r="D79" i="8"/>
  <c r="E77" i="8"/>
  <c r="E75" i="8"/>
  <c r="E88" i="8" s="1"/>
  <c r="E90" i="8" s="1"/>
  <c r="E86" i="8" s="1"/>
  <c r="D75" i="8"/>
  <c r="C75" i="8"/>
  <c r="C77" i="8" s="1"/>
  <c r="E74" i="8"/>
  <c r="D74" i="8"/>
  <c r="D71" i="8" s="1"/>
  <c r="C74" i="8"/>
  <c r="C71" i="8" s="1"/>
  <c r="E67" i="8"/>
  <c r="D67" i="8"/>
  <c r="C67" i="8"/>
  <c r="E38" i="8"/>
  <c r="D38" i="8"/>
  <c r="D57" i="8"/>
  <c r="D62" i="8"/>
  <c r="C38" i="8"/>
  <c r="E33" i="8"/>
  <c r="E34" i="8" s="1"/>
  <c r="D33" i="8"/>
  <c r="D34" i="8"/>
  <c r="E26" i="8"/>
  <c r="D26" i="8"/>
  <c r="C26" i="8"/>
  <c r="C27" i="8" s="1"/>
  <c r="C21" i="8" s="1"/>
  <c r="E15" i="8"/>
  <c r="C15" i="8"/>
  <c r="E13" i="8"/>
  <c r="E25" i="8" s="1"/>
  <c r="D13" i="8"/>
  <c r="C13" i="8"/>
  <c r="C25" i="8" s="1"/>
  <c r="E186" i="7"/>
  <c r="F186" i="7" s="1"/>
  <c r="D183" i="7"/>
  <c r="C183" i="7"/>
  <c r="F182" i="7"/>
  <c r="E182" i="7"/>
  <c r="E181" i="7"/>
  <c r="F181" i="7" s="1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C167" i="7"/>
  <c r="F166" i="7"/>
  <c r="E166" i="7"/>
  <c r="F165" i="7"/>
  <c r="E165" i="7"/>
  <c r="F164" i="7"/>
  <c r="E164" i="7"/>
  <c r="E163" i="7"/>
  <c r="F163" i="7" s="1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E155" i="7"/>
  <c r="F155" i="7" s="1"/>
  <c r="F154" i="7"/>
  <c r="E154" i="7"/>
  <c r="F153" i="7"/>
  <c r="E153" i="7"/>
  <c r="F152" i="7"/>
  <c r="E152" i="7"/>
  <c r="E151" i="7"/>
  <c r="F151" i="7" s="1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E139" i="7"/>
  <c r="F139" i="7" s="1"/>
  <c r="F138" i="7"/>
  <c r="E138" i="7"/>
  <c r="F137" i="7"/>
  <c r="E137" i="7"/>
  <c r="F136" i="7"/>
  <c r="E136" i="7"/>
  <c r="E135" i="7"/>
  <c r="F135" i="7" s="1"/>
  <c r="F134" i="7"/>
  <c r="E134" i="7"/>
  <c r="F133" i="7"/>
  <c r="E133" i="7"/>
  <c r="D130" i="7"/>
  <c r="C130" i="7"/>
  <c r="F129" i="7"/>
  <c r="E129" i="7"/>
  <c r="F128" i="7"/>
  <c r="E128" i="7"/>
  <c r="F127" i="7"/>
  <c r="E127" i="7"/>
  <c r="E126" i="7"/>
  <c r="F126" i="7" s="1"/>
  <c r="F125" i="7"/>
  <c r="E125" i="7"/>
  <c r="F124" i="7"/>
  <c r="E124" i="7"/>
  <c r="D121" i="7"/>
  <c r="E121" i="7" s="1"/>
  <c r="C121" i="7"/>
  <c r="F121" i="7" s="1"/>
  <c r="F120" i="7"/>
  <c r="E120" i="7"/>
  <c r="F119" i="7"/>
  <c r="E119" i="7"/>
  <c r="F118" i="7"/>
  <c r="E118" i="7"/>
  <c r="E117" i="7"/>
  <c r="F117" i="7" s="1"/>
  <c r="F116" i="7"/>
  <c r="E116" i="7"/>
  <c r="F115" i="7"/>
  <c r="E115" i="7"/>
  <c r="F114" i="7"/>
  <c r="E114" i="7"/>
  <c r="E113" i="7"/>
  <c r="F113" i="7" s="1"/>
  <c r="F112" i="7"/>
  <c r="E112" i="7"/>
  <c r="F111" i="7"/>
  <c r="E111" i="7"/>
  <c r="F110" i="7"/>
  <c r="E110" i="7"/>
  <c r="E109" i="7"/>
  <c r="F109" i="7" s="1"/>
  <c r="F108" i="7"/>
  <c r="E108" i="7"/>
  <c r="F107" i="7"/>
  <c r="E107" i="7"/>
  <c r="F106" i="7"/>
  <c r="E106" i="7"/>
  <c r="E105" i="7"/>
  <c r="F105" i="7" s="1"/>
  <c r="F104" i="7"/>
  <c r="E104" i="7"/>
  <c r="F103" i="7"/>
  <c r="E103" i="7"/>
  <c r="F93" i="7"/>
  <c r="E93" i="7"/>
  <c r="D90" i="7"/>
  <c r="E90" i="7"/>
  <c r="F90" i="7"/>
  <c r="C90" i="7"/>
  <c r="F89" i="7"/>
  <c r="E89" i="7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F77" i="7"/>
  <c r="E77" i="7"/>
  <c r="F76" i="7"/>
  <c r="E76" i="7"/>
  <c r="F75" i="7"/>
  <c r="E75" i="7"/>
  <c r="E74" i="7"/>
  <c r="F74" i="7" s="1"/>
  <c r="E73" i="7"/>
  <c r="F73" i="7" s="1"/>
  <c r="E72" i="7"/>
  <c r="F72" i="7" s="1"/>
  <c r="F71" i="7"/>
  <c r="E71" i="7"/>
  <c r="E70" i="7"/>
  <c r="F70" i="7" s="1"/>
  <c r="E69" i="7"/>
  <c r="F69" i="7" s="1"/>
  <c r="F68" i="7"/>
  <c r="E68" i="7"/>
  <c r="F67" i="7"/>
  <c r="E67" i="7"/>
  <c r="E66" i="7"/>
  <c r="F66" i="7" s="1"/>
  <c r="E65" i="7"/>
  <c r="F65" i="7" s="1"/>
  <c r="F64" i="7"/>
  <c r="E64" i="7"/>
  <c r="F63" i="7"/>
  <c r="E63" i="7"/>
  <c r="E62" i="7"/>
  <c r="F62" i="7" s="1"/>
  <c r="D59" i="7"/>
  <c r="E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E41" i="7"/>
  <c r="C41" i="7"/>
  <c r="F40" i="7"/>
  <c r="E40" i="7"/>
  <c r="F39" i="7"/>
  <c r="E39" i="7"/>
  <c r="E38" i="7"/>
  <c r="F38" i="7" s="1"/>
  <c r="D35" i="7"/>
  <c r="C35" i="7"/>
  <c r="E34" i="7"/>
  <c r="F34" i="7" s="1"/>
  <c r="E33" i="7"/>
  <c r="F33" i="7" s="1"/>
  <c r="D30" i="7"/>
  <c r="E30" i="7"/>
  <c r="F30" i="7"/>
  <c r="C30" i="7"/>
  <c r="F29" i="7"/>
  <c r="E29" i="7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C18" i="7"/>
  <c r="E17" i="7"/>
  <c r="F17" i="7" s="1"/>
  <c r="F16" i="7"/>
  <c r="E16" i="7"/>
  <c r="E15" i="7"/>
  <c r="F15" i="7" s="1"/>
  <c r="D179" i="6"/>
  <c r="C179" i="6"/>
  <c r="E178" i="6"/>
  <c r="F178" i="6"/>
  <c r="F177" i="6"/>
  <c r="E177" i="6"/>
  <c r="E176" i="6"/>
  <c r="F176" i="6"/>
  <c r="E175" i="6"/>
  <c r="F175" i="6"/>
  <c r="E174" i="6"/>
  <c r="F174" i="6"/>
  <c r="E173" i="6"/>
  <c r="F173" i="6" s="1"/>
  <c r="E172" i="6"/>
  <c r="F172" i="6"/>
  <c r="F171" i="6"/>
  <c r="E171" i="6"/>
  <c r="E170" i="6"/>
  <c r="F170" i="6"/>
  <c r="E169" i="6"/>
  <c r="F169" i="6" s="1"/>
  <c r="E168" i="6"/>
  <c r="F168" i="6"/>
  <c r="D166" i="6"/>
  <c r="C166" i="6"/>
  <c r="E165" i="6"/>
  <c r="F165" i="6"/>
  <c r="F164" i="6"/>
  <c r="E164" i="6"/>
  <c r="E163" i="6"/>
  <c r="F163" i="6"/>
  <c r="E162" i="6"/>
  <c r="F162" i="6"/>
  <c r="E161" i="6"/>
  <c r="F161" i="6"/>
  <c r="E160" i="6"/>
  <c r="F160" i="6" s="1"/>
  <c r="E159" i="6"/>
  <c r="F159" i="6"/>
  <c r="F158" i="6"/>
  <c r="E158" i="6"/>
  <c r="E157" i="6"/>
  <c r="F157" i="6"/>
  <c r="E156" i="6"/>
  <c r="F156" i="6" s="1"/>
  <c r="E155" i="6"/>
  <c r="F155" i="6" s="1"/>
  <c r="D153" i="6"/>
  <c r="C153" i="6"/>
  <c r="E152" i="6"/>
  <c r="F152" i="6"/>
  <c r="F151" i="6"/>
  <c r="E151" i="6"/>
  <c r="E150" i="6"/>
  <c r="F150" i="6" s="1"/>
  <c r="E149" i="6"/>
  <c r="F149" i="6"/>
  <c r="E148" i="6"/>
  <c r="F148" i="6"/>
  <c r="E147" i="6"/>
  <c r="F147" i="6" s="1"/>
  <c r="E146" i="6"/>
  <c r="F146" i="6"/>
  <c r="F145" i="6"/>
  <c r="E145" i="6"/>
  <c r="E144" i="6"/>
  <c r="F144" i="6"/>
  <c r="E143" i="6"/>
  <c r="F143" i="6" s="1"/>
  <c r="E142" i="6"/>
  <c r="F142" i="6" s="1"/>
  <c r="D137" i="6"/>
  <c r="C137" i="6"/>
  <c r="E136" i="6"/>
  <c r="F136" i="6"/>
  <c r="F135" i="6"/>
  <c r="E135" i="6"/>
  <c r="E134" i="6"/>
  <c r="F134" i="6" s="1"/>
  <c r="E133" i="6"/>
  <c r="F133" i="6"/>
  <c r="E132" i="6"/>
  <c r="F132" i="6"/>
  <c r="E131" i="6"/>
  <c r="F131" i="6" s="1"/>
  <c r="E130" i="6"/>
  <c r="F130" i="6" s="1"/>
  <c r="F129" i="6"/>
  <c r="E129" i="6"/>
  <c r="E128" i="6"/>
  <c r="F128" i="6"/>
  <c r="E127" i="6"/>
  <c r="F127" i="6" s="1"/>
  <c r="E126" i="6"/>
  <c r="F126" i="6"/>
  <c r="D124" i="6"/>
  <c r="C124" i="6"/>
  <c r="E123" i="6"/>
  <c r="F123" i="6"/>
  <c r="F122" i="6"/>
  <c r="E122" i="6"/>
  <c r="E121" i="6"/>
  <c r="F121" i="6"/>
  <c r="E120" i="6"/>
  <c r="F120" i="6"/>
  <c r="E119" i="6"/>
  <c r="F119" i="6"/>
  <c r="E118" i="6"/>
  <c r="F118" i="6" s="1"/>
  <c r="E117" i="6"/>
  <c r="F117" i="6"/>
  <c r="F116" i="6"/>
  <c r="E116" i="6"/>
  <c r="E115" i="6"/>
  <c r="F115" i="6"/>
  <c r="E114" i="6"/>
  <c r="F114" i="6" s="1"/>
  <c r="E113" i="6"/>
  <c r="F113" i="6"/>
  <c r="D111" i="6"/>
  <c r="C111" i="6"/>
  <c r="E110" i="6"/>
  <c r="F110" i="6"/>
  <c r="F109" i="6"/>
  <c r="E109" i="6"/>
  <c r="E108" i="6"/>
  <c r="F108" i="6"/>
  <c r="E107" i="6"/>
  <c r="F107" i="6"/>
  <c r="E106" i="6"/>
  <c r="F106" i="6"/>
  <c r="E105" i="6"/>
  <c r="F105" i="6" s="1"/>
  <c r="E104" i="6"/>
  <c r="F104" i="6"/>
  <c r="F103" i="6"/>
  <c r="E103" i="6"/>
  <c r="E102" i="6"/>
  <c r="F102" i="6"/>
  <c r="E101" i="6"/>
  <c r="F101" i="6" s="1"/>
  <c r="E100" i="6"/>
  <c r="F100" i="6"/>
  <c r="D94" i="6"/>
  <c r="C94" i="6"/>
  <c r="D93" i="6"/>
  <c r="C93" i="6"/>
  <c r="F93" i="6"/>
  <c r="D92" i="6"/>
  <c r="C92" i="6"/>
  <c r="D91" i="6"/>
  <c r="E91" i="6" s="1"/>
  <c r="F91" i="6" s="1"/>
  <c r="C91" i="6"/>
  <c r="D90" i="6"/>
  <c r="C90" i="6"/>
  <c r="D89" i="6"/>
  <c r="C89" i="6"/>
  <c r="E89" i="6" s="1"/>
  <c r="D88" i="6"/>
  <c r="C88" i="6"/>
  <c r="D87" i="6"/>
  <c r="C87" i="6"/>
  <c r="F87" i="6"/>
  <c r="D86" i="6"/>
  <c r="C86" i="6"/>
  <c r="D85" i="6"/>
  <c r="C85" i="6"/>
  <c r="D84" i="6"/>
  <c r="C84" i="6"/>
  <c r="D81" i="6"/>
  <c r="C81" i="6"/>
  <c r="E80" i="6"/>
  <c r="F80" i="6"/>
  <c r="F79" i="6"/>
  <c r="E79" i="6"/>
  <c r="E78" i="6"/>
  <c r="F78" i="6"/>
  <c r="E77" i="6"/>
  <c r="F77" i="6"/>
  <c r="E76" i="6"/>
  <c r="F76" i="6"/>
  <c r="E75" i="6"/>
  <c r="F75" i="6"/>
  <c r="E74" i="6"/>
  <c r="F74" i="6"/>
  <c r="F73" i="6"/>
  <c r="E73" i="6"/>
  <c r="E72" i="6"/>
  <c r="F72" i="6"/>
  <c r="E71" i="6"/>
  <c r="F71" i="6"/>
  <c r="E70" i="6"/>
  <c r="F70" i="6"/>
  <c r="D68" i="6"/>
  <c r="C68" i="6"/>
  <c r="E67" i="6"/>
  <c r="F67" i="6"/>
  <c r="F66" i="6"/>
  <c r="E66" i="6"/>
  <c r="E65" i="6"/>
  <c r="F65" i="6"/>
  <c r="E64" i="6"/>
  <c r="F64" i="6"/>
  <c r="E63" i="6"/>
  <c r="F63" i="6"/>
  <c r="E62" i="6"/>
  <c r="F62" i="6"/>
  <c r="E61" i="6"/>
  <c r="F61" i="6"/>
  <c r="F60" i="6"/>
  <c r="E60" i="6"/>
  <c r="E59" i="6"/>
  <c r="F59" i="6"/>
  <c r="E58" i="6"/>
  <c r="F58" i="6"/>
  <c r="E57" i="6"/>
  <c r="F57" i="6"/>
  <c r="D51" i="6"/>
  <c r="C51" i="6"/>
  <c r="E51" i="6"/>
  <c r="F51" i="6" s="1"/>
  <c r="D50" i="6"/>
  <c r="E50" i="6" s="1"/>
  <c r="C50" i="6"/>
  <c r="F50" i="6"/>
  <c r="D49" i="6"/>
  <c r="C49" i="6"/>
  <c r="D48" i="6"/>
  <c r="C48" i="6"/>
  <c r="E48" i="6"/>
  <c r="D47" i="6"/>
  <c r="E47" i="6" s="1"/>
  <c r="C47" i="6"/>
  <c r="D46" i="6"/>
  <c r="E46" i="6" s="1"/>
  <c r="C46" i="6"/>
  <c r="D45" i="6"/>
  <c r="E45" i="6" s="1"/>
  <c r="F45" i="6" s="1"/>
  <c r="C45" i="6"/>
  <c r="D44" i="6"/>
  <c r="E44" i="6" s="1"/>
  <c r="C44" i="6"/>
  <c r="D43" i="6"/>
  <c r="E43" i="6" s="1"/>
  <c r="C43" i="6"/>
  <c r="D42" i="6"/>
  <c r="C42" i="6"/>
  <c r="E42" i="6"/>
  <c r="F42" i="6" s="1"/>
  <c r="D41" i="6"/>
  <c r="C41" i="6"/>
  <c r="C52" i="6"/>
  <c r="D38" i="6"/>
  <c r="C38" i="6"/>
  <c r="E37" i="6"/>
  <c r="F37" i="6" s="1"/>
  <c r="F36" i="6"/>
  <c r="E36" i="6"/>
  <c r="E35" i="6"/>
  <c r="F35" i="6" s="1"/>
  <c r="E34" i="6"/>
  <c r="F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/>
  <c r="D25" i="6"/>
  <c r="E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/>
  <c r="F51" i="5"/>
  <c r="E51" i="5"/>
  <c r="F48" i="5"/>
  <c r="D48" i="5"/>
  <c r="E48" i="5"/>
  <c r="C48" i="5"/>
  <c r="F47" i="5"/>
  <c r="E47" i="5"/>
  <c r="F46" i="5"/>
  <c r="E46" i="5"/>
  <c r="D41" i="5"/>
  <c r="E41" i="5" s="1"/>
  <c r="F41" i="5" s="1"/>
  <c r="C41" i="5"/>
  <c r="E40" i="5"/>
  <c r="F40" i="5" s="1"/>
  <c r="F39" i="5"/>
  <c r="E39" i="5"/>
  <c r="F38" i="5"/>
  <c r="E38" i="5"/>
  <c r="D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E25" i="5"/>
  <c r="F25" i="5" s="1"/>
  <c r="E24" i="5"/>
  <c r="F24" i="5" s="1"/>
  <c r="F20" i="5"/>
  <c r="E20" i="5"/>
  <c r="F19" i="5"/>
  <c r="E19" i="5"/>
  <c r="E17" i="5"/>
  <c r="F17" i="5" s="1"/>
  <c r="D16" i="5"/>
  <c r="D18" i="5"/>
  <c r="D21" i="5" s="1"/>
  <c r="C16" i="5"/>
  <c r="F15" i="5"/>
  <c r="E15" i="5"/>
  <c r="E14" i="5"/>
  <c r="F14" i="5" s="1"/>
  <c r="E13" i="5"/>
  <c r="F13" i="5" s="1"/>
  <c r="F12" i="5"/>
  <c r="E12" i="5"/>
  <c r="D73" i="4"/>
  <c r="E73" i="4" s="1"/>
  <c r="F73" i="4"/>
  <c r="C73" i="4"/>
  <c r="E72" i="4"/>
  <c r="F72" i="4" s="1"/>
  <c r="F71" i="4"/>
  <c r="E71" i="4"/>
  <c r="F70" i="4"/>
  <c r="E70" i="4"/>
  <c r="F67" i="4"/>
  <c r="E67" i="4"/>
  <c r="E64" i="4"/>
  <c r="F64" i="4" s="1"/>
  <c r="F63" i="4"/>
  <c r="E63" i="4"/>
  <c r="D61" i="4"/>
  <c r="C61" i="4"/>
  <c r="E60" i="4"/>
  <c r="F60" i="4" s="1"/>
  <c r="F59" i="4"/>
  <c r="E59" i="4"/>
  <c r="D56" i="4"/>
  <c r="C56" i="4"/>
  <c r="F55" i="4"/>
  <c r="E55" i="4"/>
  <c r="F54" i="4"/>
  <c r="E54" i="4"/>
  <c r="E53" i="4"/>
  <c r="F53" i="4" s="1"/>
  <c r="F52" i="4"/>
  <c r="E52" i="4"/>
  <c r="F51" i="4"/>
  <c r="E51" i="4"/>
  <c r="A51" i="4"/>
  <c r="A52" i="4" s="1"/>
  <c r="A53" i="4" s="1"/>
  <c r="A54" i="4" s="1"/>
  <c r="A55" i="4" s="1"/>
  <c r="E50" i="4"/>
  <c r="F50" i="4"/>
  <c r="A50" i="4"/>
  <c r="F49" i="4"/>
  <c r="E49" i="4"/>
  <c r="F40" i="4"/>
  <c r="E40" i="4"/>
  <c r="D38" i="4"/>
  <c r="D41" i="4" s="1"/>
  <c r="C38" i="4"/>
  <c r="F37" i="4"/>
  <c r="E37" i="4"/>
  <c r="F36" i="4"/>
  <c r="E36" i="4"/>
  <c r="E33" i="4"/>
  <c r="F33" i="4" s="1"/>
  <c r="F32" i="4"/>
  <c r="E32" i="4"/>
  <c r="F31" i="4"/>
  <c r="E31" i="4"/>
  <c r="D29" i="4"/>
  <c r="E29" i="4"/>
  <c r="C29" i="4"/>
  <c r="F28" i="4"/>
  <c r="E28" i="4"/>
  <c r="F27" i="4"/>
  <c r="E27" i="4"/>
  <c r="F26" i="4"/>
  <c r="E26" i="4"/>
  <c r="F25" i="4"/>
  <c r="E25" i="4"/>
  <c r="D22" i="4"/>
  <c r="C22" i="4"/>
  <c r="F21" i="4"/>
  <c r="E21" i="4"/>
  <c r="F20" i="4"/>
  <c r="E20" i="4"/>
  <c r="F19" i="4"/>
  <c r="E19" i="4"/>
  <c r="F18" i="4"/>
  <c r="E18" i="4"/>
  <c r="E17" i="4"/>
  <c r="F17" i="4" s="1"/>
  <c r="E16" i="4"/>
  <c r="F16" i="4" s="1"/>
  <c r="F15" i="4"/>
  <c r="E15" i="4"/>
  <c r="F14" i="4"/>
  <c r="E14" i="4"/>
  <c r="E13" i="4"/>
  <c r="F13" i="4" s="1"/>
  <c r="D108" i="22"/>
  <c r="D109" i="22"/>
  <c r="C109" i="22"/>
  <c r="C108" i="22"/>
  <c r="D22" i="22"/>
  <c r="D29" i="22" s="1"/>
  <c r="C23" i="22"/>
  <c r="C54" i="22" s="1"/>
  <c r="E23" i="22"/>
  <c r="D33" i="22"/>
  <c r="E34" i="22"/>
  <c r="D101" i="22"/>
  <c r="D103" i="22"/>
  <c r="C102" i="22"/>
  <c r="C103" i="22" s="1"/>
  <c r="E102" i="22"/>
  <c r="C22" i="22"/>
  <c r="C110" i="22" s="1"/>
  <c r="E22" i="22"/>
  <c r="D23" i="22"/>
  <c r="D41" i="20"/>
  <c r="E40" i="20"/>
  <c r="F40" i="20" s="1"/>
  <c r="E16" i="20"/>
  <c r="F16" i="20" s="1"/>
  <c r="E25" i="20"/>
  <c r="F25" i="20" s="1"/>
  <c r="E36" i="20"/>
  <c r="F36" i="20" s="1"/>
  <c r="C39" i="20"/>
  <c r="C40" i="20"/>
  <c r="E43" i="20"/>
  <c r="E45" i="20"/>
  <c r="F45" i="20" s="1"/>
  <c r="C129" i="19"/>
  <c r="C133" i="19" s="1"/>
  <c r="C22" i="19"/>
  <c r="E94" i="17"/>
  <c r="F94" i="17" s="1"/>
  <c r="E95" i="17"/>
  <c r="F95" i="17" s="1"/>
  <c r="E100" i="17"/>
  <c r="E110" i="17"/>
  <c r="E120" i="17"/>
  <c r="D258" i="18"/>
  <c r="D100" i="18"/>
  <c r="D98" i="18"/>
  <c r="D89" i="18"/>
  <c r="D87" i="18"/>
  <c r="D85" i="18"/>
  <c r="D99" i="18"/>
  <c r="D95" i="18"/>
  <c r="D84" i="18"/>
  <c r="D83" i="18"/>
  <c r="D97" i="18"/>
  <c r="E85" i="17"/>
  <c r="D192" i="17"/>
  <c r="E129" i="17"/>
  <c r="F129" i="17" s="1"/>
  <c r="E130" i="17"/>
  <c r="F130" i="17" s="1"/>
  <c r="E135" i="17"/>
  <c r="F135" i="17" s="1"/>
  <c r="E145" i="17"/>
  <c r="F145" i="17" s="1"/>
  <c r="E294" i="17"/>
  <c r="E295" i="17"/>
  <c r="F295" i="17" s="1"/>
  <c r="E297" i="17"/>
  <c r="F297" i="17" s="1"/>
  <c r="E298" i="17"/>
  <c r="F298" i="17" s="1"/>
  <c r="E299" i="17"/>
  <c r="E283" i="18"/>
  <c r="C22" i="18"/>
  <c r="C284" i="18" s="1"/>
  <c r="E32" i="18"/>
  <c r="E36" i="18"/>
  <c r="E54" i="18"/>
  <c r="E60" i="18"/>
  <c r="D65" i="18"/>
  <c r="E70" i="18"/>
  <c r="D71" i="18"/>
  <c r="E71" i="18" s="1"/>
  <c r="D157" i="18"/>
  <c r="E157" i="18" s="1"/>
  <c r="E156" i="18"/>
  <c r="E21" i="18"/>
  <c r="D284" i="18"/>
  <c r="E284" i="18" s="1"/>
  <c r="E37" i="18"/>
  <c r="C65" i="18"/>
  <c r="C66" i="18"/>
  <c r="E69" i="18"/>
  <c r="C71" i="18"/>
  <c r="C76" i="18" s="1"/>
  <c r="C77" i="18" s="1"/>
  <c r="C144" i="18"/>
  <c r="E144" i="18"/>
  <c r="E151" i="18"/>
  <c r="D163" i="18"/>
  <c r="E163" i="18"/>
  <c r="C175" i="18"/>
  <c r="D180" i="18"/>
  <c r="E260" i="18"/>
  <c r="D211" i="18"/>
  <c r="D235" i="18" s="1"/>
  <c r="E239" i="18"/>
  <c r="D241" i="18"/>
  <c r="E243" i="18"/>
  <c r="E245" i="18"/>
  <c r="E302" i="18"/>
  <c r="E139" i="18"/>
  <c r="C241" i="18"/>
  <c r="E241" i="18" s="1"/>
  <c r="C189" i="18"/>
  <c r="E195" i="18"/>
  <c r="C210" i="18"/>
  <c r="E215" i="18"/>
  <c r="E217" i="18"/>
  <c r="E219" i="18"/>
  <c r="E221" i="18"/>
  <c r="D222" i="18"/>
  <c r="D223" i="18"/>
  <c r="D229" i="18"/>
  <c r="E229" i="18"/>
  <c r="D240" i="18"/>
  <c r="D253" i="18" s="1"/>
  <c r="D242" i="18"/>
  <c r="D244" i="18"/>
  <c r="E265" i="18"/>
  <c r="D303" i="18"/>
  <c r="E188" i="18"/>
  <c r="D189" i="18"/>
  <c r="E189" i="18"/>
  <c r="E205" i="18"/>
  <c r="C222" i="18"/>
  <c r="C246" i="18"/>
  <c r="D32" i="17"/>
  <c r="E31" i="17"/>
  <c r="F31" i="17"/>
  <c r="D90" i="17"/>
  <c r="E48" i="17"/>
  <c r="D61" i="17"/>
  <c r="E60" i="17"/>
  <c r="E89" i="17"/>
  <c r="C103" i="17"/>
  <c r="C104" i="17" s="1"/>
  <c r="E137" i="17"/>
  <c r="F137" i="17" s="1"/>
  <c r="D138" i="17"/>
  <c r="E138" i="17" s="1"/>
  <c r="E146" i="17"/>
  <c r="F146" i="17"/>
  <c r="C32" i="17"/>
  <c r="C160" i="17"/>
  <c r="F60" i="17"/>
  <c r="C61" i="17"/>
  <c r="F89" i="17"/>
  <c r="E102" i="17"/>
  <c r="F102" i="17" s="1"/>
  <c r="D103" i="17"/>
  <c r="C138" i="17"/>
  <c r="C21" i="17"/>
  <c r="E30" i="17"/>
  <c r="F30" i="17"/>
  <c r="E35" i="17"/>
  <c r="F35" i="17" s="1"/>
  <c r="C37" i="17"/>
  <c r="E47" i="17"/>
  <c r="F47" i="17"/>
  <c r="E59" i="17"/>
  <c r="F59" i="17"/>
  <c r="E66" i="17"/>
  <c r="F66" i="17"/>
  <c r="F85" i="17"/>
  <c r="F100" i="17"/>
  <c r="F110" i="17"/>
  <c r="F120" i="17"/>
  <c r="D124" i="17"/>
  <c r="D159" i="17"/>
  <c r="E159" i="17" s="1"/>
  <c r="F159" i="17"/>
  <c r="D172" i="17"/>
  <c r="D181" i="17"/>
  <c r="E227" i="17"/>
  <c r="F227" i="17" s="1"/>
  <c r="E239" i="17"/>
  <c r="F239" i="17" s="1"/>
  <c r="D21" i="17"/>
  <c r="E88" i="17"/>
  <c r="F88" i="17" s="1"/>
  <c r="E101" i="17"/>
  <c r="F101" i="17" s="1"/>
  <c r="E109" i="17"/>
  <c r="F109" i="17" s="1"/>
  <c r="C193" i="17"/>
  <c r="C282" i="17" s="1"/>
  <c r="C192" i="17"/>
  <c r="E123" i="17"/>
  <c r="F123" i="17"/>
  <c r="C124" i="17"/>
  <c r="E136" i="17"/>
  <c r="F136" i="17"/>
  <c r="E144" i="17"/>
  <c r="F144" i="17" s="1"/>
  <c r="C287" i="17"/>
  <c r="C284" i="17"/>
  <c r="C279" i="17"/>
  <c r="C288" i="17"/>
  <c r="E189" i="17"/>
  <c r="F189" i="17" s="1"/>
  <c r="C190" i="17"/>
  <c r="E191" i="17"/>
  <c r="F191" i="17"/>
  <c r="C286" i="17"/>
  <c r="C205" i="17"/>
  <c r="C206" i="17"/>
  <c r="C214" i="17"/>
  <c r="C216" i="17" s="1"/>
  <c r="C304" i="17"/>
  <c r="C215" i="17"/>
  <c r="E226" i="17"/>
  <c r="F226" i="17" s="1"/>
  <c r="E237" i="17"/>
  <c r="F237" i="17"/>
  <c r="C254" i="17"/>
  <c r="C255" i="17"/>
  <c r="C261" i="17"/>
  <c r="C268" i="17" s="1"/>
  <c r="C262" i="17"/>
  <c r="E262" i="17" s="1"/>
  <c r="C264" i="17"/>
  <c r="C267" i="17"/>
  <c r="C269" i="17"/>
  <c r="E278" i="17"/>
  <c r="F278" i="17" s="1"/>
  <c r="E280" i="17"/>
  <c r="F280" i="17" s="1"/>
  <c r="D290" i="17"/>
  <c r="D274" i="17"/>
  <c r="D199" i="17"/>
  <c r="D200" i="17"/>
  <c r="D283" i="17"/>
  <c r="D267" i="17"/>
  <c r="D285" i="17"/>
  <c r="E285" i="17" s="1"/>
  <c r="F285" i="17" s="1"/>
  <c r="D269" i="17"/>
  <c r="D205" i="17"/>
  <c r="E205" i="17"/>
  <c r="D215" i="17"/>
  <c r="D255" i="17" s="1"/>
  <c r="E255" i="17" s="1"/>
  <c r="D262" i="17"/>
  <c r="D264" i="17"/>
  <c r="E264" i="17" s="1"/>
  <c r="F264" i="17" s="1"/>
  <c r="F294" i="17"/>
  <c r="F299" i="17"/>
  <c r="I33" i="14"/>
  <c r="I36" i="14"/>
  <c r="I38" i="14" s="1"/>
  <c r="I40" i="14" s="1"/>
  <c r="G38" i="14"/>
  <c r="G40" i="14" s="1"/>
  <c r="H17" i="14"/>
  <c r="D33" i="14"/>
  <c r="D36" i="14"/>
  <c r="D38" i="14"/>
  <c r="D40" i="14" s="1"/>
  <c r="F33" i="14"/>
  <c r="F36" i="14" s="1"/>
  <c r="F38" i="14" s="1"/>
  <c r="F40" i="14" s="1"/>
  <c r="D21" i="13"/>
  <c r="C21" i="13"/>
  <c r="C20" i="13"/>
  <c r="D15" i="13"/>
  <c r="D17" i="13" s="1"/>
  <c r="C17" i="13"/>
  <c r="C28" i="13"/>
  <c r="D48" i="13"/>
  <c r="D42" i="13"/>
  <c r="C20" i="12"/>
  <c r="D17" i="12"/>
  <c r="D20" i="12" s="1"/>
  <c r="E20" i="12" s="1"/>
  <c r="F20" i="12" s="1"/>
  <c r="F41" i="11"/>
  <c r="F65" i="11"/>
  <c r="E22" i="11"/>
  <c r="F22" i="11" s="1"/>
  <c r="E38" i="11"/>
  <c r="F38" i="11"/>
  <c r="E56" i="11"/>
  <c r="F56" i="11"/>
  <c r="D121" i="10"/>
  <c r="E121" i="10"/>
  <c r="D122" i="10"/>
  <c r="E122" i="10"/>
  <c r="D207" i="9"/>
  <c r="E207" i="9"/>
  <c r="F207" i="9"/>
  <c r="D208" i="9"/>
  <c r="E208" i="9" s="1"/>
  <c r="F208" i="9" s="1"/>
  <c r="D25" i="8"/>
  <c r="D27" i="8" s="1"/>
  <c r="D15" i="8"/>
  <c r="D24" i="8" s="1"/>
  <c r="D20" i="8" s="1"/>
  <c r="C24" i="8"/>
  <c r="C17" i="8"/>
  <c r="C28" i="8" s="1"/>
  <c r="C53" i="8"/>
  <c r="C43" i="8"/>
  <c r="E53" i="8"/>
  <c r="E43" i="8"/>
  <c r="C49" i="8"/>
  <c r="E57" i="8"/>
  <c r="E62" i="8" s="1"/>
  <c r="D88" i="8"/>
  <c r="D90" i="8"/>
  <c r="D86" i="8"/>
  <c r="D77" i="8"/>
  <c r="E156" i="8"/>
  <c r="E154" i="8"/>
  <c r="E157" i="8"/>
  <c r="E153" i="8"/>
  <c r="D157" i="8"/>
  <c r="D155" i="8"/>
  <c r="D153" i="8"/>
  <c r="D156" i="8"/>
  <c r="D152" i="8"/>
  <c r="E24" i="8"/>
  <c r="E17" i="8"/>
  <c r="E28" i="8" s="1"/>
  <c r="C20" i="8"/>
  <c r="E49" i="8"/>
  <c r="C57" i="8"/>
  <c r="C62" i="8" s="1"/>
  <c r="E71" i="8"/>
  <c r="D49" i="8"/>
  <c r="F25" i="6"/>
  <c r="E49" i="6"/>
  <c r="F49" i="6" s="1"/>
  <c r="F43" i="6"/>
  <c r="F44" i="6"/>
  <c r="F46" i="6"/>
  <c r="F48" i="6"/>
  <c r="F68" i="6"/>
  <c r="E68" i="6"/>
  <c r="E81" i="6"/>
  <c r="F81" i="6" s="1"/>
  <c r="E87" i="6"/>
  <c r="F89" i="6"/>
  <c r="E93" i="6"/>
  <c r="E41" i="6"/>
  <c r="F41" i="6" s="1"/>
  <c r="E84" i="6"/>
  <c r="F84" i="6" s="1"/>
  <c r="E86" i="6"/>
  <c r="F86" i="6" s="1"/>
  <c r="E88" i="6"/>
  <c r="E90" i="6"/>
  <c r="F90" i="6" s="1"/>
  <c r="E94" i="6"/>
  <c r="F94" i="6"/>
  <c r="E111" i="6"/>
  <c r="F111" i="6"/>
  <c r="E124" i="6"/>
  <c r="F124" i="6" s="1"/>
  <c r="E137" i="6"/>
  <c r="F137" i="6" s="1"/>
  <c r="E153" i="6"/>
  <c r="F153" i="6" s="1"/>
  <c r="E166" i="6"/>
  <c r="F166" i="6"/>
  <c r="E179" i="6"/>
  <c r="F179" i="6" s="1"/>
  <c r="E16" i="5"/>
  <c r="E22" i="4"/>
  <c r="F22" i="4" s="1"/>
  <c r="E38" i="4"/>
  <c r="E56" i="4"/>
  <c r="F56" i="4" s="1"/>
  <c r="D54" i="22"/>
  <c r="D46" i="22"/>
  <c r="D40" i="22"/>
  <c r="D36" i="22"/>
  <c r="D30" i="22"/>
  <c r="D111" i="22"/>
  <c r="C53" i="22"/>
  <c r="C45" i="22"/>
  <c r="C39" i="22"/>
  <c r="C35" i="22"/>
  <c r="C29" i="22"/>
  <c r="C37" i="22" s="1"/>
  <c r="C46" i="22"/>
  <c r="C36" i="22"/>
  <c r="C30" i="22"/>
  <c r="E53" i="22"/>
  <c r="E45" i="22"/>
  <c r="E39" i="22"/>
  <c r="E35" i="22"/>
  <c r="E29" i="22"/>
  <c r="E54" i="22"/>
  <c r="E46" i="22"/>
  <c r="E36" i="22"/>
  <c r="D110" i="22"/>
  <c r="D53" i="22"/>
  <c r="D45" i="22"/>
  <c r="D39" i="22"/>
  <c r="D35" i="22"/>
  <c r="F43" i="20"/>
  <c r="C223" i="18"/>
  <c r="C247" i="18"/>
  <c r="C211" i="18"/>
  <c r="C235" i="18" s="1"/>
  <c r="E211" i="18"/>
  <c r="C168" i="18"/>
  <c r="C294" i="18"/>
  <c r="D306" i="18"/>
  <c r="E222" i="18"/>
  <c r="D246" i="18"/>
  <c r="E246" i="18" s="1"/>
  <c r="D76" i="18"/>
  <c r="E22" i="18"/>
  <c r="C281" i="17"/>
  <c r="D300" i="17"/>
  <c r="E215" i="17"/>
  <c r="F215" i="17" s="1"/>
  <c r="D288" i="17"/>
  <c r="E288" i="17" s="1"/>
  <c r="F288" i="17" s="1"/>
  <c r="C291" i="17"/>
  <c r="C305" i="17" s="1"/>
  <c r="C289" i="17"/>
  <c r="C161" i="17"/>
  <c r="C126" i="17"/>
  <c r="C127" i="17" s="1"/>
  <c r="C197" i="17" s="1"/>
  <c r="C91" i="17"/>
  <c r="C92" i="17" s="1"/>
  <c r="C49" i="17"/>
  <c r="C50" i="17" s="1"/>
  <c r="C140" i="17"/>
  <c r="C141" i="17" s="1"/>
  <c r="C62" i="17"/>
  <c r="E283" i="17"/>
  <c r="F283" i="17"/>
  <c r="D286" i="17"/>
  <c r="E286" i="17" s="1"/>
  <c r="F286" i="17" s="1"/>
  <c r="C270" i="17"/>
  <c r="F262" i="17"/>
  <c r="C272" i="17"/>
  <c r="F205" i="17"/>
  <c r="C194" i="17"/>
  <c r="D49" i="17"/>
  <c r="D161" i="17"/>
  <c r="E161" i="17" s="1"/>
  <c r="D126" i="17"/>
  <c r="D91" i="17"/>
  <c r="E91" i="17" s="1"/>
  <c r="E21" i="17"/>
  <c r="F21" i="17" s="1"/>
  <c r="C266" i="17"/>
  <c r="C139" i="17"/>
  <c r="C125" i="17"/>
  <c r="D160" i="17"/>
  <c r="E160" i="17"/>
  <c r="D140" i="17"/>
  <c r="E140" i="17" s="1"/>
  <c r="D105" i="17"/>
  <c r="E32" i="17"/>
  <c r="F32" i="17"/>
  <c r="H33" i="14"/>
  <c r="H36" i="14" s="1"/>
  <c r="H38" i="14" s="1"/>
  <c r="D24" i="13"/>
  <c r="D20" i="13" s="1"/>
  <c r="D28" i="13"/>
  <c r="D22" i="13" s="1"/>
  <c r="E17" i="12"/>
  <c r="F17" i="12" s="1"/>
  <c r="C34" i="12"/>
  <c r="E34" i="12" s="1"/>
  <c r="F34" i="12" s="1"/>
  <c r="D158" i="8"/>
  <c r="C112" i="8"/>
  <c r="C111" i="8" s="1"/>
  <c r="D17" i="8"/>
  <c r="D112" i="8" s="1"/>
  <c r="D111" i="8" s="1"/>
  <c r="D21" i="8"/>
  <c r="D112" i="22"/>
  <c r="D55" i="22"/>
  <c r="D47" i="22"/>
  <c r="D37" i="22"/>
  <c r="C113" i="22"/>
  <c r="C56" i="22"/>
  <c r="C48" i="22"/>
  <c r="C38" i="22"/>
  <c r="E47" i="22"/>
  <c r="D310" i="18"/>
  <c r="E223" i="18"/>
  <c r="C127" i="18"/>
  <c r="C109" i="18"/>
  <c r="D162" i="17"/>
  <c r="C162" i="17"/>
  <c r="E126" i="17"/>
  <c r="D127" i="17"/>
  <c r="D50" i="17"/>
  <c r="F126" i="17"/>
  <c r="C265" i="17"/>
  <c r="C42" i="12"/>
  <c r="D34" i="12"/>
  <c r="D42" i="12" s="1"/>
  <c r="D28" i="8"/>
  <c r="D99" i="8" s="1"/>
  <c r="D101" i="8" s="1"/>
  <c r="D98" i="8" s="1"/>
  <c r="E99" i="8"/>
  <c r="E101" i="8" s="1"/>
  <c r="E98" i="8" s="1"/>
  <c r="E162" i="17"/>
  <c r="C49" i="12"/>
  <c r="E49" i="12" s="1"/>
  <c r="D49" i="12"/>
  <c r="E290" i="17" l="1"/>
  <c r="F290" i="17" s="1"/>
  <c r="F272" i="17"/>
  <c r="C70" i="17"/>
  <c r="F50" i="17"/>
  <c r="D35" i="5"/>
  <c r="C322" i="17"/>
  <c r="E37" i="22"/>
  <c r="E112" i="22"/>
  <c r="E55" i="22"/>
  <c r="C121" i="18"/>
  <c r="C115" i="18"/>
  <c r="C113" i="18"/>
  <c r="C114" i="18"/>
  <c r="C125" i="18"/>
  <c r="C122" i="18"/>
  <c r="D188" i="7"/>
  <c r="E183" i="7"/>
  <c r="E138" i="8"/>
  <c r="E136" i="8"/>
  <c r="E139" i="8"/>
  <c r="F35" i="7"/>
  <c r="E62" i="9"/>
  <c r="D277" i="17"/>
  <c r="D214" i="17"/>
  <c r="D206" i="17"/>
  <c r="E206" i="17" s="1"/>
  <c r="F206" i="17" s="1"/>
  <c r="D190" i="17"/>
  <c r="E190" i="17" s="1"/>
  <c r="F190" i="17" s="1"/>
  <c r="E101" i="22"/>
  <c r="E103" i="22" s="1"/>
  <c r="E77" i="22"/>
  <c r="C112" i="18"/>
  <c r="C47" i="22"/>
  <c r="C195" i="17"/>
  <c r="C196" i="17"/>
  <c r="D38" i="22"/>
  <c r="D113" i="22"/>
  <c r="D56" i="22"/>
  <c r="E103" i="17"/>
  <c r="F103" i="17" s="1"/>
  <c r="E24" i="7"/>
  <c r="F24" i="7" s="1"/>
  <c r="D95" i="7"/>
  <c r="E95" i="7" s="1"/>
  <c r="C69" i="13"/>
  <c r="C123" i="18"/>
  <c r="C55" i="22"/>
  <c r="D261" i="17"/>
  <c r="E235" i="18"/>
  <c r="C145" i="18"/>
  <c r="C180" i="18"/>
  <c r="E180" i="18" s="1"/>
  <c r="F18" i="7"/>
  <c r="C95" i="7"/>
  <c r="C188" i="7"/>
  <c r="F183" i="7"/>
  <c r="C149" i="8"/>
  <c r="F43" i="11"/>
  <c r="E15" i="13"/>
  <c r="E25" i="13"/>
  <c r="E27" i="13" s="1"/>
  <c r="C48" i="13"/>
  <c r="C42" i="13" s="1"/>
  <c r="C59" i="13"/>
  <c r="C61" i="13" s="1"/>
  <c r="C57" i="13" s="1"/>
  <c r="I17" i="14"/>
  <c r="G31" i="14"/>
  <c r="I31" i="14" s="1"/>
  <c r="E55" i="15"/>
  <c r="F55" i="15"/>
  <c r="C18" i="5"/>
  <c r="F16" i="5"/>
  <c r="D148" i="17"/>
  <c r="E127" i="17"/>
  <c r="F127" i="17" s="1"/>
  <c r="C111" i="18"/>
  <c r="E240" i="18"/>
  <c r="E198" i="17"/>
  <c r="F198" i="17" s="1"/>
  <c r="C200" i="17"/>
  <c r="F162" i="17"/>
  <c r="C263" i="17"/>
  <c r="D92" i="17"/>
  <c r="C124" i="18"/>
  <c r="D48" i="22"/>
  <c r="E112" i="8"/>
  <c r="E111" i="8" s="1"/>
  <c r="E37" i="17"/>
  <c r="F37" i="17" s="1"/>
  <c r="F139" i="17"/>
  <c r="F161" i="17"/>
  <c r="E137" i="8"/>
  <c r="F160" i="17"/>
  <c r="C65" i="4"/>
  <c r="F88" i="6"/>
  <c r="C22" i="8"/>
  <c r="C99" i="8"/>
  <c r="C101" i="8" s="1"/>
  <c r="C98" i="8" s="1"/>
  <c r="C271" i="17"/>
  <c r="D139" i="8"/>
  <c r="D135" i="8"/>
  <c r="D136" i="8"/>
  <c r="D140" i="8"/>
  <c r="D137" i="8"/>
  <c r="D138" i="8"/>
  <c r="F19" i="21"/>
  <c r="D70" i="13"/>
  <c r="D72" i="13" s="1"/>
  <c r="D69" i="13" s="1"/>
  <c r="F91" i="17"/>
  <c r="E140" i="8"/>
  <c r="E296" i="17"/>
  <c r="F296" i="17"/>
  <c r="E44" i="20"/>
  <c r="C46" i="20"/>
  <c r="E135" i="8"/>
  <c r="D326" i="18"/>
  <c r="E35" i="7"/>
  <c r="D22" i="8"/>
  <c r="F140" i="17"/>
  <c r="C126" i="18"/>
  <c r="C112" i="22"/>
  <c r="C63" i="17"/>
  <c r="C199" i="17"/>
  <c r="D125" i="17"/>
  <c r="E125" i="17" s="1"/>
  <c r="F125" i="17" s="1"/>
  <c r="E124" i="17"/>
  <c r="F124" i="17" s="1"/>
  <c r="D66" i="18"/>
  <c r="E65" i="18"/>
  <c r="E192" i="17"/>
  <c r="F192" i="17" s="1"/>
  <c r="D193" i="17"/>
  <c r="E39" i="20"/>
  <c r="E41" i="20" s="1"/>
  <c r="C41" i="20"/>
  <c r="F41" i="20" s="1"/>
  <c r="D65" i="4"/>
  <c r="E61" i="4"/>
  <c r="F61" i="4" s="1"/>
  <c r="F38" i="6"/>
  <c r="F167" i="7"/>
  <c r="C77" i="17"/>
  <c r="E77" i="17" s="1"/>
  <c r="E76" i="17"/>
  <c r="F76" i="17" s="1"/>
  <c r="D207" i="17"/>
  <c r="D173" i="17"/>
  <c r="F179" i="9"/>
  <c r="E179" i="9"/>
  <c r="E29" i="11"/>
  <c r="F29" i="11" s="1"/>
  <c r="D43" i="11"/>
  <c r="E43" i="11" s="1"/>
  <c r="F49" i="12"/>
  <c r="E76" i="18"/>
  <c r="D259" i="18"/>
  <c r="F255" i="17"/>
  <c r="E307" i="17"/>
  <c r="F307" i="17"/>
  <c r="E50" i="17"/>
  <c r="C148" i="17"/>
  <c r="C234" i="18"/>
  <c r="E234" i="18" s="1"/>
  <c r="E210" i="18"/>
  <c r="C306" i="17"/>
  <c r="E250" i="17"/>
  <c r="F250" i="17"/>
  <c r="E33" i="18"/>
  <c r="C295" i="18"/>
  <c r="E251" i="18"/>
  <c r="D106" i="17"/>
  <c r="E269" i="17"/>
  <c r="F269" i="17" s="1"/>
  <c r="D270" i="17"/>
  <c r="E270" i="17" s="1"/>
  <c r="F270" i="17" s="1"/>
  <c r="D272" i="17"/>
  <c r="E272" i="17" s="1"/>
  <c r="E42" i="12"/>
  <c r="F42" i="12" s="1"/>
  <c r="D141" i="17"/>
  <c r="C110" i="18"/>
  <c r="D77" i="18"/>
  <c r="E49" i="17"/>
  <c r="F49" i="17" s="1"/>
  <c r="C105" i="17"/>
  <c r="E105" i="17" s="1"/>
  <c r="F39" i="20"/>
  <c r="C22" i="13"/>
  <c r="C70" i="13"/>
  <c r="C72" i="13" s="1"/>
  <c r="E267" i="17"/>
  <c r="F267" i="17"/>
  <c r="C274" i="17"/>
  <c r="E188" i="17"/>
  <c r="F188" i="17" s="1"/>
  <c r="F138" i="17"/>
  <c r="D104" i="17"/>
  <c r="E104" i="17" s="1"/>
  <c r="F104" i="17" s="1"/>
  <c r="E61" i="17"/>
  <c r="F61" i="17" s="1"/>
  <c r="D62" i="17"/>
  <c r="D139" i="17"/>
  <c r="E139" i="17" s="1"/>
  <c r="D294" i="18"/>
  <c r="E294" i="18" s="1"/>
  <c r="E85" i="6"/>
  <c r="F85" i="6" s="1"/>
  <c r="D95" i="6"/>
  <c r="E95" i="6" s="1"/>
  <c r="F40" i="12"/>
  <c r="H40" i="14"/>
  <c r="E204" i="9"/>
  <c r="F204" i="9" s="1"/>
  <c r="E301" i="18"/>
  <c r="C303" i="18"/>
  <c r="C111" i="22"/>
  <c r="F29" i="4"/>
  <c r="D52" i="6"/>
  <c r="E52" i="6" s="1"/>
  <c r="F52" i="6" s="1"/>
  <c r="E18" i="7"/>
  <c r="F59" i="7"/>
  <c r="E155" i="8"/>
  <c r="E152" i="8"/>
  <c r="E158" i="8" s="1"/>
  <c r="F192" i="9"/>
  <c r="D75" i="11"/>
  <c r="E75" i="11" s="1"/>
  <c r="F75" i="11" s="1"/>
  <c r="F60" i="15"/>
  <c r="E61" i="11"/>
  <c r="F61" i="11" s="1"/>
  <c r="E30" i="22"/>
  <c r="E40" i="22"/>
  <c r="C41" i="4"/>
  <c r="F38" i="4"/>
  <c r="E38" i="6"/>
  <c r="F111" i="17"/>
  <c r="E223" i="17"/>
  <c r="F223" i="17" s="1"/>
  <c r="E41" i="4"/>
  <c r="E167" i="7"/>
  <c r="D168" i="18"/>
  <c r="E168" i="18" s="1"/>
  <c r="D145" i="18"/>
  <c r="E216" i="18"/>
  <c r="C240" i="18"/>
  <c r="D252" i="18"/>
  <c r="E231" i="18"/>
  <c r="E316" i="18"/>
  <c r="D320" i="18"/>
  <c r="E320" i="18" s="1"/>
  <c r="C40" i="22"/>
  <c r="E92" i="6"/>
  <c r="F92" i="6" s="1"/>
  <c r="C43" i="4"/>
  <c r="F47" i="6"/>
  <c r="C95" i="6"/>
  <c r="E130" i="7"/>
  <c r="F130" i="7" s="1"/>
  <c r="F89" i="9"/>
  <c r="E89" i="9"/>
  <c r="F48" i="17"/>
  <c r="C90" i="17"/>
  <c r="E173" i="18"/>
  <c r="F16" i="15"/>
  <c r="F45" i="15"/>
  <c r="F23" i="16"/>
  <c r="E36" i="17"/>
  <c r="F36" i="17" s="1"/>
  <c r="D53" i="8"/>
  <c r="D43" i="8"/>
  <c r="F127" i="9"/>
  <c r="E166" i="9"/>
  <c r="F44" i="17"/>
  <c r="C44" i="18"/>
  <c r="C90" i="8"/>
  <c r="C86" i="8" s="1"/>
  <c r="C166" i="8"/>
  <c r="E47" i="12"/>
  <c r="F47" i="12" s="1"/>
  <c r="E60" i="15"/>
  <c r="F52" i="17"/>
  <c r="E111" i="17"/>
  <c r="D101" i="18"/>
  <c r="D88" i="18"/>
  <c r="D90" i="18" s="1"/>
  <c r="E44" i="18"/>
  <c r="D96" i="18"/>
  <c r="D86" i="18"/>
  <c r="C20" i="20"/>
  <c r="E19" i="20"/>
  <c r="F19" i="20" s="1"/>
  <c r="C33" i="22"/>
  <c r="C34" i="22"/>
  <c r="D43" i="4"/>
  <c r="E43" i="4" s="1"/>
  <c r="E33" i="5"/>
  <c r="F33" i="5" s="1"/>
  <c r="F41" i="7"/>
  <c r="E27" i="8"/>
  <c r="E37" i="9"/>
  <c r="E114" i="9"/>
  <c r="E206" i="9"/>
  <c r="F206" i="9"/>
  <c r="E116" i="10"/>
  <c r="E70" i="15"/>
  <c r="F70" i="15" s="1"/>
  <c r="E23" i="17"/>
  <c r="F23" i="17" s="1"/>
  <c r="C172" i="17"/>
  <c r="F171" i="17"/>
  <c r="E204" i="17"/>
  <c r="F204" i="17"/>
  <c r="F229" i="17"/>
  <c r="E180" i="9"/>
  <c r="E198" i="9"/>
  <c r="F198" i="9" s="1"/>
  <c r="H31" i="14"/>
  <c r="F17" i="17"/>
  <c r="D68" i="17"/>
  <c r="E68" i="17" s="1"/>
  <c r="F68" i="17" s="1"/>
  <c r="E165" i="17"/>
  <c r="F165" i="17" s="1"/>
  <c r="C88" i="22"/>
  <c r="E193" i="9"/>
  <c r="F193" i="9" s="1"/>
  <c r="F202" i="9"/>
  <c r="E40" i="12"/>
  <c r="E165" i="18"/>
  <c r="E19" i="21"/>
  <c r="F200" i="9"/>
  <c r="E202" i="9"/>
  <c r="E114" i="10"/>
  <c r="F50" i="15"/>
  <c r="F180" i="17"/>
  <c r="E200" i="9"/>
  <c r="F20" i="17"/>
  <c r="E170" i="17"/>
  <c r="F170" i="17" s="1"/>
  <c r="C43" i="18"/>
  <c r="E261" i="18"/>
  <c r="C49" i="19"/>
  <c r="C181" i="17"/>
  <c r="D91" i="18" l="1"/>
  <c r="F46" i="20"/>
  <c r="C75" i="4"/>
  <c r="F181" i="17"/>
  <c r="C153" i="8"/>
  <c r="C157" i="8"/>
  <c r="C156" i="8"/>
  <c r="C154" i="8"/>
  <c r="C152" i="8"/>
  <c r="C155" i="8"/>
  <c r="D181" i="18"/>
  <c r="E181" i="18" s="1"/>
  <c r="E145" i="18"/>
  <c r="D169" i="18"/>
  <c r="E46" i="20"/>
  <c r="F44" i="20"/>
  <c r="C173" i="17"/>
  <c r="C207" i="17"/>
  <c r="E20" i="20"/>
  <c r="F20" i="20"/>
  <c r="D63" i="17"/>
  <c r="E62" i="17"/>
  <c r="F62" i="17" s="1"/>
  <c r="F148" i="17"/>
  <c r="E199" i="17"/>
  <c r="F199" i="17"/>
  <c r="E326" i="18"/>
  <c r="D330" i="18"/>
  <c r="E330" i="18" s="1"/>
  <c r="E200" i="17"/>
  <c r="F200" i="17"/>
  <c r="C21" i="5"/>
  <c r="F18" i="5"/>
  <c r="C309" i="17"/>
  <c r="E21" i="8"/>
  <c r="E22" i="8"/>
  <c r="E20" i="8"/>
  <c r="E90" i="17"/>
  <c r="F90" i="17" s="1"/>
  <c r="F43" i="4"/>
  <c r="C252" i="18"/>
  <c r="C253" i="18"/>
  <c r="E253" i="18" s="1"/>
  <c r="E48" i="22"/>
  <c r="E38" i="22"/>
  <c r="E113" i="22"/>
  <c r="E56" i="22"/>
  <c r="D194" i="17"/>
  <c r="D266" i="17"/>
  <c r="D282" i="17"/>
  <c r="E193" i="17"/>
  <c r="F193" i="17" s="1"/>
  <c r="E141" i="8"/>
  <c r="C273" i="17"/>
  <c r="E21" i="13"/>
  <c r="E22" i="13"/>
  <c r="E108" i="22"/>
  <c r="E109" i="22"/>
  <c r="E110" i="22"/>
  <c r="E111" i="22"/>
  <c r="D43" i="5"/>
  <c r="D102" i="18"/>
  <c r="E96" i="18"/>
  <c r="C169" i="18"/>
  <c r="C181" i="18"/>
  <c r="F105" i="17"/>
  <c r="C106" i="17"/>
  <c r="F322" i="17"/>
  <c r="C136" i="8"/>
  <c r="C138" i="8"/>
  <c r="C135" i="8"/>
  <c r="C140" i="8"/>
  <c r="C139" i="8"/>
  <c r="C137" i="8"/>
  <c r="E274" i="17"/>
  <c r="C300" i="17"/>
  <c r="F274" i="17"/>
  <c r="E65" i="4"/>
  <c r="F65" i="4" s="1"/>
  <c r="D75" i="4"/>
  <c r="D324" i="17"/>
  <c r="E92" i="17"/>
  <c r="F92" i="17" s="1"/>
  <c r="D113" i="17"/>
  <c r="D271" i="17"/>
  <c r="D268" i="17"/>
  <c r="E268" i="17" s="1"/>
  <c r="F268" i="17" s="1"/>
  <c r="E261" i="17"/>
  <c r="F261" i="17" s="1"/>
  <c r="D263" i="17"/>
  <c r="E263" i="17" s="1"/>
  <c r="F263" i="17" s="1"/>
  <c r="E214" i="17"/>
  <c r="F214" i="17" s="1"/>
  <c r="D216" i="17"/>
  <c r="E216" i="17" s="1"/>
  <c r="F216" i="17" s="1"/>
  <c r="D254" i="17"/>
  <c r="E24" i="13"/>
  <c r="E20" i="13" s="1"/>
  <c r="E17" i="13"/>
  <c r="E28" i="13" s="1"/>
  <c r="E70" i="13" s="1"/>
  <c r="E72" i="13" s="1"/>
  <c r="E69" i="13" s="1"/>
  <c r="E66" i="18"/>
  <c r="D295" i="18"/>
  <c r="E295" i="18" s="1"/>
  <c r="D247" i="18"/>
  <c r="E247" i="18" s="1"/>
  <c r="E106" i="17"/>
  <c r="C116" i="18"/>
  <c r="C117" i="18" s="1"/>
  <c r="E188" i="7"/>
  <c r="F188" i="7" s="1"/>
  <c r="E181" i="17"/>
  <c r="C129" i="18"/>
  <c r="C258" i="18"/>
  <c r="C98" i="18"/>
  <c r="E98" i="18" s="1"/>
  <c r="C86" i="18"/>
  <c r="E86" i="18" s="1"/>
  <c r="C83" i="18"/>
  <c r="C100" i="18"/>
  <c r="E100" i="18" s="1"/>
  <c r="C84" i="18"/>
  <c r="C89" i="18"/>
  <c r="E89" i="18" s="1"/>
  <c r="C101" i="18"/>
  <c r="E101" i="18" s="1"/>
  <c r="C85" i="18"/>
  <c r="E85" i="18" s="1"/>
  <c r="C99" i="18"/>
  <c r="E99" i="18" s="1"/>
  <c r="C87" i="18"/>
  <c r="E87" i="18" s="1"/>
  <c r="C96" i="18"/>
  <c r="C95" i="18"/>
  <c r="C88" i="18"/>
  <c r="E88" i="18" s="1"/>
  <c r="C97" i="18"/>
  <c r="E97" i="18" s="1"/>
  <c r="D124" i="18"/>
  <c r="E124" i="18" s="1"/>
  <c r="D121" i="18"/>
  <c r="D109" i="18"/>
  <c r="D114" i="18"/>
  <c r="E114" i="18" s="1"/>
  <c r="D126" i="18"/>
  <c r="E126" i="18" s="1"/>
  <c r="D123" i="18"/>
  <c r="E123" i="18" s="1"/>
  <c r="E77" i="18"/>
  <c r="D115" i="18"/>
  <c r="E115" i="18" s="1"/>
  <c r="D111" i="18"/>
  <c r="E111" i="18" s="1"/>
  <c r="D127" i="18"/>
  <c r="E127" i="18" s="1"/>
  <c r="D113" i="18"/>
  <c r="E113" i="18" s="1"/>
  <c r="D112" i="18"/>
  <c r="E112" i="18" s="1"/>
  <c r="D110" i="18"/>
  <c r="D125" i="18"/>
  <c r="E125" i="18" s="1"/>
  <c r="D122" i="18"/>
  <c r="D175" i="17"/>
  <c r="E173" i="17"/>
  <c r="D174" i="17"/>
  <c r="C259" i="18"/>
  <c r="C263" i="18" s="1"/>
  <c r="E43" i="18"/>
  <c r="E303" i="18"/>
  <c r="C306" i="18"/>
  <c r="D263" i="18"/>
  <c r="E259" i="18"/>
  <c r="E172" i="17"/>
  <c r="F172" i="17" s="1"/>
  <c r="E18" i="5"/>
  <c r="E306" i="17"/>
  <c r="E148" i="17"/>
  <c r="D284" i="17"/>
  <c r="E284" i="17" s="1"/>
  <c r="F284" i="17" s="1"/>
  <c r="E277" i="17"/>
  <c r="F277" i="17" s="1"/>
  <c r="D279" i="17"/>
  <c r="E279" i="17" s="1"/>
  <c r="F279" i="17" s="1"/>
  <c r="D287" i="17"/>
  <c r="F95" i="6"/>
  <c r="F41" i="4"/>
  <c r="D322" i="17"/>
  <c r="E322" i="17" s="1"/>
  <c r="E141" i="17"/>
  <c r="F141" i="17" s="1"/>
  <c r="D254" i="18"/>
  <c r="D208" i="17"/>
  <c r="E207" i="17"/>
  <c r="D141" i="8"/>
  <c r="F95" i="7"/>
  <c r="C128" i="18"/>
  <c r="E282" i="17" l="1"/>
  <c r="F282" i="17" s="1"/>
  <c r="D281" i="17"/>
  <c r="E281" i="17" s="1"/>
  <c r="F281" i="17" s="1"/>
  <c r="C310" i="17"/>
  <c r="E122" i="18"/>
  <c r="D128" i="18"/>
  <c r="E128" i="18" s="1"/>
  <c r="C310" i="18"/>
  <c r="E310" i="18" s="1"/>
  <c r="E306" i="18"/>
  <c r="E271" i="17"/>
  <c r="F271" i="17" s="1"/>
  <c r="D273" i="17"/>
  <c r="E273" i="17" s="1"/>
  <c r="D304" i="17"/>
  <c r="E109" i="18"/>
  <c r="D117" i="18"/>
  <c r="E121" i="18"/>
  <c r="E258" i="18"/>
  <c r="C264" i="18"/>
  <c r="C266" i="18" s="1"/>
  <c r="C267" i="18"/>
  <c r="E75" i="4"/>
  <c r="F75" i="4" s="1"/>
  <c r="E169" i="18"/>
  <c r="E84" i="18"/>
  <c r="C90" i="18"/>
  <c r="E90" i="18" s="1"/>
  <c r="E287" i="17"/>
  <c r="F287" i="17" s="1"/>
  <c r="D289" i="17"/>
  <c r="E289" i="17" s="1"/>
  <c r="F289" i="17" s="1"/>
  <c r="D291" i="17"/>
  <c r="C141" i="8"/>
  <c r="E263" i="18"/>
  <c r="D264" i="18"/>
  <c r="D103" i="18"/>
  <c r="D176" i="17"/>
  <c r="E175" i="17"/>
  <c r="C254" i="18"/>
  <c r="E254" i="18" s="1"/>
  <c r="F207" i="17"/>
  <c r="C208" i="17"/>
  <c r="D210" i="17"/>
  <c r="D209" i="17"/>
  <c r="E300" i="17"/>
  <c r="F300" i="17" s="1"/>
  <c r="E266" i="17"/>
  <c r="F266" i="17" s="1"/>
  <c r="D265" i="17"/>
  <c r="E265" i="17" s="1"/>
  <c r="F265" i="17" s="1"/>
  <c r="C174" i="17"/>
  <c r="C175" i="17"/>
  <c r="F173" i="17"/>
  <c r="E95" i="18"/>
  <c r="D196" i="17"/>
  <c r="D195" i="17"/>
  <c r="E195" i="17" s="1"/>
  <c r="F195" i="17" s="1"/>
  <c r="E194" i="17"/>
  <c r="F194" i="17" s="1"/>
  <c r="F21" i="5"/>
  <c r="C35" i="5"/>
  <c r="E21" i="5"/>
  <c r="C158" i="8"/>
  <c r="E110" i="18"/>
  <c r="D116" i="18"/>
  <c r="E116" i="18" s="1"/>
  <c r="C102" i="18"/>
  <c r="E102" i="18" s="1"/>
  <c r="E83" i="18"/>
  <c r="C91" i="18"/>
  <c r="E254" i="17"/>
  <c r="F254" i="17" s="1"/>
  <c r="D50" i="5"/>
  <c r="F273" i="17"/>
  <c r="E63" i="17"/>
  <c r="F63" i="17" s="1"/>
  <c r="D70" i="17"/>
  <c r="E70" i="17" s="1"/>
  <c r="F70" i="17" s="1"/>
  <c r="C131" i="18"/>
  <c r="F106" i="17"/>
  <c r="C324" i="17"/>
  <c r="E324" i="17" s="1"/>
  <c r="C113" i="17"/>
  <c r="E252" i="18"/>
  <c r="D305" i="17" l="1"/>
  <c r="E291" i="17"/>
  <c r="F291" i="17" s="1"/>
  <c r="C105" i="18"/>
  <c r="F174" i="17"/>
  <c r="C210" i="17"/>
  <c r="E210" i="17" s="1"/>
  <c r="C209" i="17"/>
  <c r="F208" i="17"/>
  <c r="C269" i="18"/>
  <c r="C268" i="18"/>
  <c r="C271" i="18" s="1"/>
  <c r="E117" i="18"/>
  <c r="F324" i="17"/>
  <c r="E196" i="17"/>
  <c r="F196" i="17" s="1"/>
  <c r="D197" i="17"/>
  <c r="E197" i="17" s="1"/>
  <c r="F197" i="17" s="1"/>
  <c r="C103" i="18"/>
  <c r="D183" i="17"/>
  <c r="D323" i="17"/>
  <c r="E304" i="17"/>
  <c r="F304" i="17" s="1"/>
  <c r="C312" i="17"/>
  <c r="E113" i="17"/>
  <c r="F113" i="17" s="1"/>
  <c r="E209" i="17"/>
  <c r="E103" i="18"/>
  <c r="D105" i="18"/>
  <c r="E105" i="18" s="1"/>
  <c r="E208" i="17"/>
  <c r="D129" i="18"/>
  <c r="E129" i="18" s="1"/>
  <c r="E91" i="18"/>
  <c r="C43" i="5"/>
  <c r="E35" i="5"/>
  <c r="F35" i="5" s="1"/>
  <c r="C176" i="17"/>
  <c r="F175" i="17"/>
  <c r="D211" i="17"/>
  <c r="D266" i="18"/>
  <c r="E264" i="18"/>
  <c r="E174" i="17"/>
  <c r="C323" i="17" l="1"/>
  <c r="C183" i="17"/>
  <c r="C211" i="17"/>
  <c r="E211" i="17"/>
  <c r="F209" i="17"/>
  <c r="F210" i="17"/>
  <c r="E323" i="17"/>
  <c r="D325" i="17"/>
  <c r="E176" i="17"/>
  <c r="F176" i="17" s="1"/>
  <c r="C50" i="5"/>
  <c r="E43" i="5"/>
  <c r="F43" i="5" s="1"/>
  <c r="E183" i="17"/>
  <c r="D131" i="18"/>
  <c r="E131" i="18" s="1"/>
  <c r="E305" i="17"/>
  <c r="F305" i="17" s="1"/>
  <c r="D309" i="17"/>
  <c r="D267" i="18"/>
  <c r="E266" i="18"/>
  <c r="C313" i="17"/>
  <c r="C315" i="17" l="1"/>
  <c r="C251" i="17"/>
  <c r="C256" i="17"/>
  <c r="C314" i="17"/>
  <c r="F50" i="5"/>
  <c r="E50" i="5"/>
  <c r="F211" i="17"/>
  <c r="F183" i="17"/>
  <c r="D269" i="18"/>
  <c r="E269" i="18" s="1"/>
  <c r="E267" i="18"/>
  <c r="D268" i="18"/>
  <c r="F323" i="17"/>
  <c r="C325" i="17"/>
  <c r="E309" i="17"/>
  <c r="F309" i="17" s="1"/>
  <c r="D310" i="17"/>
  <c r="C257" i="17" l="1"/>
  <c r="F325" i="17"/>
  <c r="E268" i="18"/>
  <c r="D271" i="18"/>
  <c r="E271" i="18" s="1"/>
  <c r="D312" i="17"/>
  <c r="E310" i="17"/>
  <c r="F310" i="17" s="1"/>
  <c r="C318" i="17"/>
  <c r="E325" i="17"/>
  <c r="E312" i="17" l="1"/>
  <c r="F312" i="17" s="1"/>
  <c r="D313" i="17"/>
  <c r="D315" i="17" l="1"/>
  <c r="E315" i="17" s="1"/>
  <c r="F315" i="17" s="1"/>
  <c r="D251" i="17"/>
  <c r="E251" i="17" s="1"/>
  <c r="F251" i="17" s="1"/>
  <c r="D314" i="17"/>
  <c r="E313" i="17"/>
  <c r="F313" i="17" s="1"/>
  <c r="D256" i="17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<sst xmlns="http://schemas.openxmlformats.org/spreadsheetml/2006/main" count="2335" uniqueCount="1009">
  <si>
    <t>DANBURY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</si>
  <si>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</si>
  <si>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</si>
  <si>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</si>
  <si>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</si>
  <si>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</si>
  <si>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</si>
  <si>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</si>
  <si>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</si>
  <si>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</si>
  <si>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</si>
  <si>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</si>
  <si>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</si>
  <si>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</si>
  <si>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</si>
  <si>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</si>
  <si>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</si>
  <si>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</si>
  <si>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</si>
  <si>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</si>
  <si>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</si>
  <si>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</si>
  <si>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</si>
  <si>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</si>
  <si>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</si>
  <si>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</si>
  <si>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</si>
  <si>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</si>
  <si>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</si>
  <si>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</si>
  <si>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</si>
  <si>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</si>
  <si>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</si>
  <si>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</si>
  <si>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</si>
  <si>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</si>
  <si>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</si>
  <si>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</si>
  <si>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</si>
  <si>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</si>
  <si>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</si>
  <si>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</si>
  <si>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</si>
  <si>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</si>
  <si>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</si>
  <si>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</si>
  <si>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</si>
  <si>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</si>
  <si>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</si>
  <si>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</si>
  <si>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</si>
  <si>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</si>
  <si>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</si>
  <si>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</si>
  <si>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</si>
  <si>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</si>
  <si>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</si>
  <si>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</si>
  <si>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</si>
  <si>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</si>
  <si>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</si>
  <si>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</si>
  <si>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</si>
  <si>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</si>
  <si>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</si>
  <si>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</si>
  <si>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</si>
  <si>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</si>
  <si>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</si>
  <si>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</si>
  <si>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</si>
  <si>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</si>
  <si>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</si>
  <si>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</si>
  <si>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</si>
  <si>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</si>
  <si>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</si>
  <si>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</si>
  <si>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</si>
  <si>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</si>
  <si>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</si>
  <si>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</si>
  <si>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</si>
  <si>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</si>
  <si>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</si>
  <si>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</si>
  <si>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</si>
  <si>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</si>
  <si>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</si>
  <si>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</si>
  <si>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</si>
  <si>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</si>
  <si>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</si>
  <si>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</si>
  <si>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</si>
  <si>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</si>
  <si>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</si>
  <si>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</si>
  <si>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</si>
  <si>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</si>
  <si>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</si>
  <si>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</si>
  <si>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</si>
  <si>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</si>
  <si>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</si>
  <si>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</si>
  <si>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</si>
  <si>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</si>
  <si>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</si>
  <si>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</si>
  <si>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</si>
  <si>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</si>
  <si>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</si>
  <si>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</si>
  <si>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</si>
  <si>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</si>
  <si>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</si>
  <si>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</si>
  <si>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</si>
  <si>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</si>
  <si>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</si>
  <si>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</si>
  <si>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</si>
  <si>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</si>
  <si>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</si>
  <si>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</si>
  <si>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</si>
  <si>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</si>
  <si>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</si>
  <si>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</si>
  <si>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</si>
  <si>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</si>
  <si>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</si>
  <si>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</si>
  <si>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</si>
  <si>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</si>
  <si>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</si>
  <si>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</si>
  <si>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</si>
  <si>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</si>
  <si>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</si>
  <si>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</si>
  <si>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</si>
  <si>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</si>
  <si>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</si>
  <si>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</si>
  <si>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</si>
  <si>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</si>
  <si>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</si>
  <si>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</si>
  <si>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</si>
  <si>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</si>
  <si>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</si>
  <si>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</si>
  <si>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</si>
  <si>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</si>
  <si>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</si>
  <si>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</si>
  <si>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</si>
  <si>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</si>
  <si>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</si>
  <si>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</si>
  <si>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</si>
  <si>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</si>
  <si>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</si>
  <si>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</si>
  <si>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</si>
  <si>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</si>
  <si>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</si>
  <si>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</si>
  <si>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</si>
  <si>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</si>
  <si>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</si>
  <si>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</si>
  <si>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</si>
  <si>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</si>
  <si>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</si>
  <si>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</si>
  <si>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</si>
  <si>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</si>
  <si>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</si>
  <si>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</si>
  <si>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</si>
  <si>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</si>
  <si>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</si>
  <si>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</si>
  <si>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</si>
  <si>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</si>
  <si>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</si>
  <si>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</si>
  <si>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</si>
  <si>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</si>
  <si>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</si>
  <si>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</si>
  <si>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</si>
  <si>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</si>
  <si>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</si>
  <si>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</si>
  <si>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</si>
  <si>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</si>
  <si>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</si>
  <si>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</si>
  <si>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</si>
  <si>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</si>
  <si>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</si>
  <si>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</si>
  <si>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</si>
  <si>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</si>
  <si>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</si>
  <si>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</si>
  <si>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</si>
  <si>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</si>
  <si>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</si>
  <si>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</si>
  <si>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</si>
  <si>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</si>
  <si>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</si>
  <si>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</si>
  <si>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</si>
  <si>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</si>
  <si>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</si>
  <si>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</si>
  <si>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</si>
  <si>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</si>
  <si>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</si>
  <si>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</si>
  <si>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</si>
  <si>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</si>
  <si>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</si>
  <si>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</si>
  <si>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</si>
  <si>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</si>
  <si>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</si>
  <si>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</si>
  <si>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</si>
  <si>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</si>
  <si>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</si>
  <si>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</si>
  <si>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</si>
  <si>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</si>
  <si>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</si>
  <si>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</si>
  <si>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</si>
  <si>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</si>
  <si>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</si>
  <si>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</si>
  <si>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</si>
  <si>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</si>
  <si>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</si>
  <si>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</si>
  <si>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</si>
  <si>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</si>
  <si>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</si>
  <si>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</si>
  <si>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</si>
  <si>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</si>
  <si>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</si>
  <si>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</si>
  <si>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</si>
  <si>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</si>
  <si>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</si>
  <si>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</si>
  <si>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</si>
  <si>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</si>
  <si>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</si>
  <si>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</si>
  <si>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</si>
  <si>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</si>
  <si>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</si>
  <si>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</si>
  <si>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</si>
  <si>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</si>
  <si>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</si>
  <si>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</si>
  <si>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</si>
  <si>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</si>
  <si>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</si>
  <si>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</si>
  <si>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</si>
  <si>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</si>
  <si>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</si>
  <si>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</si>
  <si>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</si>
  <si>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</si>
  <si>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</si>
  <si>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</si>
  <si>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</si>
  <si>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</si>
  <si>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</si>
  <si>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</si>
  <si>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</si>
  <si>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</si>
  <si>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</si>
  <si>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</si>
  <si>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</si>
  <si>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</si>
  <si>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</si>
  <si>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</si>
  <si>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</si>
  <si>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</si>
  <si>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</si>
  <si>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</si>
  <si>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</si>
  <si>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</si>
  <si>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</si>
  <si>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</si>
  <si>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</si>
  <si>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</si>
  <si>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</si>
  <si>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</si>
  <si>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</si>
  <si>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</si>
  <si>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</si>
  <si>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</si>
  <si>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</si>
  <si>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</si>
  <si>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</si>
  <si>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</si>
  <si>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</si>
  <si>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</si>
  <si>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</si>
  <si>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</si>
  <si>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</si>
  <si>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</si>
  <si>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</si>
  <si>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</si>
  <si>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</si>
  <si>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</si>
  <si>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</si>
  <si>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</si>
  <si>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</si>
  <si>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</si>
  <si>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</si>
  <si>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</si>
  <si>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</si>
  <si>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</si>
  <si>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</si>
  <si>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</si>
  <si>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</si>
  <si>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</si>
  <si>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</si>
  <si>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</si>
  <si>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</si>
  <si>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</si>
  <si>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</si>
  <si>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</si>
  <si>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</si>
  <si>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</si>
  <si>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</si>
  <si>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</si>
  <si>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</si>
  <si>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</si>
  <si>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</si>
  <si>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</si>
  <si>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</si>
  <si>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</si>
  <si>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</si>
  <si>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</si>
  <si>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</si>
  <si>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</si>
  <si>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</si>
  <si>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</si>
  <si>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</si>
  <si>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</si>
  <si>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</si>
  <si>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</si>
  <si>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</si>
  <si>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</si>
  <si>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</si>
  <si>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</si>
  <si>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</si>
  <si>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</si>
  <si>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</si>
  <si>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</si>
  <si>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</si>
  <si>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</si>
  <si>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</si>
  <si>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</si>
  <si>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</si>
  <si>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</si>
  <si>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</si>
  <si>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</si>
  <si>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</si>
  <si>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</si>
  <si>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</si>
  <si>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</si>
  <si>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</si>
  <si>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</si>
  <si>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</si>
  <si>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</si>
  <si>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</si>
  <si>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</si>
  <si>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</si>
  <si>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</si>
  <si>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</si>
  <si>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</si>
  <si>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</si>
  <si>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</si>
  <si>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</si>
  <si>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</si>
  <si>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</si>
  <si>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</si>
  <si>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</si>
  <si>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</si>
  <si>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</si>
  <si>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</si>
  <si>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</si>
  <si>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</si>
  <si>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</si>
  <si>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</si>
  <si>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</si>
  <si>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</si>
  <si>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</si>
  <si>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</si>
  <si>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</si>
  <si>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</si>
  <si>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</si>
  <si>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</si>
  <si>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</si>
  <si>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</si>
  <si>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</si>
  <si>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</si>
  <si>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</si>
  <si>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</si>
  <si>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</si>
  <si>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</si>
  <si>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</si>
  <si>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</si>
  <si>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</si>
  <si>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</si>
  <si>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</si>
  <si>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</si>
  <si>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</si>
  <si>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</si>
  <si>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</si>
  <si>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</si>
  <si>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</si>
  <si>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</si>
  <si>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</si>
  <si>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</si>
  <si>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</si>
  <si>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</si>
  <si>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</si>
  <si>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</si>
  <si>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</si>
  <si>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</si>
  <si>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</si>
  <si>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</si>
  <si>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</si>
  <si>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</si>
  <si>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</si>
  <si>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</si>
  <si>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</si>
  <si>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</si>
  <si>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</si>
  <si>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</si>
  <si>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</si>
  <si>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</si>
  <si>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</si>
  <si>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</si>
  <si>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</si>
  <si>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</si>
  <si>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</si>
  <si>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</si>
  <si>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</si>
  <si>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</si>
  <si>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</si>
  <si>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</si>
  <si>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</si>
  <si>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</si>
  <si>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</si>
  <si>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</si>
  <si>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</si>
  <si>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</si>
  <si>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</si>
  <si>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</si>
  <si>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</si>
  <si>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</si>
  <si>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</si>
  <si>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</si>
  <si>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</si>
  <si>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</si>
  <si>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</si>
  <si>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</si>
  <si>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</si>
  <si>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</si>
  <si>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</si>
  <si>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</si>
  <si>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</si>
  <si>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</si>
  <si>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</si>
  <si>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</si>
  <si>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</si>
  <si>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</si>
  <si>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</si>
  <si>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</si>
  <si>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</si>
  <si>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</si>
  <si>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</si>
  <si>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</si>
  <si>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 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</si>
  <si>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</si>
  <si>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</si>
  <si>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</si>
  <si>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</si>
  <si>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</si>
  <si>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</si>
  <si>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</si>
  <si>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</si>
  <si>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</si>
  <si>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</si>
  <si>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</si>
  <si>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</si>
  <si>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</si>
  <si>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</si>
  <si>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</si>
  <si>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</si>
  <si>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</si>
  <si>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</si>
  <si>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</si>
  <si>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</si>
  <si>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</si>
  <si>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</si>
  <si>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</si>
  <si>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</si>
  <si>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</si>
  <si>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</si>
  <si>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</si>
  <si>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</si>
  <si>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</si>
  <si>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</si>
  <si>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</si>
  <si>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</si>
  <si>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</si>
  <si>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</si>
  <si>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</si>
  <si>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</si>
  <si>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</si>
  <si>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</si>
  <si>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</si>
  <si>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</si>
  <si>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</si>
  <si>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</si>
  <si>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</si>
  <si>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</si>
  <si>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</si>
  <si>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</si>
  <si>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</si>
  <si>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</si>
  <si>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</si>
  <si>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</si>
  <si>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</si>
  <si>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</si>
  <si>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</si>
  <si>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</si>
  <si>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</si>
  <si>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</si>
  <si>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</si>
  <si>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</si>
  <si>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</si>
  <si>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</si>
  <si>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</si>
  <si>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</si>
  <si>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</si>
  <si>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</si>
  <si>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</si>
  <si>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</si>
  <si>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</si>
  <si>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</si>
  <si>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</si>
  <si>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</si>
  <si>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</si>
  <si>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</si>
  <si>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</si>
  <si>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</si>
  <si>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</si>
  <si>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</si>
  <si>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</si>
  <si>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</si>
  <si>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</si>
  <si>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</si>
  <si>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</si>
  <si>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</si>
  <si>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</si>
  <si>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</si>
  <si>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</si>
  <si>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</si>
  <si>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</si>
  <si>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</si>
  <si>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</si>
  <si>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</si>
  <si>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</si>
  <si>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</si>
  <si>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</si>
  <si>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</si>
  <si>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</si>
  <si>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</si>
  <si>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</si>
  <si>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</si>
  <si>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</si>
  <si>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</si>
  <si>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</si>
  <si>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</si>
  <si>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</si>
  <si>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</si>
  <si>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</si>
  <si>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</si>
  <si>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</si>
  <si>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</si>
  <si>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</si>
  <si>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</si>
  <si>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</si>
  <si>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</si>
  <si>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</si>
  <si>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</si>
  <si>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</si>
  <si>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</si>
  <si>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</si>
  <si>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</si>
  <si>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</si>
  <si>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</si>
  <si>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Ridgefield Surgical Center</t>
  </si>
  <si>
    <t>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</si>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</sst>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activeCell="O35" sqref="O35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46609541</v>
      </c>
      <c r="D13" s="22">
        <v>21083000</v>
      </c>
      <c r="E13" s="22">
        <f t="shared" ref="E13:E22" si="0">D13-C13</f>
        <v>-25526541</v>
      </c>
      <c r="F13" s="23">
        <f t="shared" ref="F13:F22" si="1">IF(C13=0,0,E13/C13)</f>
        <v>-0.54766771893334032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63595267</v>
      </c>
      <c r="D15" s="22">
        <v>76938000</v>
      </c>
      <c r="E15" s="22">
        <f t="shared" si="0"/>
        <v>13342733</v>
      </c>
      <c r="F15" s="23">
        <f t="shared" si="1"/>
        <v>0.20980701283949324</v>
      </c>
    </row>
    <row r="16" spans="1:8" ht="24" customHeight="1" x14ac:dyDescent="0.2">
      <c r="A16" s="20">
        <v>4</v>
      </c>
      <c r="B16" s="21" t="s">
        <v>19</v>
      </c>
      <c r="C16" s="22">
        <v>1868637</v>
      </c>
      <c r="D16" s="22">
        <v>1868000</v>
      </c>
      <c r="E16" s="22">
        <f t="shared" si="0"/>
        <v>-637</v>
      </c>
      <c r="F16" s="23">
        <f t="shared" si="1"/>
        <v>-3.4089017824221612E-4</v>
      </c>
    </row>
    <row r="17" spans="1:11" ht="24" customHeight="1" x14ac:dyDescent="0.2">
      <c r="A17" s="20">
        <v>5</v>
      </c>
      <c r="B17" s="21" t="s">
        <v>20</v>
      </c>
      <c r="C17" s="22">
        <v>7540267</v>
      </c>
      <c r="D17" s="22">
        <v>6402000</v>
      </c>
      <c r="E17" s="22">
        <f t="shared" si="0"/>
        <v>-1138267</v>
      </c>
      <c r="F17" s="23">
        <f t="shared" si="1"/>
        <v>-0.15095844749264184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10027585</v>
      </c>
      <c r="D19" s="22">
        <v>10950000</v>
      </c>
      <c r="E19" s="22">
        <f t="shared" si="0"/>
        <v>922415</v>
      </c>
      <c r="F19" s="23">
        <f t="shared" si="1"/>
        <v>9.1987751786696395E-2</v>
      </c>
    </row>
    <row r="20" spans="1:11" ht="24" customHeight="1" x14ac:dyDescent="0.2">
      <c r="A20" s="20">
        <v>8</v>
      </c>
      <c r="B20" s="21" t="s">
        <v>23</v>
      </c>
      <c r="C20" s="22">
        <v>7591258</v>
      </c>
      <c r="D20" s="22">
        <v>6399000</v>
      </c>
      <c r="E20" s="22">
        <f t="shared" si="0"/>
        <v>-1192258</v>
      </c>
      <c r="F20" s="23">
        <f t="shared" si="1"/>
        <v>-0.15705670917784642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137232555</v>
      </c>
      <c r="D22" s="26">
        <f>SUM(D13:D21)</f>
        <v>123640000</v>
      </c>
      <c r="E22" s="26">
        <f t="shared" si="0"/>
        <v>-13592555</v>
      </c>
      <c r="F22" s="27">
        <f t="shared" si="1"/>
        <v>-9.9047598436099948E-2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204451643</v>
      </c>
      <c r="D28" s="22">
        <v>166957000</v>
      </c>
      <c r="E28" s="22">
        <f>D28-C28</f>
        <v>-37494643</v>
      </c>
      <c r="F28" s="23">
        <f>IF(C28=0,0,E28/C28)</f>
        <v>-0.18339125306026521</v>
      </c>
    </row>
    <row r="29" spans="1:11" ht="24" customHeight="1" x14ac:dyDescent="0.25">
      <c r="A29" s="24"/>
      <c r="B29" s="25" t="s">
        <v>32</v>
      </c>
      <c r="C29" s="26">
        <f>SUM(C25:C28)</f>
        <v>204451643</v>
      </c>
      <c r="D29" s="26">
        <f>SUM(D25:D28)</f>
        <v>166957000</v>
      </c>
      <c r="E29" s="26">
        <f>D29-C29</f>
        <v>-37494643</v>
      </c>
      <c r="F29" s="27">
        <f>IF(C29=0,0,E29/C29)</f>
        <v>-0.18339125306026521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97632022</v>
      </c>
      <c r="D31" s="22">
        <v>92378000</v>
      </c>
      <c r="E31" s="22">
        <f>D31-C31</f>
        <v>-5254022</v>
      </c>
      <c r="F31" s="23">
        <f>IF(C31=0,0,E31/C31)</f>
        <v>-5.3814536382335708E-2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47734384</v>
      </c>
      <c r="D33" s="22">
        <v>60272000</v>
      </c>
      <c r="E33" s="22">
        <f>D33-C33</f>
        <v>12537616</v>
      </c>
      <c r="F33" s="23">
        <f>IF(C33=0,0,E33/C33)</f>
        <v>0.26265377175496807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690351518</v>
      </c>
      <c r="D36" s="22">
        <v>829653000</v>
      </c>
      <c r="E36" s="22">
        <f>D36-C36</f>
        <v>139301482</v>
      </c>
      <c r="F36" s="23">
        <f>IF(C36=0,0,E36/C36)</f>
        <v>0.20178340797100991</v>
      </c>
    </row>
    <row r="37" spans="1:8" ht="24" customHeight="1" x14ac:dyDescent="0.2">
      <c r="A37" s="20">
        <v>2</v>
      </c>
      <c r="B37" s="21" t="s">
        <v>39</v>
      </c>
      <c r="C37" s="22">
        <v>356467852</v>
      </c>
      <c r="D37" s="22">
        <v>452258000</v>
      </c>
      <c r="E37" s="22">
        <f>D37-C37</f>
        <v>95790148</v>
      </c>
      <c r="F37" s="23">
        <f>IF(C37=0,0,E37/C37)</f>
        <v>0.26872029963588412</v>
      </c>
    </row>
    <row r="38" spans="1:8" ht="24" customHeight="1" x14ac:dyDescent="0.25">
      <c r="A38" s="24"/>
      <c r="B38" s="25" t="s">
        <v>40</v>
      </c>
      <c r="C38" s="26">
        <f>C36-C37</f>
        <v>333883666</v>
      </c>
      <c r="D38" s="26">
        <f>D36-D37</f>
        <v>377395000</v>
      </c>
      <c r="E38" s="26">
        <f>D38-C38</f>
        <v>43511334</v>
      </c>
      <c r="F38" s="27">
        <f>IF(C38=0,0,E38/C38)</f>
        <v>0.1303188458461457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17786049</v>
      </c>
      <c r="D40" s="22">
        <v>16766000</v>
      </c>
      <c r="E40" s="22">
        <f>D40-C40</f>
        <v>-1020049</v>
      </c>
      <c r="F40" s="23">
        <f>IF(C40=0,0,E40/C40)</f>
        <v>-5.7351073304700781E-2</v>
      </c>
    </row>
    <row r="41" spans="1:8" ht="24" customHeight="1" x14ac:dyDescent="0.25">
      <c r="A41" s="24"/>
      <c r="B41" s="25" t="s">
        <v>42</v>
      </c>
      <c r="C41" s="26">
        <f>+C38+C40</f>
        <v>351669715</v>
      </c>
      <c r="D41" s="26">
        <f>+D38+D40</f>
        <v>394161000</v>
      </c>
      <c r="E41" s="26">
        <f>D41-C41</f>
        <v>42491285</v>
      </c>
      <c r="F41" s="27">
        <f>IF(C41=0,0,E41/C41)</f>
        <v>0.12082725121780817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838720319</v>
      </c>
      <c r="D43" s="26">
        <f>D22+D29+D31+D32+D33+D41</f>
        <v>837408000</v>
      </c>
      <c r="E43" s="26">
        <f>D43-C43</f>
        <v>-1312319</v>
      </c>
      <c r="F43" s="27">
        <f>IF(C43=0,0,E43/C43)</f>
        <v>-1.5646681858914164E-3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33072961</v>
      </c>
      <c r="D49" s="22">
        <v>35981000</v>
      </c>
      <c r="E49" s="22">
        <f t="shared" ref="E49:E56" si="2">D49-C49</f>
        <v>2908039</v>
      </c>
      <c r="F49" s="23">
        <f t="shared" ref="F49:F56" si="3">IF(C49=0,0,E49/C49)</f>
        <v>8.792799048140866E-2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31635886</v>
      </c>
      <c r="D50" s="22">
        <v>36985000</v>
      </c>
      <c r="E50" s="22">
        <f t="shared" si="2"/>
        <v>5349114</v>
      </c>
      <c r="F50" s="23">
        <f t="shared" si="3"/>
        <v>0.16908374243098487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14656782</v>
      </c>
      <c r="D51" s="22">
        <v>18232000</v>
      </c>
      <c r="E51" s="22">
        <f t="shared" si="2"/>
        <v>3575218</v>
      </c>
      <c r="F51" s="23">
        <f t="shared" si="3"/>
        <v>0.24392926087049668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4925000</v>
      </c>
      <c r="D53" s="22">
        <v>1580000</v>
      </c>
      <c r="E53" s="22">
        <f t="shared" si="2"/>
        <v>-3345000</v>
      </c>
      <c r="F53" s="23">
        <f t="shared" si="3"/>
        <v>-0.67918781725888322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5005449</v>
      </c>
      <c r="D55" s="22">
        <v>4542000</v>
      </c>
      <c r="E55" s="22">
        <f t="shared" si="2"/>
        <v>-463449</v>
      </c>
      <c r="F55" s="23">
        <f t="shared" si="3"/>
        <v>-9.2588896620463018E-2</v>
      </c>
    </row>
    <row r="56" spans="1:6" ht="24" customHeight="1" x14ac:dyDescent="0.25">
      <c r="A56" s="24"/>
      <c r="B56" s="25" t="s">
        <v>54</v>
      </c>
      <c r="C56" s="26">
        <f>SUM(C49:C55)</f>
        <v>89296078</v>
      </c>
      <c r="D56" s="26">
        <f>SUM(D49:D55)</f>
        <v>97320000</v>
      </c>
      <c r="E56" s="26">
        <f t="shared" si="2"/>
        <v>8023922</v>
      </c>
      <c r="F56" s="27">
        <f t="shared" si="3"/>
        <v>8.9857496316915503E-2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241775000</v>
      </c>
      <c r="D60" s="22">
        <v>243270000</v>
      </c>
      <c r="E60" s="22">
        <f>D60-C60</f>
        <v>1495000</v>
      </c>
      <c r="F60" s="23">
        <f>IF(C60=0,0,E60/C60)</f>
        <v>6.1834350118912208E-3</v>
      </c>
    </row>
    <row r="61" spans="1:6" ht="24" customHeight="1" x14ac:dyDescent="0.25">
      <c r="A61" s="24"/>
      <c r="B61" s="25" t="s">
        <v>58</v>
      </c>
      <c r="C61" s="26">
        <f>SUM(C59:C60)</f>
        <v>241775000</v>
      </c>
      <c r="D61" s="26">
        <f>SUM(D59:D60)</f>
        <v>243270000</v>
      </c>
      <c r="E61" s="26">
        <f>D61-C61</f>
        <v>1495000</v>
      </c>
      <c r="F61" s="27">
        <f>IF(C61=0,0,E61/C61)</f>
        <v>6.1834350118912208E-3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18355703</v>
      </c>
      <c r="D64" s="22">
        <v>20082000</v>
      </c>
      <c r="E64" s="22">
        <f>D64-C64</f>
        <v>1726297</v>
      </c>
      <c r="F64" s="23">
        <f>IF(C64=0,0,E64/C64)</f>
        <v>9.4046901935600072E-2</v>
      </c>
    </row>
    <row r="65" spans="1:6" ht="24" customHeight="1" x14ac:dyDescent="0.25">
      <c r="A65" s="24"/>
      <c r="B65" s="25" t="s">
        <v>61</v>
      </c>
      <c r="C65" s="26">
        <f>SUM(C61:C64)</f>
        <v>260130703</v>
      </c>
      <c r="D65" s="26">
        <f>SUM(D61:D64)</f>
        <v>263352000</v>
      </c>
      <c r="E65" s="26">
        <f>D65-C65</f>
        <v>3221297</v>
      </c>
      <c r="F65" s="27">
        <f>IF(C65=0,0,E65/C65)</f>
        <v>1.2383378674066014E-2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412096873</v>
      </c>
      <c r="D70" s="22">
        <v>406110000</v>
      </c>
      <c r="E70" s="22">
        <f>D70-C70</f>
        <v>-5986873</v>
      </c>
      <c r="F70" s="23">
        <f>IF(C70=0,0,E70/C70)</f>
        <v>-1.4527829236889162E-2</v>
      </c>
    </row>
    <row r="71" spans="1:6" ht="24" customHeight="1" x14ac:dyDescent="0.2">
      <c r="A71" s="20">
        <v>2</v>
      </c>
      <c r="B71" s="21" t="s">
        <v>65</v>
      </c>
      <c r="C71" s="22">
        <v>47726160</v>
      </c>
      <c r="D71" s="22">
        <v>36051000</v>
      </c>
      <c r="E71" s="22">
        <f>D71-C71</f>
        <v>-11675160</v>
      </c>
      <c r="F71" s="23">
        <f>IF(C71=0,0,E71/C71)</f>
        <v>-0.24462810332949478</v>
      </c>
    </row>
    <row r="72" spans="1:6" ht="24" customHeight="1" x14ac:dyDescent="0.2">
      <c r="A72" s="20">
        <v>3</v>
      </c>
      <c r="B72" s="21" t="s">
        <v>66</v>
      </c>
      <c r="C72" s="22">
        <v>29470505</v>
      </c>
      <c r="D72" s="22">
        <v>34575000</v>
      </c>
      <c r="E72" s="22">
        <f>D72-C72</f>
        <v>5104495</v>
      </c>
      <c r="F72" s="23">
        <f>IF(C72=0,0,E72/C72)</f>
        <v>0.17320690636281938</v>
      </c>
    </row>
    <row r="73" spans="1:6" ht="24" customHeight="1" x14ac:dyDescent="0.25">
      <c r="A73" s="20"/>
      <c r="B73" s="25" t="s">
        <v>67</v>
      </c>
      <c r="C73" s="26">
        <f>SUM(C70:C72)</f>
        <v>489293538</v>
      </c>
      <c r="D73" s="26">
        <f>SUM(D70:D72)</f>
        <v>476736000</v>
      </c>
      <c r="E73" s="26">
        <f>D73-C73</f>
        <v>-12557538</v>
      </c>
      <c r="F73" s="27">
        <f>IF(C73=0,0,E73/C73)</f>
        <v>-2.5664630788563573E-2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838720319</v>
      </c>
      <c r="D75" s="26">
        <f>D56+D65+D67+D73</f>
        <v>837408000</v>
      </c>
      <c r="E75" s="26">
        <f>D75-C75</f>
        <v>-1312319</v>
      </c>
      <c r="F75" s="27">
        <f>IF(C75=0,0,E75/C75)</f>
        <v>-1.5646681858914164E-3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FILING&amp;RDANBURY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693630862</v>
      </c>
      <c r="D11" s="76">
        <v>961369530</v>
      </c>
      <c r="E11" s="76">
        <v>1123822000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18878200</v>
      </c>
      <c r="D12" s="185">
        <v>32255500</v>
      </c>
      <c r="E12" s="185">
        <v>33617000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712509062</v>
      </c>
      <c r="D13" s="76">
        <f>+D11+D12</f>
        <v>993625030</v>
      </c>
      <c r="E13" s="76">
        <f>+E11+E12</f>
        <v>1157439000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689272450</v>
      </c>
      <c r="D14" s="185">
        <v>961175602</v>
      </c>
      <c r="E14" s="185">
        <v>1144647000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23236612</v>
      </c>
      <c r="D15" s="76">
        <f>+D13-D14</f>
        <v>32449428</v>
      </c>
      <c r="E15" s="76">
        <f>+E13-E14</f>
        <v>12792000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10485983</v>
      </c>
      <c r="D16" s="185">
        <v>316766946</v>
      </c>
      <c r="E16" s="185">
        <v>18590000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33722595</v>
      </c>
      <c r="D17" s="76">
        <f>D15+D16</f>
        <v>349216374</v>
      </c>
      <c r="E17" s="76">
        <f>E15+E16</f>
        <v>31382000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3.2139379323132156E-2</v>
      </c>
      <c r="D20" s="189">
        <f>IF(+D27=0,0,+D24/+D27)</f>
        <v>2.4763146138190334E-2</v>
      </c>
      <c r="E20" s="189">
        <f>IF(+E27=0,0,+E24/+E27)</f>
        <v>1.0877282788094512E-2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1.4503533699874803E-2</v>
      </c>
      <c r="D21" s="189">
        <f>IF(+D27=0,0,+D26/+D27)</f>
        <v>0.2417344976172229</v>
      </c>
      <c r="E21" s="189">
        <f>IF(+E27=0,0,+E26/+E27)</f>
        <v>1.5807433320096698E-2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4.6642913023006959E-2</v>
      </c>
      <c r="D22" s="189">
        <f>IF(+D27=0,0,+D28/+D27)</f>
        <v>0.26649764375541324</v>
      </c>
      <c r="E22" s="189">
        <f>IF(+E27=0,0,+E28/+E27)</f>
        <v>2.668471610819121E-2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23236612</v>
      </c>
      <c r="D24" s="76">
        <f>+D15</f>
        <v>32449428</v>
      </c>
      <c r="E24" s="76">
        <f>+E15</f>
        <v>12792000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712509062</v>
      </c>
      <c r="D25" s="76">
        <f>+D13</f>
        <v>993625030</v>
      </c>
      <c r="E25" s="76">
        <f>+E13</f>
        <v>1157439000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10485983</v>
      </c>
      <c r="D26" s="76">
        <f>+D16</f>
        <v>316766946</v>
      </c>
      <c r="E26" s="76">
        <f>+E16</f>
        <v>18590000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722995045</v>
      </c>
      <c r="D27" s="76">
        <f>SUM(D25:D26)</f>
        <v>1310391976</v>
      </c>
      <c r="E27" s="76">
        <f>SUM(E25:E26)</f>
        <v>1176029000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33722595</v>
      </c>
      <c r="D28" s="76">
        <f>+D17</f>
        <v>349216374</v>
      </c>
      <c r="E28" s="76">
        <f>+E17</f>
        <v>31382000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404480146</v>
      </c>
      <c r="D31" s="76">
        <v>661351254</v>
      </c>
      <c r="E31" s="76">
        <v>603321000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500199140</v>
      </c>
      <c r="D32" s="76">
        <v>797554121</v>
      </c>
      <c r="E32" s="76">
        <v>755290000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156324559</v>
      </c>
      <c r="D33" s="76">
        <f>+D32-C32</f>
        <v>297354981</v>
      </c>
      <c r="E33" s="76">
        <f>+E32-D32</f>
        <v>-42264121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1.4544999999999999</v>
      </c>
      <c r="D34" s="193">
        <f>IF(C32=0,0,+D33/C32)</f>
        <v>0.59447319521580944</v>
      </c>
      <c r="E34" s="193">
        <f>IF(D32=0,0,+E33/D32)</f>
        <v>-5.2992166784879544E-2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1.9447954398784246</v>
      </c>
      <c r="D38" s="338">
        <f>IF(+D40=0,0,+D39/+D40)</f>
        <v>1.6806729621222469</v>
      </c>
      <c r="E38" s="338">
        <f>IF(+E40=0,0,+E39/+E40)</f>
        <v>1.7114923464803051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194314003</v>
      </c>
      <c r="D39" s="341">
        <v>358412968</v>
      </c>
      <c r="E39" s="341">
        <v>333308000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99914880</v>
      </c>
      <c r="D40" s="341">
        <v>213255628</v>
      </c>
      <c r="E40" s="341">
        <v>194747000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40.183943063103619</v>
      </c>
      <c r="D42" s="343">
        <f>IF((D48/365)=0,0,+D45/(D48/365))</f>
        <v>63.660324233648275</v>
      </c>
      <c r="E42" s="343">
        <f>IF((E48/365)=0,0,+E45/(E48/365))</f>
        <v>35.038409596404136</v>
      </c>
    </row>
    <row r="43" spans="1:14" ht="24" customHeight="1" x14ac:dyDescent="0.2">
      <c r="A43" s="339">
        <v>5</v>
      </c>
      <c r="B43" s="344" t="s">
        <v>16</v>
      </c>
      <c r="C43" s="345">
        <v>71777507</v>
      </c>
      <c r="D43" s="345">
        <v>144314483</v>
      </c>
      <c r="E43" s="345">
        <v>89299000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14004464</v>
      </c>
      <c r="E44" s="345">
        <v>13983000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71777507</v>
      </c>
      <c r="D45" s="341">
        <f>+D43+D44</f>
        <v>158318947</v>
      </c>
      <c r="E45" s="341">
        <f>+E43+E44</f>
        <v>103282000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689272450</v>
      </c>
      <c r="D46" s="341">
        <f>+D14</f>
        <v>961175602</v>
      </c>
      <c r="E46" s="341">
        <f>+E14</f>
        <v>1144647000</v>
      </c>
    </row>
    <row r="47" spans="1:14" ht="24" customHeight="1" x14ac:dyDescent="0.2">
      <c r="A47" s="339">
        <v>9</v>
      </c>
      <c r="B47" s="340" t="s">
        <v>356</v>
      </c>
      <c r="C47" s="341">
        <v>37300840</v>
      </c>
      <c r="D47" s="341">
        <v>53445138</v>
      </c>
      <c r="E47" s="341">
        <v>68744000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651971610</v>
      </c>
      <c r="D48" s="341">
        <f>+D46-D47</f>
        <v>907730464</v>
      </c>
      <c r="E48" s="341">
        <f>+E46-E47</f>
        <v>1075903000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34.507593752366802</v>
      </c>
      <c r="D50" s="350">
        <f>IF((D55/365)=0,0,+D54/(D55/365))</f>
        <v>28.474026236300624</v>
      </c>
      <c r="E50" s="350">
        <f>IF((E55/365)=0,0,+E54/(E55/365))</f>
        <v>31.547295746123496</v>
      </c>
    </row>
    <row r="51" spans="1:5" ht="24" customHeight="1" x14ac:dyDescent="0.2">
      <c r="A51" s="339">
        <v>12</v>
      </c>
      <c r="B51" s="344" t="s">
        <v>359</v>
      </c>
      <c r="C51" s="351">
        <v>76374995</v>
      </c>
      <c r="D51" s="351">
        <v>128633349</v>
      </c>
      <c r="E51" s="351">
        <v>143408000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10798195</v>
      </c>
      <c r="D53" s="341">
        <v>53635921</v>
      </c>
      <c r="E53" s="341">
        <v>46275000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65576800</v>
      </c>
      <c r="D54" s="352">
        <f>+D51+D52-D53</f>
        <v>74997428</v>
      </c>
      <c r="E54" s="352">
        <f>+E51+E52-E53</f>
        <v>97133000</v>
      </c>
    </row>
    <row r="55" spans="1:5" ht="24" customHeight="1" x14ac:dyDescent="0.2">
      <c r="A55" s="339">
        <v>16</v>
      </c>
      <c r="B55" s="340" t="s">
        <v>75</v>
      </c>
      <c r="C55" s="341">
        <f>+C11</f>
        <v>693630862</v>
      </c>
      <c r="D55" s="341">
        <f>+D11</f>
        <v>961369530</v>
      </c>
      <c r="E55" s="341">
        <f>+E11</f>
        <v>1123822000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55.936379192952892</v>
      </c>
      <c r="D57" s="355">
        <f>IF((D61/365)=0,0,+D58/(D61/365))</f>
        <v>85.750459312556458</v>
      </c>
      <c r="E57" s="355">
        <f>IF((E61/365)=0,0,+E58/(E61/365))</f>
        <v>66.067902961512331</v>
      </c>
    </row>
    <row r="58" spans="1:5" ht="24" customHeight="1" x14ac:dyDescent="0.2">
      <c r="A58" s="339">
        <v>18</v>
      </c>
      <c r="B58" s="340" t="s">
        <v>54</v>
      </c>
      <c r="C58" s="353">
        <f>+C40</f>
        <v>99914880</v>
      </c>
      <c r="D58" s="353">
        <f>+D40</f>
        <v>213255628</v>
      </c>
      <c r="E58" s="353">
        <f>+E40</f>
        <v>194747000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689272450</v>
      </c>
      <c r="D59" s="353">
        <f t="shared" si="0"/>
        <v>961175602</v>
      </c>
      <c r="E59" s="353">
        <f t="shared" si="0"/>
        <v>1144647000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37300840</v>
      </c>
      <c r="D60" s="356">
        <f t="shared" si="0"/>
        <v>53445138</v>
      </c>
      <c r="E60" s="356">
        <f t="shared" si="0"/>
        <v>68744000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651971610</v>
      </c>
      <c r="D61" s="353">
        <f>+D59-D60</f>
        <v>907730464</v>
      </c>
      <c r="E61" s="353">
        <f>+E59-E60</f>
        <v>1075903000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51.398754304348657</v>
      </c>
      <c r="D65" s="357">
        <f>IF(D67=0,0,(D66/D67)*100)</f>
        <v>48.925563433152533</v>
      </c>
      <c r="E65" s="357">
        <f>IF(E67=0,0,(E66/E67)*100)</f>
        <v>46.855904244693669</v>
      </c>
    </row>
    <row r="66" spans="1:5" ht="24" customHeight="1" x14ac:dyDescent="0.2">
      <c r="A66" s="339">
        <v>2</v>
      </c>
      <c r="B66" s="340" t="s">
        <v>67</v>
      </c>
      <c r="C66" s="353">
        <f>+C32</f>
        <v>500199140</v>
      </c>
      <c r="D66" s="353">
        <f>+D32</f>
        <v>797554121</v>
      </c>
      <c r="E66" s="353">
        <f>+E32</f>
        <v>755290000</v>
      </c>
    </row>
    <row r="67" spans="1:5" ht="24" customHeight="1" x14ac:dyDescent="0.2">
      <c r="A67" s="339">
        <v>3</v>
      </c>
      <c r="B67" s="340" t="s">
        <v>43</v>
      </c>
      <c r="C67" s="353">
        <v>973173663</v>
      </c>
      <c r="D67" s="353">
        <v>1630137836</v>
      </c>
      <c r="E67" s="353">
        <v>1611942000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20.490590305874925</v>
      </c>
      <c r="D69" s="357">
        <f>IF(D75=0,0,(D72/D75)*100)</f>
        <v>69.787529608373944</v>
      </c>
      <c r="E69" s="357">
        <f>IF(E75=0,0,(E72/E75)*100)</f>
        <v>18.214463731521942</v>
      </c>
    </row>
    <row r="70" spans="1:5" ht="24" customHeight="1" x14ac:dyDescent="0.2">
      <c r="A70" s="339">
        <v>5</v>
      </c>
      <c r="B70" s="340" t="s">
        <v>366</v>
      </c>
      <c r="C70" s="353">
        <f>+C28</f>
        <v>33722595</v>
      </c>
      <c r="D70" s="353">
        <f>+D28</f>
        <v>349216374</v>
      </c>
      <c r="E70" s="353">
        <f>+E28</f>
        <v>31382000</v>
      </c>
    </row>
    <row r="71" spans="1:5" ht="24" customHeight="1" x14ac:dyDescent="0.2">
      <c r="A71" s="339">
        <v>6</v>
      </c>
      <c r="B71" s="340" t="s">
        <v>356</v>
      </c>
      <c r="C71" s="356">
        <f>+C47</f>
        <v>37300840</v>
      </c>
      <c r="D71" s="356">
        <f>+D47</f>
        <v>53445138</v>
      </c>
      <c r="E71" s="356">
        <f>+E47</f>
        <v>68744000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71023435</v>
      </c>
      <c r="D72" s="353">
        <f>+D70+D71</f>
        <v>402661512</v>
      </c>
      <c r="E72" s="353">
        <f>+E70+E71</f>
        <v>100126000</v>
      </c>
    </row>
    <row r="73" spans="1:5" ht="24" customHeight="1" x14ac:dyDescent="0.2">
      <c r="A73" s="339">
        <v>8</v>
      </c>
      <c r="B73" s="340" t="s">
        <v>54</v>
      </c>
      <c r="C73" s="341">
        <f>+C40</f>
        <v>99914880</v>
      </c>
      <c r="D73" s="341">
        <f>+D40</f>
        <v>213255628</v>
      </c>
      <c r="E73" s="341">
        <f>+E40</f>
        <v>194747000</v>
      </c>
    </row>
    <row r="74" spans="1:5" ht="24" customHeight="1" x14ac:dyDescent="0.2">
      <c r="A74" s="339">
        <v>9</v>
      </c>
      <c r="B74" s="340" t="s">
        <v>58</v>
      </c>
      <c r="C74" s="353">
        <v>246700000</v>
      </c>
      <c r="D74" s="353">
        <v>363726412</v>
      </c>
      <c r="E74" s="353">
        <v>354959000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346614880</v>
      </c>
      <c r="D75" s="341">
        <f>+D73+D74</f>
        <v>576982040</v>
      </c>
      <c r="E75" s="341">
        <f>+E73+E74</f>
        <v>549706000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33.029894772673053</v>
      </c>
      <c r="D77" s="359">
        <f>IF(D80=0,0,(D78/D80)*100)</f>
        <v>31.321149512458074</v>
      </c>
      <c r="E77" s="359">
        <f>IF(E80=0,0,(E78/E80)*100)</f>
        <v>31.971116389206383</v>
      </c>
    </row>
    <row r="78" spans="1:5" ht="24" customHeight="1" x14ac:dyDescent="0.2">
      <c r="A78" s="339">
        <v>12</v>
      </c>
      <c r="B78" s="340" t="s">
        <v>58</v>
      </c>
      <c r="C78" s="341">
        <f>+C74</f>
        <v>246700000</v>
      </c>
      <c r="D78" s="341">
        <f>+D74</f>
        <v>363726412</v>
      </c>
      <c r="E78" s="341">
        <f>+E74</f>
        <v>354959000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500199140</v>
      </c>
      <c r="D79" s="341">
        <f>+D32</f>
        <v>797554121</v>
      </c>
      <c r="E79" s="341">
        <f>+E32</f>
        <v>755290000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746899140</v>
      </c>
      <c r="D80" s="341">
        <f>+D78+D79</f>
        <v>1161280533</v>
      </c>
      <c r="E80" s="341">
        <f>+E78+E79</f>
        <v>1110249000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FILING&amp;R&amp;8WESTERN CONNECTICUT HEALTH NETWORK 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74363</v>
      </c>
      <c r="D11" s="376">
        <v>15179</v>
      </c>
      <c r="E11" s="376">
        <v>15372</v>
      </c>
      <c r="F11" s="377">
        <v>211</v>
      </c>
      <c r="G11" s="377">
        <v>304</v>
      </c>
      <c r="H11" s="378">
        <f>IF(F11=0,0,$C11/(F11*365))</f>
        <v>0.96556514964617279</v>
      </c>
      <c r="I11" s="378">
        <f>IF(G11=0,0,$C11/(G11*365))</f>
        <v>0.67017844268204763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5179</v>
      </c>
      <c r="D13" s="376">
        <v>239</v>
      </c>
      <c r="E13" s="376">
        <v>0</v>
      </c>
      <c r="F13" s="377">
        <v>15</v>
      </c>
      <c r="G13" s="377">
        <v>38</v>
      </c>
      <c r="H13" s="378">
        <f>IF(F13=0,0,$C13/(F13*365))</f>
        <v>0.94593607305936078</v>
      </c>
      <c r="I13" s="378">
        <f>IF(G13=0,0,$C13/(G13*365))</f>
        <v>0.37339581831290553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5954</v>
      </c>
      <c r="D16" s="376">
        <v>641</v>
      </c>
      <c r="E16" s="376">
        <v>644</v>
      </c>
      <c r="F16" s="377">
        <v>18</v>
      </c>
      <c r="G16" s="377">
        <v>23</v>
      </c>
      <c r="H16" s="378">
        <f t="shared" si="0"/>
        <v>0.9062404870624049</v>
      </c>
      <c r="I16" s="378">
        <f t="shared" si="0"/>
        <v>0.70923168552709948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5954</v>
      </c>
      <c r="D17" s="381">
        <f>SUM(D15:D16)</f>
        <v>641</v>
      </c>
      <c r="E17" s="381">
        <f>SUM(E15:E16)</f>
        <v>644</v>
      </c>
      <c r="F17" s="381">
        <f>SUM(F15:F16)</f>
        <v>18</v>
      </c>
      <c r="G17" s="381">
        <f>SUM(G15:G16)</f>
        <v>23</v>
      </c>
      <c r="H17" s="382">
        <f t="shared" si="0"/>
        <v>0.9062404870624049</v>
      </c>
      <c r="I17" s="382">
        <f t="shared" si="0"/>
        <v>0.70923168552709948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3973</v>
      </c>
      <c r="D19" s="376">
        <v>274</v>
      </c>
      <c r="E19" s="376">
        <v>271</v>
      </c>
      <c r="F19" s="377">
        <v>11</v>
      </c>
      <c r="G19" s="377">
        <v>14</v>
      </c>
      <c r="H19" s="378">
        <f>IF(F19=0,0,$C19/(F19*365))</f>
        <v>0.98953922789539228</v>
      </c>
      <c r="I19" s="378">
        <f>IF(G19=0,0,$C19/(G19*365))</f>
        <v>0.77749510763209395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5949</v>
      </c>
      <c r="D21" s="376">
        <v>2102</v>
      </c>
      <c r="E21" s="376">
        <v>2105</v>
      </c>
      <c r="F21" s="377">
        <v>17</v>
      </c>
      <c r="G21" s="377">
        <v>32</v>
      </c>
      <c r="H21" s="378">
        <f>IF(F21=0,0,$C21/(F21*365))</f>
        <v>0.95874294923448833</v>
      </c>
      <c r="I21" s="378">
        <f>IF(G21=0,0,$C21/(G21*365))</f>
        <v>0.5093321917808219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4280</v>
      </c>
      <c r="D23" s="376">
        <v>1836</v>
      </c>
      <c r="E23" s="376">
        <v>1832</v>
      </c>
      <c r="F23" s="377">
        <v>12</v>
      </c>
      <c r="G23" s="377">
        <v>26</v>
      </c>
      <c r="H23" s="378">
        <f>IF(F23=0,0,$C23/(F23*365))</f>
        <v>0.97716894977168944</v>
      </c>
      <c r="I23" s="378">
        <f>IF(G23=0,0,$C23/(G23*365))</f>
        <v>0.45100105374077976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3292</v>
      </c>
      <c r="D25" s="376">
        <v>275</v>
      </c>
      <c r="E25" s="376">
        <v>0</v>
      </c>
      <c r="F25" s="377">
        <v>10</v>
      </c>
      <c r="G25" s="377">
        <v>15</v>
      </c>
      <c r="H25" s="378">
        <f>IF(F25=0,0,$C25/(F25*365))</f>
        <v>0.90191780821917811</v>
      </c>
      <c r="I25" s="378">
        <f>IF(G25=0,0,$C25/(G25*365))</f>
        <v>0.60127853881278537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471</v>
      </c>
      <c r="D27" s="376">
        <v>251</v>
      </c>
      <c r="E27" s="376">
        <v>252</v>
      </c>
      <c r="F27" s="377">
        <v>2</v>
      </c>
      <c r="G27" s="377">
        <v>4</v>
      </c>
      <c r="H27" s="378">
        <f>IF(F27=0,0,$C27/(F27*365))</f>
        <v>0.64520547945205475</v>
      </c>
      <c r="I27" s="378">
        <f>IF(G27=0,0,$C27/(G27*365))</f>
        <v>0.32260273972602738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99181</v>
      </c>
      <c r="D31" s="384">
        <f>SUM(D10:D29)-D13-D17-D23</f>
        <v>18722</v>
      </c>
      <c r="E31" s="384">
        <f>SUM(E10:E29)-E17-E23</f>
        <v>18644</v>
      </c>
      <c r="F31" s="384">
        <f>SUM(F10:F29)-F17-F23</f>
        <v>284</v>
      </c>
      <c r="G31" s="384">
        <f>SUM(G10:G29)-G17-G23</f>
        <v>430</v>
      </c>
      <c r="H31" s="385">
        <f>IF(F31=0,0,$C31/(F31*365))</f>
        <v>0.95679143353270302</v>
      </c>
      <c r="I31" s="385">
        <f>IF(G31=0,0,$C31/(G31*365))</f>
        <v>0.63192736540299455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103461</v>
      </c>
      <c r="D33" s="384">
        <f>SUM(D10:D29)-D13-D17</f>
        <v>20558</v>
      </c>
      <c r="E33" s="384">
        <f>SUM(E10:E29)-E17</f>
        <v>20476</v>
      </c>
      <c r="F33" s="384">
        <f>SUM(F10:F29)-F17</f>
        <v>296</v>
      </c>
      <c r="G33" s="384">
        <f>SUM(G10:G29)-G17</f>
        <v>456</v>
      </c>
      <c r="H33" s="385">
        <f>IF(F33=0,0,$C33/(F33*365))</f>
        <v>0.95761754905590524</v>
      </c>
      <c r="I33" s="385">
        <f>IF(G33=0,0,$C33/(G33*365))</f>
        <v>0.62161139149242972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103461</v>
      </c>
      <c r="D36" s="384">
        <f t="shared" si="1"/>
        <v>20558</v>
      </c>
      <c r="E36" s="384">
        <f t="shared" si="1"/>
        <v>20476</v>
      </c>
      <c r="F36" s="384">
        <f t="shared" si="1"/>
        <v>296</v>
      </c>
      <c r="G36" s="384">
        <f t="shared" si="1"/>
        <v>456</v>
      </c>
      <c r="H36" s="387">
        <f t="shared" si="1"/>
        <v>0.95761754905590524</v>
      </c>
      <c r="I36" s="387">
        <f t="shared" si="1"/>
        <v>0.62161139149242972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92169</v>
      </c>
      <c r="D37" s="384">
        <v>18290</v>
      </c>
      <c r="E37" s="384">
        <v>18325</v>
      </c>
      <c r="F37" s="386">
        <v>273</v>
      </c>
      <c r="G37" s="386">
        <v>371</v>
      </c>
      <c r="H37" s="385">
        <f>IF(F37=0,0,$C37/(F37*365))</f>
        <v>0.92497365648050578</v>
      </c>
      <c r="I37" s="385">
        <f>IF(G37=0,0,$C37/(G37*365))</f>
        <v>0.68064099250452315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11292</v>
      </c>
      <c r="D38" s="384">
        <f t="shared" si="2"/>
        <v>2268</v>
      </c>
      <c r="E38" s="384">
        <f t="shared" si="2"/>
        <v>2151</v>
      </c>
      <c r="F38" s="384">
        <f t="shared" si="2"/>
        <v>23</v>
      </c>
      <c r="G38" s="384">
        <f t="shared" si="2"/>
        <v>85</v>
      </c>
      <c r="H38" s="387">
        <f t="shared" si="2"/>
        <v>3.2643892575399458E-2</v>
      </c>
      <c r="I38" s="387">
        <f t="shared" si="2"/>
        <v>-5.9029601012093424E-2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0.12251407740129544</v>
      </c>
      <c r="D40" s="389">
        <f t="shared" si="3"/>
        <v>0.12400218698742482</v>
      </c>
      <c r="E40" s="389">
        <f t="shared" si="3"/>
        <v>0.1173806275579809</v>
      </c>
      <c r="F40" s="389">
        <f t="shared" si="3"/>
        <v>8.4249084249084255E-2</v>
      </c>
      <c r="G40" s="389">
        <f t="shared" si="3"/>
        <v>0.22911051212938005</v>
      </c>
      <c r="H40" s="389">
        <f t="shared" si="3"/>
        <v>3.5291699765384016E-2</v>
      </c>
      <c r="I40" s="389">
        <f t="shared" si="3"/>
        <v>-8.6726485272191636E-2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456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9" orientation="landscape" horizontalDpi="1200" verticalDpi="1200" r:id="rId1"/>
  <headerFooter>
    <oddHeader>&amp;LOFFICE OF HEALTH CARE ACCESS&amp;CTWELVE MONTHS ACTUAL FILING&amp;RDANBURY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13"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10177</v>
      </c>
      <c r="D12" s="409">
        <v>13622</v>
      </c>
      <c r="E12" s="409">
        <f>+D12-C12</f>
        <v>3445</v>
      </c>
      <c r="F12" s="410">
        <f>IF(C12=0,0,+E12/C12)</f>
        <v>0.33850840129704235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13681</v>
      </c>
      <c r="D13" s="409">
        <v>17285</v>
      </c>
      <c r="E13" s="409">
        <f>+D13-C13</f>
        <v>3604</v>
      </c>
      <c r="F13" s="410">
        <f>IF(C13=0,0,+E13/C13)</f>
        <v>0.26343103574300125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11169</v>
      </c>
      <c r="D14" s="409">
        <v>15207</v>
      </c>
      <c r="E14" s="409">
        <f>+D14-C14</f>
        <v>4038</v>
      </c>
      <c r="F14" s="410">
        <f>IF(C14=0,0,+E14/C14)</f>
        <v>0.36153639538006982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5656</v>
      </c>
      <c r="D15" s="409">
        <v>6342</v>
      </c>
      <c r="E15" s="409">
        <f>+D15-C15</f>
        <v>686</v>
      </c>
      <c r="F15" s="410">
        <f>IF(C15=0,0,+E15/C15)</f>
        <v>0.12128712871287128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40683</v>
      </c>
      <c r="D16" s="401">
        <f>SUM(D12:D15)</f>
        <v>52456</v>
      </c>
      <c r="E16" s="401">
        <f>+D16-C16</f>
        <v>11773</v>
      </c>
      <c r="F16" s="402">
        <f>IF(C16=0,0,+E16/C16)</f>
        <v>0.28938377209153698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1294</v>
      </c>
      <c r="D19" s="409">
        <v>1610</v>
      </c>
      <c r="E19" s="409">
        <f>+D19-C19</f>
        <v>316</v>
      </c>
      <c r="F19" s="410">
        <f>IF(C19=0,0,+E19/C19)</f>
        <v>0.24420401854714066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6838</v>
      </c>
      <c r="D20" s="409">
        <v>9111</v>
      </c>
      <c r="E20" s="409">
        <f>+D20-C20</f>
        <v>2273</v>
      </c>
      <c r="F20" s="410">
        <f>IF(C20=0,0,+E20/C20)</f>
        <v>0.3324071365896461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215</v>
      </c>
      <c r="D21" s="409">
        <v>219</v>
      </c>
      <c r="E21" s="409">
        <f>+D21-C21</f>
        <v>4</v>
      </c>
      <c r="F21" s="410">
        <f>IF(C21=0,0,+E21/C21)</f>
        <v>1.8604651162790697E-2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5929</v>
      </c>
      <c r="D22" s="409">
        <v>5925</v>
      </c>
      <c r="E22" s="409">
        <f>+D22-C22</f>
        <v>-4</v>
      </c>
      <c r="F22" s="410">
        <f>IF(C22=0,0,+E22/C22)</f>
        <v>-6.7465002529937593E-4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14276</v>
      </c>
      <c r="D23" s="401">
        <f>SUM(D19:D22)</f>
        <v>16865</v>
      </c>
      <c r="E23" s="401">
        <f>+D23-C23</f>
        <v>2589</v>
      </c>
      <c r="F23" s="402">
        <f>IF(C23=0,0,+E23/C23)</f>
        <v>0.18135332025777529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</v>
      </c>
      <c r="D26" s="409">
        <v>7</v>
      </c>
      <c r="E26" s="409">
        <f>+D26-C26</f>
        <v>6</v>
      </c>
      <c r="F26" s="410">
        <f>IF(C26=0,0,+E26/C26)</f>
        <v>6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275</v>
      </c>
      <c r="D27" s="409">
        <v>880</v>
      </c>
      <c r="E27" s="409">
        <f>+D27-C27</f>
        <v>605</v>
      </c>
      <c r="F27" s="410">
        <f>IF(C27=0,0,+E27/C27)</f>
        <v>2.2000000000000002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276</v>
      </c>
      <c r="D30" s="401">
        <f>SUM(D26:D29)</f>
        <v>887</v>
      </c>
      <c r="E30" s="401">
        <f>+D30-C30</f>
        <v>611</v>
      </c>
      <c r="F30" s="402">
        <f>IF(C30=0,0,+E30/C30)</f>
        <v>2.2137681159420288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0</v>
      </c>
      <c r="E33" s="409">
        <f>+D33-C33</f>
        <v>-6</v>
      </c>
      <c r="F33" s="410">
        <f>IF(C33=0,0,+E33/C33)</f>
        <v>-1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680</v>
      </c>
      <c r="D34" s="409">
        <v>0</v>
      </c>
      <c r="E34" s="409">
        <f>+D34-C34</f>
        <v>-680</v>
      </c>
      <c r="F34" s="410">
        <f>IF(C34=0,0,+E34/C34)</f>
        <v>-1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686</v>
      </c>
      <c r="D37" s="401">
        <f>SUM(D33:D36)</f>
        <v>0</v>
      </c>
      <c r="E37" s="401">
        <f>+D37-C37</f>
        <v>-686</v>
      </c>
      <c r="F37" s="402">
        <f>IF(C37=0,0,+E37/C37)</f>
        <v>-1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333</v>
      </c>
      <c r="D43" s="409">
        <v>376</v>
      </c>
      <c r="E43" s="409">
        <f>+D43-C43</f>
        <v>43</v>
      </c>
      <c r="F43" s="410">
        <f>IF(C43=0,0,+E43/C43)</f>
        <v>0.12912912912912913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9606</v>
      </c>
      <c r="D44" s="409">
        <v>10656</v>
      </c>
      <c r="E44" s="409">
        <f>+D44-C44</f>
        <v>1050</v>
      </c>
      <c r="F44" s="410">
        <f>IF(C44=0,0,+E44/C44)</f>
        <v>0.10930668332292318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9939</v>
      </c>
      <c r="D45" s="401">
        <f>SUM(D43:D44)</f>
        <v>11032</v>
      </c>
      <c r="E45" s="401">
        <f>+D45-C45</f>
        <v>1093</v>
      </c>
      <c r="F45" s="402">
        <f>IF(C45=0,0,+E45/C45)</f>
        <v>0.10997082201428715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849</v>
      </c>
      <c r="D48" s="409">
        <v>818</v>
      </c>
      <c r="E48" s="409">
        <f>+D48-C48</f>
        <v>-31</v>
      </c>
      <c r="F48" s="410">
        <f>IF(C48=0,0,+E48/C48)</f>
        <v>-3.6513545347467612E-2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818</v>
      </c>
      <c r="D49" s="409">
        <v>814</v>
      </c>
      <c r="E49" s="409">
        <f>+D49-C49</f>
        <v>-4</v>
      </c>
      <c r="F49" s="410">
        <f>IF(C49=0,0,+E49/C49)</f>
        <v>-4.8899755501222494E-3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1667</v>
      </c>
      <c r="D50" s="401">
        <f>SUM(D48:D49)</f>
        <v>1632</v>
      </c>
      <c r="E50" s="401">
        <f>+D50-C50</f>
        <v>-35</v>
      </c>
      <c r="F50" s="402">
        <f>IF(C50=0,0,+E50/C50)</f>
        <v>-2.0995800839832032E-2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97</v>
      </c>
      <c r="D53" s="409">
        <v>97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280</v>
      </c>
      <c r="D54" s="409">
        <v>300</v>
      </c>
      <c r="E54" s="409">
        <f>+D54-C54</f>
        <v>20</v>
      </c>
      <c r="F54" s="410">
        <f>IF(C54=0,0,+E54/C54)</f>
        <v>7.1428571428571425E-2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377</v>
      </c>
      <c r="D55" s="401">
        <f>SUM(D53:D54)</f>
        <v>397</v>
      </c>
      <c r="E55" s="401">
        <f>+D55-C55</f>
        <v>20</v>
      </c>
      <c r="F55" s="402">
        <f>IF(C55=0,0,+E55/C55)</f>
        <v>5.3050397877984087E-2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42</v>
      </c>
      <c r="D58" s="409">
        <v>50</v>
      </c>
      <c r="E58" s="409">
        <f>+D58-C58</f>
        <v>8</v>
      </c>
      <c r="F58" s="410">
        <f>IF(C58=0,0,+E58/C58)</f>
        <v>0.19047619047619047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128</v>
      </c>
      <c r="D59" s="409">
        <v>104</v>
      </c>
      <c r="E59" s="409">
        <f>+D59-C59</f>
        <v>-24</v>
      </c>
      <c r="F59" s="410">
        <f>IF(C59=0,0,+E59/C59)</f>
        <v>-0.1875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170</v>
      </c>
      <c r="D60" s="401">
        <f>SUM(D58:D59)</f>
        <v>154</v>
      </c>
      <c r="E60" s="401">
        <f>SUM(E58:E59)</f>
        <v>-16</v>
      </c>
      <c r="F60" s="402">
        <f>IF(C60=0,0,+E60/C60)</f>
        <v>-9.4117647058823528E-2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3886</v>
      </c>
      <c r="D63" s="409">
        <v>4295</v>
      </c>
      <c r="E63" s="409">
        <f>+D63-C63</f>
        <v>409</v>
      </c>
      <c r="F63" s="410">
        <f>IF(C63=0,0,+E63/C63)</f>
        <v>0.10524961399897066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9982</v>
      </c>
      <c r="D64" s="409">
        <v>10670</v>
      </c>
      <c r="E64" s="409">
        <f>+D64-C64</f>
        <v>688</v>
      </c>
      <c r="F64" s="410">
        <f>IF(C64=0,0,+E64/C64)</f>
        <v>6.8924063313965139E-2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13868</v>
      </c>
      <c r="D65" s="401">
        <f>SUM(D63:D64)</f>
        <v>14965</v>
      </c>
      <c r="E65" s="401">
        <f>+D65-C65</f>
        <v>1097</v>
      </c>
      <c r="F65" s="402">
        <f>IF(C65=0,0,+E65/C65)</f>
        <v>7.9102970868185754E-2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792</v>
      </c>
      <c r="D68" s="409">
        <v>902</v>
      </c>
      <c r="E68" s="409">
        <f>+D68-C68</f>
        <v>110</v>
      </c>
      <c r="F68" s="410">
        <f>IF(C68=0,0,+E68/C68)</f>
        <v>0.1388888888888889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11218</v>
      </c>
      <c r="D69" s="409">
        <v>12891</v>
      </c>
      <c r="E69" s="409">
        <f>+D69-C69</f>
        <v>1673</v>
      </c>
      <c r="F69" s="412">
        <f>IF(C69=0,0,+E69/C69)</f>
        <v>0.1491353182385452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12010</v>
      </c>
      <c r="D70" s="401">
        <f>SUM(D68:D69)</f>
        <v>13793</v>
      </c>
      <c r="E70" s="401">
        <f>+D70-C70</f>
        <v>1783</v>
      </c>
      <c r="F70" s="402">
        <f>IF(C70=0,0,+E70/C70)</f>
        <v>0.14845961698584512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11281</v>
      </c>
      <c r="D73" s="376">
        <v>13654</v>
      </c>
      <c r="E73" s="409">
        <f>+D73-C73</f>
        <v>2373</v>
      </c>
      <c r="F73" s="410">
        <f>IF(C73=0,0,+E73/C73)</f>
        <v>0.21035369204857726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54777</v>
      </c>
      <c r="D74" s="376">
        <v>69933</v>
      </c>
      <c r="E74" s="409">
        <f>+D74-C74</f>
        <v>15156</v>
      </c>
      <c r="F74" s="410">
        <f>IF(C74=0,0,+E74/C74)</f>
        <v>0.27668547017908979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66058</v>
      </c>
      <c r="D75" s="401">
        <f>SUM(D73:D74)</f>
        <v>83587</v>
      </c>
      <c r="E75" s="401">
        <f>SUM(E73:E74)</f>
        <v>17529</v>
      </c>
      <c r="F75" s="402">
        <f>IF(C75=0,0,+E75/C75)</f>
        <v>0.26535771594659241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13477</v>
      </c>
      <c r="D80" s="376">
        <v>12011</v>
      </c>
      <c r="E80" s="409">
        <f t="shared" si="0"/>
        <v>-1466</v>
      </c>
      <c r="F80" s="410">
        <f t="shared" si="1"/>
        <v>-0.10877791793425837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17745</v>
      </c>
      <c r="D81" s="376">
        <v>26764</v>
      </c>
      <c r="E81" s="409">
        <f t="shared" si="0"/>
        <v>9019</v>
      </c>
      <c r="F81" s="410">
        <f t="shared" si="1"/>
        <v>0.50825584671738522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8144</v>
      </c>
      <c r="D83" s="376">
        <v>8905</v>
      </c>
      <c r="E83" s="409">
        <f t="shared" si="0"/>
        <v>761</v>
      </c>
      <c r="F83" s="410">
        <f t="shared" si="1"/>
        <v>9.3443025540275046E-2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313</v>
      </c>
      <c r="D84" s="376">
        <v>321</v>
      </c>
      <c r="E84" s="409">
        <f t="shared" si="0"/>
        <v>8</v>
      </c>
      <c r="F84" s="410">
        <f t="shared" si="1"/>
        <v>2.5559105431309903E-2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1470</v>
      </c>
      <c r="D85" s="376">
        <v>1556</v>
      </c>
      <c r="E85" s="409">
        <f t="shared" si="0"/>
        <v>86</v>
      </c>
      <c r="F85" s="410">
        <f t="shared" si="1"/>
        <v>5.8503401360544216E-2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40093</v>
      </c>
      <c r="D86" s="376">
        <v>44148</v>
      </c>
      <c r="E86" s="409">
        <f t="shared" si="0"/>
        <v>4055</v>
      </c>
      <c r="F86" s="410">
        <f t="shared" si="1"/>
        <v>0.10113984984910084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1352</v>
      </c>
      <c r="D88" s="376">
        <v>1222</v>
      </c>
      <c r="E88" s="409">
        <f t="shared" si="0"/>
        <v>-130</v>
      </c>
      <c r="F88" s="410">
        <f t="shared" si="1"/>
        <v>-9.6153846153846159E-2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856</v>
      </c>
      <c r="D89" s="376">
        <v>917</v>
      </c>
      <c r="E89" s="409">
        <f t="shared" si="0"/>
        <v>61</v>
      </c>
      <c r="F89" s="410">
        <f t="shared" si="1"/>
        <v>7.1261682242990648E-2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7810</v>
      </c>
      <c r="D90" s="376">
        <v>7545</v>
      </c>
      <c r="E90" s="409">
        <f t="shared" si="0"/>
        <v>-265</v>
      </c>
      <c r="F90" s="410">
        <f t="shared" si="1"/>
        <v>-3.3930857874519847E-2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6115</v>
      </c>
      <c r="D91" s="376">
        <v>5788</v>
      </c>
      <c r="E91" s="409">
        <f t="shared" si="0"/>
        <v>-327</v>
      </c>
      <c r="F91" s="410">
        <f t="shared" si="1"/>
        <v>-5.3475061324611613E-2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97375</v>
      </c>
      <c r="D92" s="381">
        <f>SUM(D79:D91)</f>
        <v>109177</v>
      </c>
      <c r="E92" s="401">
        <f t="shared" si="0"/>
        <v>11802</v>
      </c>
      <c r="F92" s="402">
        <f t="shared" si="1"/>
        <v>0.12120154043645699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43560</v>
      </c>
      <c r="D95" s="414">
        <v>50149</v>
      </c>
      <c r="E95" s="415">
        <f t="shared" ref="E95:E100" si="2">+D95-C95</f>
        <v>6589</v>
      </c>
      <c r="F95" s="412">
        <f t="shared" ref="F95:F100" si="3">IF(C95=0,0,+E95/C95)</f>
        <v>0.15126262626262627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6124</v>
      </c>
      <c r="D96" s="414">
        <v>7661</v>
      </c>
      <c r="E96" s="409">
        <f t="shared" si="2"/>
        <v>1537</v>
      </c>
      <c r="F96" s="410">
        <f t="shared" si="3"/>
        <v>0.25097975179621163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6715</v>
      </c>
      <c r="D97" s="414">
        <v>7671</v>
      </c>
      <c r="E97" s="409">
        <f t="shared" si="2"/>
        <v>956</v>
      </c>
      <c r="F97" s="410">
        <f t="shared" si="3"/>
        <v>0.14236783320923305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0</v>
      </c>
      <c r="D99" s="414">
        <v>0</v>
      </c>
      <c r="E99" s="409">
        <f t="shared" si="2"/>
        <v>0</v>
      </c>
      <c r="F99" s="410">
        <f t="shared" si="3"/>
        <v>0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56399</v>
      </c>
      <c r="D100" s="381">
        <f>SUM(D95:D99)</f>
        <v>65481</v>
      </c>
      <c r="E100" s="401">
        <f t="shared" si="2"/>
        <v>9082</v>
      </c>
      <c r="F100" s="402">
        <f t="shared" si="3"/>
        <v>0.16103122395787159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551.4</v>
      </c>
      <c r="D104" s="416">
        <v>656.6</v>
      </c>
      <c r="E104" s="417">
        <f>+D104-C104</f>
        <v>105.20000000000005</v>
      </c>
      <c r="F104" s="410">
        <f>IF(C104=0,0,+E104/C104)</f>
        <v>0.19078708741385572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115.8</v>
      </c>
      <c r="D105" s="416">
        <v>123.5</v>
      </c>
      <c r="E105" s="417">
        <f>+D105-C105</f>
        <v>7.7000000000000028</v>
      </c>
      <c r="F105" s="410">
        <f>IF(C105=0,0,+E105/C105)</f>
        <v>6.6493955094991397E-2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1683.9</v>
      </c>
      <c r="D106" s="416">
        <v>1938.8</v>
      </c>
      <c r="E106" s="417">
        <f>+D106-C106</f>
        <v>254.89999999999986</v>
      </c>
      <c r="F106" s="410">
        <f>IF(C106=0,0,+E106/C106)</f>
        <v>0.15137478472593374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2351.1</v>
      </c>
      <c r="D107" s="418">
        <f>SUM(D104:D106)</f>
        <v>2718.9</v>
      </c>
      <c r="E107" s="418">
        <f>+D107-C107</f>
        <v>367.80000000000018</v>
      </c>
      <c r="F107" s="402">
        <f>IF(C107=0,0,+E107/C107)</f>
        <v>0.15643741227510535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FILING&amp;RDANBURY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zoomScale="75" zoomScaleNormal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2852</v>
      </c>
      <c r="D12" s="409">
        <v>2764</v>
      </c>
      <c r="E12" s="409">
        <f>+D12-C12</f>
        <v>-88</v>
      </c>
      <c r="F12" s="410">
        <f>IF(C12=0,0,+E12/C12)</f>
        <v>-3.0855539971949508E-2</v>
      </c>
    </row>
    <row r="13" spans="1:6" ht="15.75" customHeight="1" x14ac:dyDescent="0.2">
      <c r="A13" s="374">
        <v>2</v>
      </c>
      <c r="B13" s="408" t="s">
        <v>622</v>
      </c>
      <c r="C13" s="409">
        <v>7130</v>
      </c>
      <c r="D13" s="409">
        <v>7906</v>
      </c>
      <c r="E13" s="409">
        <f>+D13-C13</f>
        <v>776</v>
      </c>
      <c r="F13" s="410">
        <f>IF(C13=0,0,+E13/C13)</f>
        <v>0.108835904628331</v>
      </c>
    </row>
    <row r="14" spans="1:6" ht="15.75" customHeight="1" x14ac:dyDescent="0.25">
      <c r="A14" s="374"/>
      <c r="B14" s="399" t="s">
        <v>623</v>
      </c>
      <c r="C14" s="401">
        <f>SUM(C11:C13)</f>
        <v>9982</v>
      </c>
      <c r="D14" s="401">
        <f>SUM(D11:D13)</f>
        <v>10670</v>
      </c>
      <c r="E14" s="401">
        <f>+D14-C14</f>
        <v>688</v>
      </c>
      <c r="F14" s="402">
        <f>IF(C14=0,0,+E14/C14)</f>
        <v>6.8924063313965139E-2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998</v>
      </c>
      <c r="D17" s="409">
        <v>1051</v>
      </c>
      <c r="E17" s="409">
        <f>+D17-C17</f>
        <v>53</v>
      </c>
      <c r="F17" s="410">
        <f>IF(C17=0,0,+E17/C17)</f>
        <v>5.3106212424849697E-2</v>
      </c>
    </row>
    <row r="18" spans="1:6" ht="15.75" customHeight="1" x14ac:dyDescent="0.2">
      <c r="A18" s="374">
        <v>2</v>
      </c>
      <c r="B18" s="408" t="s">
        <v>622</v>
      </c>
      <c r="C18" s="409">
        <v>10220</v>
      </c>
      <c r="D18" s="409">
        <v>11840</v>
      </c>
      <c r="E18" s="409">
        <f>+D18-C18</f>
        <v>1620</v>
      </c>
      <c r="F18" s="410">
        <f>IF(C18=0,0,+E18/C18)</f>
        <v>0.15851272015655576</v>
      </c>
    </row>
    <row r="19" spans="1:6" ht="15.75" customHeight="1" x14ac:dyDescent="0.25">
      <c r="A19" s="374"/>
      <c r="B19" s="399" t="s">
        <v>624</v>
      </c>
      <c r="C19" s="401">
        <f>SUM(C16:C18)</f>
        <v>11218</v>
      </c>
      <c r="D19" s="401">
        <f>SUM(D16:D18)</f>
        <v>12891</v>
      </c>
      <c r="E19" s="401">
        <f>+D19-C19</f>
        <v>1673</v>
      </c>
      <c r="F19" s="402">
        <f>IF(C19=0,0,+E19/C19)</f>
        <v>0.1491353182385452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622</v>
      </c>
      <c r="C22" s="409">
        <v>54777</v>
      </c>
      <c r="D22" s="409">
        <v>69933</v>
      </c>
      <c r="E22" s="409">
        <f>+D22-C22</f>
        <v>15156</v>
      </c>
      <c r="F22" s="410">
        <f>IF(C22=0,0,+E22/C22)</f>
        <v>0.27668547017908979</v>
      </c>
    </row>
    <row r="23" spans="1:6" ht="15.75" customHeight="1" x14ac:dyDescent="0.25">
      <c r="A23" s="374"/>
      <c r="B23" s="399" t="s">
        <v>626</v>
      </c>
      <c r="C23" s="401">
        <f>SUM(C21:C22)</f>
        <v>54777</v>
      </c>
      <c r="D23" s="401">
        <f>SUM(D21:D22)</f>
        <v>69933</v>
      </c>
      <c r="E23" s="401">
        <f>+D23-C23</f>
        <v>15156</v>
      </c>
      <c r="F23" s="402">
        <f>IF(C23=0,0,+E23/C23)</f>
        <v>0.27668547017908979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629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FILING&amp;RDANBURY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326019774</v>
      </c>
      <c r="D15" s="448">
        <v>394588741</v>
      </c>
      <c r="E15" s="448">
        <f t="shared" ref="E15:E24" si="0">D15-C15</f>
        <v>68568967</v>
      </c>
      <c r="F15" s="449">
        <f t="shared" ref="F15:F24" si="1">IF(C15=0,0,E15/C15)</f>
        <v>0.2103214972475872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102945936</v>
      </c>
      <c r="D16" s="448">
        <v>121787972</v>
      </c>
      <c r="E16" s="448">
        <f t="shared" si="0"/>
        <v>18842036</v>
      </c>
      <c r="F16" s="449">
        <f t="shared" si="1"/>
        <v>0.18302845874362636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0.31576592651708296</v>
      </c>
      <c r="D17" s="453">
        <f>IF(LN_IA1=0,0,LN_IA2/LN_IA1)</f>
        <v>0.30864532954324714</v>
      </c>
      <c r="E17" s="454">
        <f t="shared" si="0"/>
        <v>-7.1205969738358244E-3</v>
      </c>
      <c r="F17" s="449">
        <f t="shared" si="1"/>
        <v>-2.2550238565561632E-2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8445</v>
      </c>
      <c r="D18" s="456">
        <v>10031</v>
      </c>
      <c r="E18" s="456">
        <f t="shared" si="0"/>
        <v>1586</v>
      </c>
      <c r="F18" s="449">
        <f t="shared" si="1"/>
        <v>0.18780343398460628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1.5812900000000001</v>
      </c>
      <c r="D19" s="459">
        <v>1.5479000000000001</v>
      </c>
      <c r="E19" s="460">
        <f t="shared" si="0"/>
        <v>-3.3390000000000031E-2</v>
      </c>
      <c r="F19" s="449">
        <f t="shared" si="1"/>
        <v>-2.1115671382225924E-2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13353.994050000001</v>
      </c>
      <c r="D20" s="463">
        <f>LN_IA4*LN_IA5</f>
        <v>15526.984900000001</v>
      </c>
      <c r="E20" s="463">
        <f t="shared" si="0"/>
        <v>2172.9908500000001</v>
      </c>
      <c r="F20" s="449">
        <f t="shared" si="1"/>
        <v>0.16272216700590786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7708.9996906206488</v>
      </c>
      <c r="D21" s="465">
        <f>IF(LN_IA6=0,0,LN_IA2/LN_IA6)</f>
        <v>7843.6330546054687</v>
      </c>
      <c r="E21" s="465">
        <f t="shared" si="0"/>
        <v>134.63336398481988</v>
      </c>
      <c r="F21" s="449">
        <f t="shared" si="1"/>
        <v>1.7464440185232463E-2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50458</v>
      </c>
      <c r="D22" s="456">
        <v>59642</v>
      </c>
      <c r="E22" s="456">
        <f t="shared" si="0"/>
        <v>9184</v>
      </c>
      <c r="F22" s="449">
        <f t="shared" si="1"/>
        <v>0.18201276309009473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2040.2302112648142</v>
      </c>
      <c r="D23" s="465">
        <f>IF(LN_IA8=0,0,LN_IA2/LN_IA8)</f>
        <v>2041.9833674256397</v>
      </c>
      <c r="E23" s="465">
        <f t="shared" si="0"/>
        <v>1.7531561608254833</v>
      </c>
      <c r="F23" s="449">
        <f t="shared" si="1"/>
        <v>8.5929330481712501E-4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5.9748963883955</v>
      </c>
      <c r="D24" s="466">
        <f>IF(LN_IA4=0,0,LN_IA8/LN_IA4)</f>
        <v>5.945768118831622</v>
      </c>
      <c r="E24" s="466">
        <f t="shared" si="0"/>
        <v>-2.9128269563877929E-2</v>
      </c>
      <c r="F24" s="449">
        <f t="shared" si="1"/>
        <v>-4.8751087333415736E-3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252102854</v>
      </c>
      <c r="D27" s="448">
        <v>323857155</v>
      </c>
      <c r="E27" s="448">
        <f t="shared" ref="E27:E32" si="2">D27-C27</f>
        <v>71754301</v>
      </c>
      <c r="F27" s="449">
        <f t="shared" ref="F27:F32" si="3">IF(C27=0,0,E27/C27)</f>
        <v>0.28462312053000399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79455374</v>
      </c>
      <c r="D28" s="448">
        <v>99844401</v>
      </c>
      <c r="E28" s="448">
        <f t="shared" si="2"/>
        <v>20389027</v>
      </c>
      <c r="F28" s="449">
        <f t="shared" si="3"/>
        <v>0.25660979205761464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0.31517046609872967</v>
      </c>
      <c r="D29" s="453">
        <f>IF(LN_IA11=0,0,LN_IA12/LN_IA11)</f>
        <v>0.30829765363683259</v>
      </c>
      <c r="E29" s="454">
        <f t="shared" si="2"/>
        <v>-6.8728124618970821E-3</v>
      </c>
      <c r="F29" s="449">
        <f t="shared" si="3"/>
        <v>-2.1806651324188856E-2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0.77327473394297852</v>
      </c>
      <c r="D30" s="453">
        <f>IF(LN_IA1=0,0,LN_IA11/LN_IA1)</f>
        <v>0.82074606127699934</v>
      </c>
      <c r="E30" s="454">
        <f t="shared" si="2"/>
        <v>4.7471327334020819E-2</v>
      </c>
      <c r="F30" s="449">
        <f t="shared" si="3"/>
        <v>6.1389988900790032E-2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6530.3051281484541</v>
      </c>
      <c r="D31" s="463">
        <f>LN_IA14*LN_IA4</f>
        <v>8232.9037406695807</v>
      </c>
      <c r="E31" s="463">
        <f t="shared" si="2"/>
        <v>1702.5986125211266</v>
      </c>
      <c r="F31" s="449">
        <f t="shared" si="3"/>
        <v>0.26072267361324147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12167.176332620784</v>
      </c>
      <c r="D32" s="465">
        <f>IF(LN_IA15=0,0,LN_IA12/LN_IA15)</f>
        <v>12127.483102563236</v>
      </c>
      <c r="E32" s="465">
        <f t="shared" si="2"/>
        <v>-39.693230057548135</v>
      </c>
      <c r="F32" s="449">
        <f t="shared" si="3"/>
        <v>-3.2623206052441829E-3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578122628</v>
      </c>
      <c r="D35" s="448">
        <f>LN_IA1+LN_IA11</f>
        <v>718445896</v>
      </c>
      <c r="E35" s="448">
        <f>D35-C35</f>
        <v>140323268</v>
      </c>
      <c r="F35" s="449">
        <f>IF(C35=0,0,E35/C35)</f>
        <v>0.24272232430244886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182401310</v>
      </c>
      <c r="D36" s="448">
        <f>LN_IA2+LN_IA12</f>
        <v>221632373</v>
      </c>
      <c r="E36" s="448">
        <f>D36-C36</f>
        <v>39231063</v>
      </c>
      <c r="F36" s="449">
        <f>IF(C36=0,0,E36/C36)</f>
        <v>0.21508103752105728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395721318</v>
      </c>
      <c r="D37" s="448">
        <f>LN_IA17-LN_IA18</f>
        <v>496813523</v>
      </c>
      <c r="E37" s="448">
        <f>D37-C37</f>
        <v>101092205</v>
      </c>
      <c r="F37" s="449">
        <f>IF(C37=0,0,E37/C37)</f>
        <v>0.25546312619933204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183278407</v>
      </c>
      <c r="D42" s="448">
        <v>202120591</v>
      </c>
      <c r="E42" s="448">
        <f t="shared" ref="E42:E53" si="4">D42-C42</f>
        <v>18842184</v>
      </c>
      <c r="F42" s="449">
        <f t="shared" ref="F42:F53" si="5">IF(C42=0,0,E42/C42)</f>
        <v>0.10280634968635449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106817328</v>
      </c>
      <c r="D43" s="448">
        <v>111176594</v>
      </c>
      <c r="E43" s="448">
        <f t="shared" si="4"/>
        <v>4359266</v>
      </c>
      <c r="F43" s="449">
        <f t="shared" si="5"/>
        <v>4.081047599318343E-2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0.58281458109792494</v>
      </c>
      <c r="D44" s="453">
        <f>IF(LN_IB1=0,0,LN_IB2/LN_IB1)</f>
        <v>0.55005080605567791</v>
      </c>
      <c r="E44" s="454">
        <f t="shared" si="4"/>
        <v>-3.2763775042247034E-2</v>
      </c>
      <c r="F44" s="449">
        <f t="shared" si="5"/>
        <v>-5.6216464214957657E-2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6516</v>
      </c>
      <c r="D45" s="456">
        <v>6907</v>
      </c>
      <c r="E45" s="456">
        <f t="shared" si="4"/>
        <v>391</v>
      </c>
      <c r="F45" s="449">
        <f t="shared" si="5"/>
        <v>6.0006138735420503E-2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1.2868299999999999</v>
      </c>
      <c r="D46" s="459">
        <v>1.2779</v>
      </c>
      <c r="E46" s="460">
        <f t="shared" si="4"/>
        <v>-8.9299999999998825E-3</v>
      </c>
      <c r="F46" s="449">
        <f t="shared" si="5"/>
        <v>-6.9395335825244075E-3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8384.9842799999988</v>
      </c>
      <c r="D47" s="463">
        <f>LN_IB4*LN_IB5</f>
        <v>8826.4552999999996</v>
      </c>
      <c r="E47" s="463">
        <f t="shared" si="4"/>
        <v>441.47102000000086</v>
      </c>
      <c r="F47" s="449">
        <f t="shared" si="5"/>
        <v>5.2650190537984039E-2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12739.120841858037</v>
      </c>
      <c r="D48" s="465">
        <f>IF(LN_IB6=0,0,LN_IB2/LN_IB6)</f>
        <v>12595.837198654368</v>
      </c>
      <c r="E48" s="465">
        <f t="shared" si="4"/>
        <v>-143.28364320366927</v>
      </c>
      <c r="F48" s="449">
        <f t="shared" si="5"/>
        <v>-1.1247529949858844E-2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-5030.1211512373884</v>
      </c>
      <c r="D49" s="465">
        <f>LN_IA7-LN_IB7</f>
        <v>-4752.2041440488993</v>
      </c>
      <c r="E49" s="465">
        <f t="shared" si="4"/>
        <v>277.91700718848915</v>
      </c>
      <c r="F49" s="449">
        <f t="shared" si="5"/>
        <v>-5.5250559346890236E-2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-42177486.779620998</v>
      </c>
      <c r="D50" s="479">
        <f>LN_IB8*LN_IB6</f>
        <v>-41945117.453922369</v>
      </c>
      <c r="E50" s="479">
        <f t="shared" si="4"/>
        <v>232369.32569862902</v>
      </c>
      <c r="F50" s="449">
        <f t="shared" si="5"/>
        <v>-5.5093212858501441E-3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25667</v>
      </c>
      <c r="D51" s="456">
        <v>27386</v>
      </c>
      <c r="E51" s="456">
        <f t="shared" si="4"/>
        <v>1719</v>
      </c>
      <c r="F51" s="449">
        <f t="shared" si="5"/>
        <v>6.6973156192776717E-2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4161.6600303892155</v>
      </c>
      <c r="D52" s="465">
        <f>IF(LN_IB10=0,0,LN_IB2/LN_IB10)</f>
        <v>4059.6141824289784</v>
      </c>
      <c r="E52" s="465">
        <f t="shared" si="4"/>
        <v>-102.0458479602371</v>
      </c>
      <c r="F52" s="449">
        <f t="shared" si="5"/>
        <v>-2.4520467124916342E-2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3.939073050951504</v>
      </c>
      <c r="D53" s="466">
        <f>IF(LN_IB4=0,0,LN_IB10/LN_IB4)</f>
        <v>3.9649630809323875</v>
      </c>
      <c r="E53" s="466">
        <f t="shared" si="4"/>
        <v>2.5890029980883522E-2</v>
      </c>
      <c r="F53" s="449">
        <f t="shared" si="5"/>
        <v>6.5726199148882624E-3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351668489</v>
      </c>
      <c r="D56" s="448">
        <v>409408961</v>
      </c>
      <c r="E56" s="448">
        <f t="shared" ref="E56:E63" si="6">D56-C56</f>
        <v>57740472</v>
      </c>
      <c r="F56" s="449">
        <f t="shared" ref="F56:F63" si="7">IF(C56=0,0,E56/C56)</f>
        <v>0.16419006480845089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198670101</v>
      </c>
      <c r="D57" s="448">
        <v>220262320</v>
      </c>
      <c r="E57" s="448">
        <f t="shared" si="6"/>
        <v>21592219</v>
      </c>
      <c r="F57" s="449">
        <f t="shared" si="7"/>
        <v>0.10868378730023397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0.56493574833769089</v>
      </c>
      <c r="D58" s="453">
        <f>IF(LN_IB13=0,0,LN_IB14/LN_IB13)</f>
        <v>0.53800073027712747</v>
      </c>
      <c r="E58" s="454">
        <f t="shared" si="6"/>
        <v>-2.693501806056342E-2</v>
      </c>
      <c r="F58" s="449">
        <f t="shared" si="7"/>
        <v>-4.7678020270126339E-2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1.9187666171716562</v>
      </c>
      <c r="D59" s="453">
        <f>IF(LN_IB1=0,0,LN_IB13/LN_IB1)</f>
        <v>2.0255678007591023</v>
      </c>
      <c r="E59" s="454">
        <f t="shared" si="6"/>
        <v>0.10680118358744606</v>
      </c>
      <c r="F59" s="449">
        <f t="shared" si="7"/>
        <v>5.5661372587811411E-2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12502.683277490512</v>
      </c>
      <c r="D60" s="463">
        <f>LN_IB16*LN_IB4</f>
        <v>13990.596799843119</v>
      </c>
      <c r="E60" s="463">
        <f t="shared" si="6"/>
        <v>1487.9135223526064</v>
      </c>
      <c r="F60" s="449">
        <f t="shared" si="7"/>
        <v>0.11900753536893996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15890.197055353725</v>
      </c>
      <c r="D61" s="465">
        <f>IF(LN_IB17=0,0,LN_IB14/LN_IB17)</f>
        <v>15743.597156803909</v>
      </c>
      <c r="E61" s="465">
        <f t="shared" si="6"/>
        <v>-146.59989854981541</v>
      </c>
      <c r="F61" s="449">
        <f t="shared" si="7"/>
        <v>-9.2258074609857001E-3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-3723.0207227329411</v>
      </c>
      <c r="D62" s="465">
        <f>LN_IA16-LN_IB18</f>
        <v>-3616.1140542406738</v>
      </c>
      <c r="E62" s="465">
        <f t="shared" si="6"/>
        <v>106.90666849226727</v>
      </c>
      <c r="F62" s="449">
        <f t="shared" si="7"/>
        <v>-2.871503449859682E-2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-46547748.931863785</v>
      </c>
      <c r="D63" s="448">
        <f>LN_IB19*LN_IB17</f>
        <v>-50591593.715127297</v>
      </c>
      <c r="E63" s="448">
        <f t="shared" si="6"/>
        <v>-4043844.783263512</v>
      </c>
      <c r="F63" s="449">
        <f t="shared" si="7"/>
        <v>8.6875195386631021E-2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534946896</v>
      </c>
      <c r="D66" s="448">
        <f>LN_IB1+LN_IB13</f>
        <v>611529552</v>
      </c>
      <c r="E66" s="448">
        <f>D66-C66</f>
        <v>76582656</v>
      </c>
      <c r="F66" s="449">
        <f>IF(C66=0,0,E66/C66)</f>
        <v>0.1431593613733203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305487429</v>
      </c>
      <c r="D67" s="448">
        <f>LN_IB2+LN_IB14</f>
        <v>331438914</v>
      </c>
      <c r="E67" s="448">
        <f>D67-C67</f>
        <v>25951485</v>
      </c>
      <c r="F67" s="449">
        <f>IF(C67=0,0,E67/C67)</f>
        <v>8.4951073387703954E-2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229459467</v>
      </c>
      <c r="D68" s="448">
        <f>LN_IB21-LN_IB22</f>
        <v>280090638</v>
      </c>
      <c r="E68" s="448">
        <f>D68-C68</f>
        <v>50631171</v>
      </c>
      <c r="F68" s="449">
        <f>IF(C68=0,0,E68/C68)</f>
        <v>0.22065409486896437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-88725235.71148479</v>
      </c>
      <c r="D70" s="441">
        <f>LN_IB9+LN_IB20</f>
        <v>-92536711.169049665</v>
      </c>
      <c r="E70" s="448">
        <f>D70-C70</f>
        <v>-3811475.4575648755</v>
      </c>
      <c r="F70" s="449">
        <f>IF(C70=0,0,E70/C70)</f>
        <v>4.2958189144280963E-2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474922116</v>
      </c>
      <c r="D73" s="488">
        <v>535124832</v>
      </c>
      <c r="E73" s="488">
        <f>D73-C73</f>
        <v>60202716</v>
      </c>
      <c r="F73" s="489">
        <f>IF(C73=0,0,E73/C73)</f>
        <v>0.12676334491864347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289817237</v>
      </c>
      <c r="D74" s="488">
        <v>312135754</v>
      </c>
      <c r="E74" s="488">
        <f>D74-C74</f>
        <v>22318517</v>
      </c>
      <c r="F74" s="489">
        <f>IF(C74=0,0,E74/C74)</f>
        <v>7.7008935807361928E-2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185104879</v>
      </c>
      <c r="D76" s="441">
        <f>LN_IB32-LN_IB33</f>
        <v>222989078</v>
      </c>
      <c r="E76" s="488">
        <f>D76-C76</f>
        <v>37884199</v>
      </c>
      <c r="F76" s="489">
        <f>IF(E76=0,0,E76/C76)</f>
        <v>0.2046634275912306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0.3897583893524133</v>
      </c>
      <c r="D77" s="453">
        <f>IF(LN_IB32=0,0,LN_IB34/LN_IB32)</f>
        <v>0.4167047848753167</v>
      </c>
      <c r="E77" s="493">
        <f>D77-C77</f>
        <v>2.6946395522903399E-2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5087812</v>
      </c>
      <c r="D83" s="448">
        <v>9910178</v>
      </c>
      <c r="E83" s="448">
        <f t="shared" ref="E83:E95" si="8">D83-C83</f>
        <v>4822366</v>
      </c>
      <c r="F83" s="449">
        <f t="shared" ref="F83:F95" si="9">IF(C83=0,0,E83/C83)</f>
        <v>0.94782708166103624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1434850</v>
      </c>
      <c r="D84" s="448">
        <v>2378942</v>
      </c>
      <c r="E84" s="448">
        <f t="shared" si="8"/>
        <v>944092</v>
      </c>
      <c r="F84" s="449">
        <f t="shared" si="9"/>
        <v>0.65797261037739141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0.28201710283320219</v>
      </c>
      <c r="D85" s="453">
        <f>IF(LN_IC1=0,0,LN_IC2/LN_IC1)</f>
        <v>0.24005038052797842</v>
      </c>
      <c r="E85" s="454">
        <f t="shared" si="8"/>
        <v>-4.1966722305223775E-2</v>
      </c>
      <c r="F85" s="449">
        <f t="shared" si="9"/>
        <v>-0.1488091391749557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175</v>
      </c>
      <c r="D86" s="456">
        <v>306</v>
      </c>
      <c r="E86" s="456">
        <f t="shared" si="8"/>
        <v>131</v>
      </c>
      <c r="F86" s="449">
        <f t="shared" si="9"/>
        <v>0.74857142857142855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1.0898000000000001</v>
      </c>
      <c r="D87" s="459">
        <v>1.2467999999999999</v>
      </c>
      <c r="E87" s="460">
        <f t="shared" si="8"/>
        <v>0.15699999999999981</v>
      </c>
      <c r="F87" s="449">
        <f t="shared" si="9"/>
        <v>0.14406313084969699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190.71500000000003</v>
      </c>
      <c r="D88" s="463">
        <f>LN_IC4*LN_IC5</f>
        <v>381.52079999999995</v>
      </c>
      <c r="E88" s="463">
        <f t="shared" si="8"/>
        <v>190.80579999999992</v>
      </c>
      <c r="F88" s="449">
        <f t="shared" si="9"/>
        <v>1.0004761030857556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7523.5298744199445</v>
      </c>
      <c r="D89" s="465">
        <f>IF(LN_IC6=0,0,LN_IC2/LN_IC6)</f>
        <v>6235.418881486934</v>
      </c>
      <c r="E89" s="465">
        <f t="shared" si="8"/>
        <v>-1288.1109929330105</v>
      </c>
      <c r="F89" s="449">
        <f t="shared" si="9"/>
        <v>-0.17121098931401829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5215.5909674380928</v>
      </c>
      <c r="D90" s="465">
        <f>LN_IB7-LN_IC7</f>
        <v>6360.418317167434</v>
      </c>
      <c r="E90" s="465">
        <f t="shared" si="8"/>
        <v>1144.8273497293412</v>
      </c>
      <c r="F90" s="449">
        <f t="shared" si="9"/>
        <v>0.21950098404508941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185.46981620070437</v>
      </c>
      <c r="D91" s="465">
        <f>LN_IA7-LN_IC7</f>
        <v>1608.2141731185347</v>
      </c>
      <c r="E91" s="465">
        <f t="shared" si="8"/>
        <v>1422.7443569178304</v>
      </c>
      <c r="F91" s="449">
        <f t="shared" si="9"/>
        <v>7.6710290982238387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35371.875996717339</v>
      </c>
      <c r="D92" s="441">
        <f>LN_IC9*LN_IC6</f>
        <v>613567.15789952176</v>
      </c>
      <c r="E92" s="441">
        <f t="shared" si="8"/>
        <v>578195.28190280439</v>
      </c>
      <c r="F92" s="449">
        <f t="shared" si="9"/>
        <v>16.346186500158016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669</v>
      </c>
      <c r="D93" s="456">
        <v>1267</v>
      </c>
      <c r="E93" s="456">
        <f t="shared" si="8"/>
        <v>598</v>
      </c>
      <c r="F93" s="449">
        <f t="shared" si="9"/>
        <v>0.89387144992526157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2144.7683109118088</v>
      </c>
      <c r="D94" s="499">
        <f>IF(LN_IC11=0,0,LN_IC2/LN_IC11)</f>
        <v>1877.617995264404</v>
      </c>
      <c r="E94" s="499">
        <f t="shared" si="8"/>
        <v>-267.1503156474048</v>
      </c>
      <c r="F94" s="449">
        <f t="shared" si="9"/>
        <v>-0.12455905576758114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3.822857142857143</v>
      </c>
      <c r="D95" s="466">
        <f>IF(LN_IC4=0,0,LN_IC11/LN_IC4)</f>
        <v>4.1405228758169939</v>
      </c>
      <c r="E95" s="466">
        <f t="shared" si="8"/>
        <v>0.3176657329598509</v>
      </c>
      <c r="F95" s="449">
        <f t="shared" si="9"/>
        <v>8.3096417440917641E-2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27396274</v>
      </c>
      <c r="D98" s="448">
        <v>32278519</v>
      </c>
      <c r="E98" s="448">
        <f t="shared" ref="E98:E106" si="10">D98-C98</f>
        <v>4882245</v>
      </c>
      <c r="F98" s="449">
        <f t="shared" ref="F98:F106" si="11">IF(C98=0,0,E98/C98)</f>
        <v>0.17820835782267325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7726218</v>
      </c>
      <c r="D99" s="448">
        <v>7748473</v>
      </c>
      <c r="E99" s="448">
        <f t="shared" si="10"/>
        <v>22255</v>
      </c>
      <c r="F99" s="449">
        <f t="shared" si="11"/>
        <v>2.8804519882819771E-3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0.28201710933391894</v>
      </c>
      <c r="D100" s="453">
        <f>IF(LN_IC14=0,0,LN_IC15/LN_IC14)</f>
        <v>0.2400504496504316</v>
      </c>
      <c r="E100" s="454">
        <f t="shared" si="10"/>
        <v>-4.196665968348734E-2</v>
      </c>
      <c r="F100" s="449">
        <f t="shared" si="11"/>
        <v>-0.14880891369536459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5.3846867769485192</v>
      </c>
      <c r="D101" s="453">
        <f>IF(LN_IC1=0,0,LN_IC14/LN_IC1)</f>
        <v>3.2571078945302494</v>
      </c>
      <c r="E101" s="454">
        <f t="shared" si="10"/>
        <v>-2.1275788824182698</v>
      </c>
      <c r="F101" s="449">
        <f t="shared" si="11"/>
        <v>-0.39511655376618959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942.32018596599085</v>
      </c>
      <c r="D102" s="463">
        <f>LN_IC17*LN_IC4</f>
        <v>996.67501572625633</v>
      </c>
      <c r="E102" s="463">
        <f t="shared" si="10"/>
        <v>54.354829760265488</v>
      </c>
      <c r="F102" s="449">
        <f t="shared" si="11"/>
        <v>5.7681911700262781E-2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8199.1430461395703</v>
      </c>
      <c r="D103" s="465">
        <f>IF(LN_IC18=0,0,LN_IC15/LN_IC18)</f>
        <v>7774.3225000516832</v>
      </c>
      <c r="E103" s="465">
        <f t="shared" si="10"/>
        <v>-424.82054608788712</v>
      </c>
      <c r="F103" s="449">
        <f t="shared" si="11"/>
        <v>-5.1812798447016584E-2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7691.0540092141546</v>
      </c>
      <c r="D104" s="465">
        <f>LN_IB18-LN_IC19</f>
        <v>7969.2746567522263</v>
      </c>
      <c r="E104" s="465">
        <f t="shared" si="10"/>
        <v>278.22064753807172</v>
      </c>
      <c r="F104" s="449">
        <f t="shared" si="11"/>
        <v>3.6174579869645118E-2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3968.0332864812135</v>
      </c>
      <c r="D105" s="465">
        <f>LN_IA16-LN_IC19</f>
        <v>4353.1606025115525</v>
      </c>
      <c r="E105" s="465">
        <f t="shared" si="10"/>
        <v>385.12731603033899</v>
      </c>
      <c r="F105" s="449">
        <f t="shared" si="11"/>
        <v>9.7057481181531E-2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3739157.864436219</v>
      </c>
      <c r="D106" s="448">
        <f>LN_IC21*LN_IC18</f>
        <v>4338686.4119671211</v>
      </c>
      <c r="E106" s="448">
        <f t="shared" si="10"/>
        <v>599528.54753090208</v>
      </c>
      <c r="F106" s="449">
        <f t="shared" si="11"/>
        <v>0.16033785394115677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32484086</v>
      </c>
      <c r="D109" s="448">
        <f>LN_IC1+LN_IC14</f>
        <v>42188697</v>
      </c>
      <c r="E109" s="448">
        <f>D109-C109</f>
        <v>9704611</v>
      </c>
      <c r="F109" s="449">
        <f>IF(C109=0,0,E109/C109)</f>
        <v>0.29874970162312708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9161068</v>
      </c>
      <c r="D110" s="448">
        <f>LN_IC2+LN_IC15</f>
        <v>10127415</v>
      </c>
      <c r="E110" s="448">
        <f>D110-C110</f>
        <v>966347</v>
      </c>
      <c r="F110" s="449">
        <f>IF(C110=0,0,E110/C110)</f>
        <v>0.10548409857889932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23323018</v>
      </c>
      <c r="D111" s="448">
        <f>LN_IC23-LN_IC24</f>
        <v>32061282</v>
      </c>
      <c r="E111" s="448">
        <f>D111-C111</f>
        <v>8738264</v>
      </c>
      <c r="F111" s="449">
        <f>IF(C111=0,0,E111/C111)</f>
        <v>0.37466266158179012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3774529.7404329362</v>
      </c>
      <c r="D113" s="448">
        <f>LN_IC10+LN_IC22</f>
        <v>4952253.5698666424</v>
      </c>
      <c r="E113" s="448">
        <f>D113-C113</f>
        <v>1177723.8294337061</v>
      </c>
      <c r="F113" s="449">
        <f>IF(C113=0,0,E113/C113)</f>
        <v>0.31201869118101633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82813766</v>
      </c>
      <c r="D118" s="448">
        <v>89456723</v>
      </c>
      <c r="E118" s="448">
        <f t="shared" ref="E118:E130" si="12">D118-C118</f>
        <v>6642957</v>
      </c>
      <c r="F118" s="449">
        <f t="shared" ref="F118:F130" si="13">IF(C118=0,0,E118/C118)</f>
        <v>8.0215612945316359E-2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16004723</v>
      </c>
      <c r="D119" s="448">
        <v>18192797</v>
      </c>
      <c r="E119" s="448">
        <f t="shared" si="12"/>
        <v>2188074</v>
      </c>
      <c r="F119" s="449">
        <f t="shared" si="13"/>
        <v>0.13671426865682088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0.19326162512643127</v>
      </c>
      <c r="D120" s="453">
        <f>IF(LN_ID1=0,0,LN_1D2/LN_ID1)</f>
        <v>0.20336981268585033</v>
      </c>
      <c r="E120" s="454">
        <f t="shared" si="12"/>
        <v>1.0108187559419057E-2</v>
      </c>
      <c r="F120" s="449">
        <f t="shared" si="13"/>
        <v>5.2303128222202969E-2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3241</v>
      </c>
      <c r="D121" s="456">
        <v>3528</v>
      </c>
      <c r="E121" s="456">
        <f t="shared" si="12"/>
        <v>287</v>
      </c>
      <c r="F121" s="449">
        <f t="shared" si="13"/>
        <v>8.8552915766738655E-2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1.0599000000000001</v>
      </c>
      <c r="D122" s="459">
        <v>1.0754999999999999</v>
      </c>
      <c r="E122" s="460">
        <f t="shared" si="12"/>
        <v>1.5599999999999836E-2</v>
      </c>
      <c r="F122" s="449">
        <f t="shared" si="13"/>
        <v>1.4718369657514704E-2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3435.1359000000002</v>
      </c>
      <c r="D123" s="463">
        <f>LN_ID4*LN_ID5</f>
        <v>3794.3639999999996</v>
      </c>
      <c r="E123" s="463">
        <f t="shared" si="12"/>
        <v>359.22809999999936</v>
      </c>
      <c r="F123" s="449">
        <f t="shared" si="13"/>
        <v>0.10457463997275897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4659.1236754272222</v>
      </c>
      <c r="D124" s="465">
        <f>IF(LN_ID6=0,0,LN_1D2/LN_ID6)</f>
        <v>4794.6894393895791</v>
      </c>
      <c r="E124" s="465">
        <f t="shared" si="12"/>
        <v>135.56576396235687</v>
      </c>
      <c r="F124" s="449">
        <f t="shared" si="13"/>
        <v>2.9096837389689177E-2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8079.997166430815</v>
      </c>
      <c r="D125" s="465">
        <f>LN_IB7-LN_ID7</f>
        <v>7801.1477592647889</v>
      </c>
      <c r="E125" s="465">
        <f t="shared" si="12"/>
        <v>-278.84940716602614</v>
      </c>
      <c r="F125" s="449">
        <f t="shared" si="13"/>
        <v>-3.451107734598409E-2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3049.8760151934266</v>
      </c>
      <c r="D126" s="465">
        <f>LN_IA7-LN_ID7</f>
        <v>3048.9436152158896</v>
      </c>
      <c r="E126" s="465">
        <f t="shared" si="12"/>
        <v>-0.93239997753698844</v>
      </c>
      <c r="F126" s="449">
        <f t="shared" si="13"/>
        <v>-3.0571733830886714E-4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10476738.590339886</v>
      </c>
      <c r="D127" s="479">
        <f>LN_ID9*LN_ID6</f>
        <v>11568801.891605023</v>
      </c>
      <c r="E127" s="479">
        <f t="shared" si="12"/>
        <v>1092063.3012651373</v>
      </c>
      <c r="F127" s="449">
        <f t="shared" si="13"/>
        <v>0.10423695235386307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15608</v>
      </c>
      <c r="D128" s="456">
        <v>15997</v>
      </c>
      <c r="E128" s="456">
        <f t="shared" si="12"/>
        <v>389</v>
      </c>
      <c r="F128" s="449">
        <f t="shared" si="13"/>
        <v>2.4923116350589442E-2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1025.4179267042543</v>
      </c>
      <c r="D129" s="465">
        <f>IF(LN_ID11=0,0,LN_1D2/LN_ID11)</f>
        <v>1137.2630493217478</v>
      </c>
      <c r="E129" s="465">
        <f t="shared" si="12"/>
        <v>111.84512261749342</v>
      </c>
      <c r="F129" s="449">
        <f t="shared" si="13"/>
        <v>0.1090727202097679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4.8157975933353905</v>
      </c>
      <c r="D130" s="466">
        <f>IF(LN_ID4=0,0,LN_ID11/LN_ID4)</f>
        <v>4.5342970521541952</v>
      </c>
      <c r="E130" s="466">
        <f t="shared" si="12"/>
        <v>-0.28150054118119527</v>
      </c>
      <c r="F130" s="449">
        <f t="shared" si="13"/>
        <v>-5.8453565733486278E-2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91319956</v>
      </c>
      <c r="D133" s="448">
        <v>118372145</v>
      </c>
      <c r="E133" s="448">
        <f t="shared" ref="E133:E141" si="14">D133-C133</f>
        <v>27052189</v>
      </c>
      <c r="F133" s="449">
        <f t="shared" ref="F133:F141" si="15">IF(C133=0,0,E133/C133)</f>
        <v>0.29623523909713667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17890099</v>
      </c>
      <c r="D134" s="448">
        <v>24165250</v>
      </c>
      <c r="E134" s="448">
        <f t="shared" si="14"/>
        <v>6275151</v>
      </c>
      <c r="F134" s="449">
        <f t="shared" si="15"/>
        <v>0.35076111093627821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0.19590569009910605</v>
      </c>
      <c r="D135" s="453">
        <f>IF(LN_ID14=0,0,LN_ID15/LN_ID14)</f>
        <v>0.20414642313020517</v>
      </c>
      <c r="E135" s="454">
        <f t="shared" si="14"/>
        <v>8.2407330310991234E-3</v>
      </c>
      <c r="F135" s="449">
        <f t="shared" si="15"/>
        <v>4.2064796724026993E-2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1.1027146863481609</v>
      </c>
      <c r="D136" s="453">
        <f>IF(LN_ID1=0,0,LN_ID14/LN_ID1)</f>
        <v>1.3232336377893028</v>
      </c>
      <c r="E136" s="454">
        <f t="shared" si="14"/>
        <v>0.22051895144114186</v>
      </c>
      <c r="F136" s="449">
        <f t="shared" si="15"/>
        <v>0.199978248382118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3573.8982984543895</v>
      </c>
      <c r="D137" s="463">
        <f>LN_ID17*LN_ID4</f>
        <v>4668.3682741206603</v>
      </c>
      <c r="E137" s="463">
        <f t="shared" si="14"/>
        <v>1094.4699756662708</v>
      </c>
      <c r="F137" s="449">
        <f t="shared" si="15"/>
        <v>0.30623982113301834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5005.7661147596073</v>
      </c>
      <c r="D138" s="465">
        <f>IF(LN_ID18=0,0,LN_ID15/LN_ID18)</f>
        <v>5176.3803926869496</v>
      </c>
      <c r="E138" s="465">
        <f t="shared" si="14"/>
        <v>170.6142779273423</v>
      </c>
      <c r="F138" s="449">
        <f t="shared" si="15"/>
        <v>3.4083549653724829E-2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10884.430940594117</v>
      </c>
      <c r="D139" s="465">
        <f>LN_IB18-LN_ID19</f>
        <v>10567.21676411696</v>
      </c>
      <c r="E139" s="465">
        <f t="shared" si="14"/>
        <v>-317.2141764771568</v>
      </c>
      <c r="F139" s="449">
        <f t="shared" si="15"/>
        <v>-2.9143845756243271E-2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7161.4102178611765</v>
      </c>
      <c r="D140" s="465">
        <f>LN_IA16-LN_ID19</f>
        <v>6951.1027098762861</v>
      </c>
      <c r="E140" s="465">
        <f t="shared" si="14"/>
        <v>-210.30750798489044</v>
      </c>
      <c r="F140" s="449">
        <f t="shared" si="15"/>
        <v>-2.9366772966079407E-2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25594151.792147938</v>
      </c>
      <c r="D141" s="441">
        <f>LN_ID21*LN_ID18</f>
        <v>32450307.360940602</v>
      </c>
      <c r="E141" s="441">
        <f t="shared" si="14"/>
        <v>6856155.5687926635</v>
      </c>
      <c r="F141" s="449">
        <f t="shared" si="15"/>
        <v>0.26787977286655273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174133722</v>
      </c>
      <c r="D144" s="448">
        <f>LN_ID1+LN_ID14</f>
        <v>207828868</v>
      </c>
      <c r="E144" s="448">
        <f>D144-C144</f>
        <v>33695146</v>
      </c>
      <c r="F144" s="449">
        <f>IF(C144=0,0,E144/C144)</f>
        <v>0.19350155508649841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33894822</v>
      </c>
      <c r="D145" s="448">
        <f>LN_1D2+LN_ID15</f>
        <v>42358047</v>
      </c>
      <c r="E145" s="448">
        <f>D145-C145</f>
        <v>8463225</v>
      </c>
      <c r="F145" s="449">
        <f>IF(C145=0,0,E145/C145)</f>
        <v>0.24969079347872072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140238900</v>
      </c>
      <c r="D146" s="448">
        <f>LN_ID23-LN_ID24</f>
        <v>165470821</v>
      </c>
      <c r="E146" s="448">
        <f>D146-C146</f>
        <v>25231921</v>
      </c>
      <c r="F146" s="449">
        <f>IF(C146=0,0,E146/C146)</f>
        <v>0.17992098483373728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36070890.382487826</v>
      </c>
      <c r="D148" s="448">
        <f>LN_ID10+LN_ID22</f>
        <v>44019109.252545625</v>
      </c>
      <c r="E148" s="448">
        <f>D148-C148</f>
        <v>7948218.8700577989</v>
      </c>
      <c r="F148" s="503">
        <f>IF(C148=0,0,E148/C148)</f>
        <v>0.22034994938513094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1801822</v>
      </c>
      <c r="D153" s="448">
        <v>2859982</v>
      </c>
      <c r="E153" s="448">
        <f t="shared" ref="E153:E165" si="16">D153-C153</f>
        <v>1058160</v>
      </c>
      <c r="F153" s="449">
        <f t="shared" ref="F153:F165" si="17">IF(C153=0,0,E153/C153)</f>
        <v>0.58727221667845109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491371</v>
      </c>
      <c r="D154" s="448">
        <v>597623</v>
      </c>
      <c r="E154" s="448">
        <f t="shared" si="16"/>
        <v>106252</v>
      </c>
      <c r="F154" s="449">
        <f t="shared" si="17"/>
        <v>0.21623579739138044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0.27270784794502456</v>
      </c>
      <c r="D155" s="453">
        <f>IF(LN_IE1=0,0,LN_IE2/LN_IE1)</f>
        <v>0.20896040604451357</v>
      </c>
      <c r="E155" s="454">
        <f t="shared" si="16"/>
        <v>-6.3747441900510987E-2</v>
      </c>
      <c r="F155" s="449">
        <f t="shared" si="17"/>
        <v>-0.23375726947675482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54</v>
      </c>
      <c r="D156" s="506">
        <v>66</v>
      </c>
      <c r="E156" s="506">
        <f t="shared" si="16"/>
        <v>12</v>
      </c>
      <c r="F156" s="449">
        <f t="shared" si="17"/>
        <v>0.22222222222222221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1.0643</v>
      </c>
      <c r="D157" s="459">
        <v>1.4732000000000001</v>
      </c>
      <c r="E157" s="460">
        <f t="shared" si="16"/>
        <v>0.40890000000000004</v>
      </c>
      <c r="F157" s="449">
        <f t="shared" si="17"/>
        <v>0.38419618528610355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57.472200000000001</v>
      </c>
      <c r="D158" s="463">
        <f>LN_IE4*LN_IE5</f>
        <v>97.231200000000001</v>
      </c>
      <c r="E158" s="463">
        <f t="shared" si="16"/>
        <v>39.759</v>
      </c>
      <c r="F158" s="449">
        <f t="shared" si="17"/>
        <v>0.69179533757190437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8549.7162106200904</v>
      </c>
      <c r="D159" s="465">
        <f>IF(LN_IE6=0,0,LN_IE2/LN_IE6)</f>
        <v>6146.4118513398989</v>
      </c>
      <c r="E159" s="465">
        <f t="shared" si="16"/>
        <v>-2403.3043592801914</v>
      </c>
      <c r="F159" s="449">
        <f t="shared" si="17"/>
        <v>-0.28109755927277563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4189.4046312379469</v>
      </c>
      <c r="D160" s="465">
        <f>LN_IB7-LN_IE7</f>
        <v>6449.425347314469</v>
      </c>
      <c r="E160" s="465">
        <f t="shared" si="16"/>
        <v>2260.0207160765221</v>
      </c>
      <c r="F160" s="449">
        <f t="shared" si="17"/>
        <v>0.53946107263663812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-840.71651999944152</v>
      </c>
      <c r="D161" s="465">
        <f>LN_IA7-LN_IE7</f>
        <v>1697.2212032655698</v>
      </c>
      <c r="E161" s="465">
        <f t="shared" si="16"/>
        <v>2537.9377232650113</v>
      </c>
      <c r="F161" s="449">
        <f t="shared" si="17"/>
        <v>-3.0187794136205355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-48317.827980711903</v>
      </c>
      <c r="D162" s="479">
        <f>LN_IE9*LN_IE6</f>
        <v>165022.85425895528</v>
      </c>
      <c r="E162" s="479">
        <f t="shared" si="16"/>
        <v>213340.68223966719</v>
      </c>
      <c r="F162" s="449">
        <f t="shared" si="17"/>
        <v>-4.4153615995493656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330</v>
      </c>
      <c r="D163" s="456">
        <v>364</v>
      </c>
      <c r="E163" s="506">
        <f t="shared" si="16"/>
        <v>34</v>
      </c>
      <c r="F163" s="449">
        <f t="shared" si="17"/>
        <v>0.10303030303030303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1489.0030303030303</v>
      </c>
      <c r="D164" s="465">
        <f>IF(LN_IE11=0,0,LN_IE2/LN_IE11)</f>
        <v>1641.8214285714287</v>
      </c>
      <c r="E164" s="465">
        <f t="shared" si="16"/>
        <v>152.81839826839837</v>
      </c>
      <c r="F164" s="449">
        <f t="shared" si="17"/>
        <v>0.10263135477789992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6.1111111111111107</v>
      </c>
      <c r="D165" s="466">
        <f>IF(LN_IE4=0,0,LN_IE11/LN_IE4)</f>
        <v>5.5151515151515156</v>
      </c>
      <c r="E165" s="466">
        <f t="shared" si="16"/>
        <v>-0.59595959595959513</v>
      </c>
      <c r="F165" s="449">
        <f t="shared" si="17"/>
        <v>-9.7520661157024666E-2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988288</v>
      </c>
      <c r="D168" s="511">
        <v>1990730</v>
      </c>
      <c r="E168" s="511">
        <f t="shared" ref="E168:E176" si="18">D168-C168</f>
        <v>1002442</v>
      </c>
      <c r="F168" s="449">
        <f t="shared" ref="F168:F176" si="19">IF(C168=0,0,E168/C168)</f>
        <v>1.0143217361740706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105704</v>
      </c>
      <c r="D169" s="511">
        <v>333771</v>
      </c>
      <c r="E169" s="511">
        <f t="shared" si="18"/>
        <v>228067</v>
      </c>
      <c r="F169" s="449">
        <f t="shared" si="19"/>
        <v>2.1576004692348443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0.10695667659629582</v>
      </c>
      <c r="D170" s="453">
        <f>IF(LN_IE14=0,0,LN_IE15/LN_IE14)</f>
        <v>0.16766261622620848</v>
      </c>
      <c r="E170" s="454">
        <f t="shared" si="18"/>
        <v>6.0705939629912664E-2</v>
      </c>
      <c r="F170" s="449">
        <f t="shared" si="19"/>
        <v>0.56757503656405739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0.54849369138571957</v>
      </c>
      <c r="D171" s="453">
        <f>IF(LN_IE1=0,0,LN_IE14/LN_IE1)</f>
        <v>0.696063821380694</v>
      </c>
      <c r="E171" s="454">
        <f t="shared" si="18"/>
        <v>0.14757012999497443</v>
      </c>
      <c r="F171" s="449">
        <f t="shared" si="19"/>
        <v>0.26904617557615274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29.618659334828855</v>
      </c>
      <c r="D172" s="463">
        <f>LN_IE17*LN_IE4</f>
        <v>45.940212211125804</v>
      </c>
      <c r="E172" s="463">
        <f t="shared" si="18"/>
        <v>16.321552876296948</v>
      </c>
      <c r="F172" s="449">
        <f t="shared" si="19"/>
        <v>0.55105643681529781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3568.8313507053876</v>
      </c>
      <c r="D173" s="465">
        <f>IF(LN_IE18=0,0,LN_IE15/LN_IE18)</f>
        <v>7265.334310300972</v>
      </c>
      <c r="E173" s="465">
        <f t="shared" si="18"/>
        <v>3696.5029595955843</v>
      </c>
      <c r="F173" s="449">
        <f t="shared" si="19"/>
        <v>1.0357740661701378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12321.365704648337</v>
      </c>
      <c r="D174" s="465">
        <f>LN_IB18-LN_IE19</f>
        <v>8478.2628465029375</v>
      </c>
      <c r="E174" s="465">
        <f t="shared" si="18"/>
        <v>-3843.1028581453993</v>
      </c>
      <c r="F174" s="449">
        <f t="shared" si="19"/>
        <v>-0.31190559149588076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8598.3449819153957</v>
      </c>
      <c r="D175" s="465">
        <f>LN_IA16-LN_IE19</f>
        <v>4862.1487922622637</v>
      </c>
      <c r="E175" s="465">
        <f t="shared" si="18"/>
        <v>-3736.196189653132</v>
      </c>
      <c r="F175" s="449">
        <f t="shared" si="19"/>
        <v>-0.43452503912222007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254671.45086268728</v>
      </c>
      <c r="D176" s="441">
        <f>LN_IE21*LN_IE18</f>
        <v>223368.14731859742</v>
      </c>
      <c r="E176" s="441">
        <f t="shared" si="18"/>
        <v>-31303.303544089868</v>
      </c>
      <c r="F176" s="449">
        <f t="shared" si="19"/>
        <v>-0.12291642207264078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2790110</v>
      </c>
      <c r="D179" s="448">
        <f>LN_IE1+LN_IE14</f>
        <v>4850712</v>
      </c>
      <c r="E179" s="448">
        <f>D179-C179</f>
        <v>2060602</v>
      </c>
      <c r="F179" s="449">
        <f>IF(C179=0,0,E179/C179)</f>
        <v>0.73853790710760503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597075</v>
      </c>
      <c r="D180" s="448">
        <f>LN_IE15+LN_IE2</f>
        <v>931394</v>
      </c>
      <c r="E180" s="448">
        <f>D180-C180</f>
        <v>334319</v>
      </c>
      <c r="F180" s="449">
        <f>IF(C180=0,0,E180/C180)</f>
        <v>0.55992798224678642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2193035</v>
      </c>
      <c r="D181" s="448">
        <f>LN_IE23-LN_IE24</f>
        <v>3919318</v>
      </c>
      <c r="E181" s="448">
        <f>D181-C181</f>
        <v>1726283</v>
      </c>
      <c r="F181" s="449">
        <f>IF(C181=0,0,E181/C181)</f>
        <v>0.7871661874981476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206353.62288197537</v>
      </c>
      <c r="D183" s="448">
        <f>LN_IE10+LN_IE22</f>
        <v>388391.0015775527</v>
      </c>
      <c r="E183" s="441">
        <f>D183-C183</f>
        <v>182037.37869557732</v>
      </c>
      <c r="F183" s="449">
        <f>IF(C183=0,0,E183/C183)</f>
        <v>0.88216226181642665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84615588</v>
      </c>
      <c r="D188" s="448">
        <f>LN_ID1+LN_IE1</f>
        <v>92316705</v>
      </c>
      <c r="E188" s="448">
        <f t="shared" ref="E188:E200" si="20">D188-C188</f>
        <v>7701117</v>
      </c>
      <c r="F188" s="449">
        <f t="shared" ref="F188:F200" si="21">IF(C188=0,0,E188/C188)</f>
        <v>9.1012982146977464E-2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16496094</v>
      </c>
      <c r="D189" s="448">
        <f>LN_1D2+LN_IE2</f>
        <v>18790420</v>
      </c>
      <c r="E189" s="448">
        <f t="shared" si="20"/>
        <v>2294326</v>
      </c>
      <c r="F189" s="449">
        <f t="shared" si="21"/>
        <v>0.13908298534186336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0.19495336958480983</v>
      </c>
      <c r="D190" s="453">
        <f>IF(LN_IF1=0,0,LN_IF2/LN_IF1)</f>
        <v>0.20354300990270396</v>
      </c>
      <c r="E190" s="454">
        <f t="shared" si="20"/>
        <v>8.5896403178941372E-3</v>
      </c>
      <c r="F190" s="449">
        <f t="shared" si="21"/>
        <v>4.4059973603879768E-2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3295</v>
      </c>
      <c r="D191" s="456">
        <f>LN_ID4+LN_IE4</f>
        <v>3594</v>
      </c>
      <c r="E191" s="456">
        <f t="shared" si="20"/>
        <v>299</v>
      </c>
      <c r="F191" s="449">
        <f t="shared" si="21"/>
        <v>9.0743550834597869E-2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1.0599721092564494</v>
      </c>
      <c r="D192" s="459">
        <f>IF((LN_ID4+LN_IE4)=0,0,(LN_ID6+LN_IE6)/(LN_ID4+LN_IE4))</f>
        <v>1.0828033388981635</v>
      </c>
      <c r="E192" s="460">
        <f t="shared" si="20"/>
        <v>2.2831229641714135E-2</v>
      </c>
      <c r="F192" s="449">
        <f t="shared" si="21"/>
        <v>2.1539462635228972E-2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3492.6081000000004</v>
      </c>
      <c r="D193" s="463">
        <f>LN_IF4*LN_IF5</f>
        <v>3891.5951999999997</v>
      </c>
      <c r="E193" s="463">
        <f t="shared" si="20"/>
        <v>398.98709999999937</v>
      </c>
      <c r="F193" s="449">
        <f t="shared" si="21"/>
        <v>0.1142375807924168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4723.144861285753</v>
      </c>
      <c r="D194" s="465">
        <f>IF(LN_IF6=0,0,LN_IF2/LN_IF6)</f>
        <v>4828.4621175398715</v>
      </c>
      <c r="E194" s="465">
        <f t="shared" si="20"/>
        <v>105.31725625411855</v>
      </c>
      <c r="F194" s="449">
        <f t="shared" si="21"/>
        <v>2.2298121134791675E-2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8015.9759805722842</v>
      </c>
      <c r="D195" s="465">
        <f>LN_IB7-LN_IF7</f>
        <v>7767.3750811144964</v>
      </c>
      <c r="E195" s="465">
        <f t="shared" si="20"/>
        <v>-248.60089945778782</v>
      </c>
      <c r="F195" s="449">
        <f t="shared" si="21"/>
        <v>-3.1013179188698052E-2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2985.8548293348958</v>
      </c>
      <c r="D196" s="465">
        <f>LN_IA7-LN_IF7</f>
        <v>3015.1709370655972</v>
      </c>
      <c r="E196" s="465">
        <f t="shared" si="20"/>
        <v>29.316107730701333</v>
      </c>
      <c r="F196" s="449">
        <f t="shared" si="21"/>
        <v>9.8183298942338543E-3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10428420.762359174</v>
      </c>
      <c r="D197" s="479">
        <f>LN_IF9*LN_IF6</f>
        <v>11733824.74586398</v>
      </c>
      <c r="E197" s="479">
        <f t="shared" si="20"/>
        <v>1305403.9835048057</v>
      </c>
      <c r="F197" s="449">
        <f t="shared" si="21"/>
        <v>0.12517753294119005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15938</v>
      </c>
      <c r="D198" s="456">
        <f>LN_ID11+LN_IE11</f>
        <v>16361</v>
      </c>
      <c r="E198" s="456">
        <f t="shared" si="20"/>
        <v>423</v>
      </c>
      <c r="F198" s="449">
        <f t="shared" si="21"/>
        <v>2.6540343832350356E-2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1035.0165641862216</v>
      </c>
      <c r="D199" s="519">
        <f>IF(LN_IF11=0,0,LN_IF2/LN_IF11)</f>
        <v>1148.4884786993459</v>
      </c>
      <c r="E199" s="519">
        <f t="shared" si="20"/>
        <v>113.47191451312437</v>
      </c>
      <c r="F199" s="449">
        <f t="shared" si="21"/>
        <v>0.10963294544212565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4.8370257966616084</v>
      </c>
      <c r="D200" s="466">
        <f>IF(LN_IF4=0,0,LN_IF11/LN_IF4)</f>
        <v>4.5523094045631609</v>
      </c>
      <c r="E200" s="466">
        <f t="shared" si="20"/>
        <v>-0.28471639209844746</v>
      </c>
      <c r="F200" s="449">
        <f t="shared" si="21"/>
        <v>-5.8861871750808405E-2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92308244</v>
      </c>
      <c r="D203" s="448">
        <f>LN_ID14+LN_IE14</f>
        <v>120362875</v>
      </c>
      <c r="E203" s="448">
        <f t="shared" ref="E203:E211" si="22">D203-C203</f>
        <v>28054631</v>
      </c>
      <c r="F203" s="449">
        <f t="shared" ref="F203:F211" si="23">IF(C203=0,0,E203/C203)</f>
        <v>0.30392335271809523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17995803</v>
      </c>
      <c r="D204" s="448">
        <f>LN_ID15+LN_IE15</f>
        <v>24499021</v>
      </c>
      <c r="E204" s="448">
        <f t="shared" si="22"/>
        <v>6503218</v>
      </c>
      <c r="F204" s="449">
        <f t="shared" si="23"/>
        <v>0.36137414929469941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0.19495336732870794</v>
      </c>
      <c r="D205" s="453">
        <f>IF(LN_IF14=0,0,LN_IF15/LN_IF14)</f>
        <v>0.2035430027739035</v>
      </c>
      <c r="E205" s="454">
        <f t="shared" si="22"/>
        <v>8.5896354451955592E-3</v>
      </c>
      <c r="F205" s="449">
        <f t="shared" si="23"/>
        <v>4.4059949119589735E-2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1.0909129887509617</v>
      </c>
      <c r="D206" s="453">
        <f>IF(LN_IF1=0,0,LN_IF14/LN_IF1)</f>
        <v>1.3038038456853502</v>
      </c>
      <c r="E206" s="454">
        <f t="shared" si="22"/>
        <v>0.21289085693438858</v>
      </c>
      <c r="F206" s="449">
        <f t="shared" si="23"/>
        <v>0.19514925491733073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3603.5169577892184</v>
      </c>
      <c r="D207" s="463">
        <f>LN_ID18+LN_IE18</f>
        <v>4714.3084863317863</v>
      </c>
      <c r="E207" s="463">
        <f t="shared" si="22"/>
        <v>1110.7915285425679</v>
      </c>
      <c r="F207" s="449">
        <f t="shared" si="23"/>
        <v>0.30825206084892298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4993.9554082300047</v>
      </c>
      <c r="D208" s="465">
        <f>IF(LN_IF18=0,0,LN_IF15/LN_IF18)</f>
        <v>5196.736927808206</v>
      </c>
      <c r="E208" s="465">
        <f t="shared" si="22"/>
        <v>202.78151957820137</v>
      </c>
      <c r="F208" s="449">
        <f t="shared" si="23"/>
        <v>4.0605392519928951E-2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10896.241647123719</v>
      </c>
      <c r="D209" s="465">
        <f>LN_IB18-LN_IF19</f>
        <v>10546.860228995703</v>
      </c>
      <c r="E209" s="465">
        <f t="shared" si="22"/>
        <v>-349.38141812801587</v>
      </c>
      <c r="F209" s="449">
        <f t="shared" si="23"/>
        <v>-3.2064397013464002E-2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7173.2209243907791</v>
      </c>
      <c r="D210" s="465">
        <f>LN_IA16-LN_IF19</f>
        <v>6930.7461747550296</v>
      </c>
      <c r="E210" s="465">
        <f t="shared" si="22"/>
        <v>-242.4747496357495</v>
      </c>
      <c r="F210" s="449">
        <f t="shared" si="23"/>
        <v>-3.3802771752264531E-2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25848823.243010625</v>
      </c>
      <c r="D211" s="441">
        <f>LN_IF21*LN_IF18</f>
        <v>32673675.508259203</v>
      </c>
      <c r="E211" s="441">
        <f t="shared" si="22"/>
        <v>6824852.265248578</v>
      </c>
      <c r="F211" s="449">
        <f t="shared" si="23"/>
        <v>0.2640295150416172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176923832</v>
      </c>
      <c r="D214" s="448">
        <f>LN_IF1+LN_IF14</f>
        <v>212679580</v>
      </c>
      <c r="E214" s="448">
        <f>D214-C214</f>
        <v>35755748</v>
      </c>
      <c r="F214" s="449">
        <f>IF(C214=0,0,E214/C214)</f>
        <v>0.20209684357277544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34491897</v>
      </c>
      <c r="D215" s="448">
        <f>LN_IF2+LN_IF15</f>
        <v>43289441</v>
      </c>
      <c r="E215" s="448">
        <f>D215-C215</f>
        <v>8797544</v>
      </c>
      <c r="F215" s="449">
        <f>IF(C215=0,0,E215/C215)</f>
        <v>0.25506118147111478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142431935</v>
      </c>
      <c r="D216" s="448">
        <f>LN_IF23-LN_IF24</f>
        <v>169390139</v>
      </c>
      <c r="E216" s="448">
        <f>D216-C216</f>
        <v>26958204</v>
      </c>
      <c r="F216" s="449">
        <f>IF(C216=0,0,E216/C216)</f>
        <v>0.18927078397130531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537833</v>
      </c>
      <c r="D221" s="448">
        <v>365331</v>
      </c>
      <c r="E221" s="448">
        <f t="shared" ref="E221:E230" si="24">D221-C221</f>
        <v>-172502</v>
      </c>
      <c r="F221" s="449">
        <f t="shared" ref="F221:F230" si="25">IF(C221=0,0,E221/C221)</f>
        <v>-0.32073524681453164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206353</v>
      </c>
      <c r="D222" s="448">
        <v>100669</v>
      </c>
      <c r="E222" s="448">
        <f t="shared" si="24"/>
        <v>-105684</v>
      </c>
      <c r="F222" s="449">
        <f t="shared" si="25"/>
        <v>-0.51215150736844151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0.38367485818088515</v>
      </c>
      <c r="D223" s="453">
        <f>IF(LN_IG1=0,0,LN_IG2/LN_IG1)</f>
        <v>0.27555559205213903</v>
      </c>
      <c r="E223" s="454">
        <f t="shared" si="24"/>
        <v>-0.10811926612874612</v>
      </c>
      <c r="F223" s="449">
        <f t="shared" si="25"/>
        <v>-0.2817991948739389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34</v>
      </c>
      <c r="D224" s="456">
        <v>26</v>
      </c>
      <c r="E224" s="456">
        <f t="shared" si="24"/>
        <v>-8</v>
      </c>
      <c r="F224" s="449">
        <f t="shared" si="25"/>
        <v>-0.23529411764705882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0.71519999999999995</v>
      </c>
      <c r="D225" s="459">
        <v>0.64139999999999997</v>
      </c>
      <c r="E225" s="460">
        <f t="shared" si="24"/>
        <v>-7.3799999999999977E-2</v>
      </c>
      <c r="F225" s="449">
        <f t="shared" si="25"/>
        <v>-0.10318791946308722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24.316799999999997</v>
      </c>
      <c r="D226" s="463">
        <f>LN_IG3*LN_IG4</f>
        <v>16.676400000000001</v>
      </c>
      <c r="E226" s="463">
        <f t="shared" si="24"/>
        <v>-7.6403999999999961</v>
      </c>
      <c r="F226" s="449">
        <f t="shared" si="25"/>
        <v>-0.31420252664824305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8486.02612185814</v>
      </c>
      <c r="D227" s="465">
        <f>IF(LN_IG5=0,0,LN_IG2/LN_IG5)</f>
        <v>6036.6146170636348</v>
      </c>
      <c r="E227" s="465">
        <f t="shared" si="24"/>
        <v>-2449.4115047945052</v>
      </c>
      <c r="F227" s="449">
        <f t="shared" si="25"/>
        <v>-0.28864058036368273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106</v>
      </c>
      <c r="D228" s="456">
        <v>72</v>
      </c>
      <c r="E228" s="456">
        <f t="shared" si="24"/>
        <v>-34</v>
      </c>
      <c r="F228" s="449">
        <f t="shared" si="25"/>
        <v>-0.32075471698113206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1946.7264150943397</v>
      </c>
      <c r="D229" s="465">
        <f>IF(LN_IG6=0,0,LN_IG2/LN_IG6)</f>
        <v>1398.1805555555557</v>
      </c>
      <c r="E229" s="465">
        <f t="shared" si="24"/>
        <v>-548.54585953878404</v>
      </c>
      <c r="F229" s="449">
        <f t="shared" si="25"/>
        <v>-0.28177860807020544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3.1176470588235294</v>
      </c>
      <c r="D230" s="466">
        <f>IF(LN_IG3=0,0,LN_IG6/LN_IG3)</f>
        <v>2.7692307692307692</v>
      </c>
      <c r="E230" s="466">
        <f t="shared" si="24"/>
        <v>-0.34841628959276028</v>
      </c>
      <c r="F230" s="449">
        <f t="shared" si="25"/>
        <v>-0.11175616835994197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978863</v>
      </c>
      <c r="D233" s="448">
        <v>1306897</v>
      </c>
      <c r="E233" s="448">
        <f>D233-C233</f>
        <v>328034</v>
      </c>
      <c r="F233" s="449">
        <f>IF(C233=0,0,E233/C233)</f>
        <v>0.33511737597600483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220660</v>
      </c>
      <c r="D234" s="448">
        <v>382303</v>
      </c>
      <c r="E234" s="448">
        <f>D234-C234</f>
        <v>161643</v>
      </c>
      <c r="F234" s="449">
        <f>IF(C234=0,0,E234/C234)</f>
        <v>0.73254327925314966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1516696</v>
      </c>
      <c r="D237" s="448">
        <f>LN_IG1+LN_IG9</f>
        <v>1672228</v>
      </c>
      <c r="E237" s="448">
        <f>D237-C237</f>
        <v>155532</v>
      </c>
      <c r="F237" s="449">
        <f>IF(C237=0,0,E237/C237)</f>
        <v>0.10254658810994424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427013</v>
      </c>
      <c r="D238" s="448">
        <f>LN_IG2+LN_IG10</f>
        <v>482972</v>
      </c>
      <c r="E238" s="448">
        <f>D238-C238</f>
        <v>55959</v>
      </c>
      <c r="F238" s="449">
        <f>IF(C238=0,0,E238/C238)</f>
        <v>0.13104753251071982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1089683</v>
      </c>
      <c r="D239" s="448">
        <f>LN_IG13-LN_IG14</f>
        <v>1189256</v>
      </c>
      <c r="E239" s="448">
        <f>D239-C239</f>
        <v>99573</v>
      </c>
      <c r="F239" s="449">
        <f>IF(C239=0,0,E239/C239)</f>
        <v>9.1377951202322144E-2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15495383</v>
      </c>
      <c r="D243" s="448">
        <v>16591387</v>
      </c>
      <c r="E243" s="441">
        <f>D243-C243</f>
        <v>1096004</v>
      </c>
      <c r="F243" s="503">
        <f>IF(C243=0,0,E243/C243)</f>
        <v>7.0731004196540354E-2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502208728</v>
      </c>
      <c r="D244" s="448">
        <v>624338000</v>
      </c>
      <c r="E244" s="441">
        <f>D244-C244</f>
        <v>122129272</v>
      </c>
      <c r="F244" s="503">
        <f>IF(C244=0,0,E244/C244)</f>
        <v>0.24318428810739426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12601255</v>
      </c>
      <c r="D248" s="441">
        <v>16274798</v>
      </c>
      <c r="E248" s="441">
        <f>D248-C248</f>
        <v>3673543</v>
      </c>
      <c r="F248" s="449">
        <f>IF(C248=0,0,E248/C248)</f>
        <v>0.29152199522984018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15123888</v>
      </c>
      <c r="D249" s="441">
        <v>21154457</v>
      </c>
      <c r="E249" s="441">
        <f>D249-C249</f>
        <v>6030569</v>
      </c>
      <c r="F249" s="449">
        <f>IF(C249=0,0,E249/C249)</f>
        <v>0.39874462175334807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27725143</v>
      </c>
      <c r="D250" s="441">
        <f>LN_IH4+LN_IH5</f>
        <v>37429255</v>
      </c>
      <c r="E250" s="441">
        <f>D250-C250</f>
        <v>9704112</v>
      </c>
      <c r="F250" s="449">
        <f>IF(C250=0,0,E250/C250)</f>
        <v>0.35001125151996509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11201137.53841012</v>
      </c>
      <c r="D251" s="441">
        <f>LN_IH6*LN_III10</f>
        <v>14448349.028418664</v>
      </c>
      <c r="E251" s="441">
        <f>D251-C251</f>
        <v>3247211.4900085442</v>
      </c>
      <c r="F251" s="449">
        <f>IF(C251=0,0,E251/C251)</f>
        <v>0.28990015334366215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176923832</v>
      </c>
      <c r="D254" s="441">
        <f>LN_IF23</f>
        <v>212679580</v>
      </c>
      <c r="E254" s="441">
        <f>D254-C254</f>
        <v>35755748</v>
      </c>
      <c r="F254" s="449">
        <f>IF(C254=0,0,E254/C254)</f>
        <v>0.20209684357277544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34491897</v>
      </c>
      <c r="D255" s="441">
        <f>LN_IF24</f>
        <v>43289441</v>
      </c>
      <c r="E255" s="441">
        <f>D255-C255</f>
        <v>8797544</v>
      </c>
      <c r="F255" s="449">
        <f>IF(C255=0,0,E255/C255)</f>
        <v>0.25506118147111478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71478375.280321032</v>
      </c>
      <c r="D256" s="441">
        <f>LN_IH8*LN_III10</f>
        <v>82098048.787171677</v>
      </c>
      <c r="E256" s="441">
        <f>D256-C256</f>
        <v>10619673.506850645</v>
      </c>
      <c r="F256" s="449">
        <f>IF(C256=0,0,E256/C256)</f>
        <v>0.14857183679963115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36986478.280321032</v>
      </c>
      <c r="D257" s="441">
        <f>LN_IH10-LN_IH9</f>
        <v>38808607.787171677</v>
      </c>
      <c r="E257" s="441">
        <f>D257-C257</f>
        <v>1822129.5068506449</v>
      </c>
      <c r="F257" s="449">
        <f>IF(C257=0,0,E257/C257)</f>
        <v>4.9264747323081157E-2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594451602</v>
      </c>
      <c r="D261" s="448">
        <f>LN_IA1+LN_IB1+LN_IF1+LN_IG1</f>
        <v>689391368</v>
      </c>
      <c r="E261" s="448">
        <f t="shared" ref="E261:E274" si="26">D261-C261</f>
        <v>94939766</v>
      </c>
      <c r="F261" s="503">
        <f t="shared" ref="F261:F274" si="27">IF(C261=0,0,E261/C261)</f>
        <v>0.15970983286205359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226465711</v>
      </c>
      <c r="D262" s="448">
        <f>+LN_IA2+LN_IB2+LN_IF2+LN_IG2</f>
        <v>251855655</v>
      </c>
      <c r="E262" s="448">
        <f t="shared" si="26"/>
        <v>25389944</v>
      </c>
      <c r="F262" s="503">
        <f t="shared" si="27"/>
        <v>0.11211385550548092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0.380965767840592</v>
      </c>
      <c r="D263" s="453">
        <f>IF(LN_IIA1=0,0,LN_IIA2/LN_IIA1)</f>
        <v>0.36533044463649272</v>
      </c>
      <c r="E263" s="454">
        <f t="shared" si="26"/>
        <v>-1.5635323204099272E-2</v>
      </c>
      <c r="F263" s="458">
        <f t="shared" si="27"/>
        <v>-4.104128119627163E-2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18290</v>
      </c>
      <c r="D264" s="456">
        <f>LN_IA4+LN_IB4+LN_IF4+LN_IG3</f>
        <v>20558</v>
      </c>
      <c r="E264" s="456">
        <f t="shared" si="26"/>
        <v>2268</v>
      </c>
      <c r="F264" s="503">
        <f t="shared" si="27"/>
        <v>0.12400218698742482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1.3808585691634774</v>
      </c>
      <c r="D265" s="525">
        <f>IF(LN_IIA4=0,0,LN_IIA6/LN_IIA4)</f>
        <v>1.3747306060900866</v>
      </c>
      <c r="E265" s="525">
        <f t="shared" si="26"/>
        <v>-6.1279630733908075E-3</v>
      </c>
      <c r="F265" s="503">
        <f t="shared" si="27"/>
        <v>-4.4377919724994871E-3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25255.90323</v>
      </c>
      <c r="D266" s="463">
        <f>LN_IA6+LN_IB6+LN_IF6+LN_IG5</f>
        <v>28261.711800000001</v>
      </c>
      <c r="E266" s="463">
        <f t="shared" si="26"/>
        <v>3005.8085700000011</v>
      </c>
      <c r="F266" s="503">
        <f t="shared" si="27"/>
        <v>0.11901409910494026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697058450</v>
      </c>
      <c r="D267" s="448">
        <f>LN_IA11+LN_IB13+LN_IF14+LN_IG9</f>
        <v>854935888</v>
      </c>
      <c r="E267" s="448">
        <f t="shared" si="26"/>
        <v>157877438</v>
      </c>
      <c r="F267" s="503">
        <f t="shared" si="27"/>
        <v>0.22649096069346839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1.1726075725168961</v>
      </c>
      <c r="D268" s="453">
        <f>IF(LN_IIA1=0,0,LN_IIA7/LN_IIA1)</f>
        <v>1.2401314082017922</v>
      </c>
      <c r="E268" s="454">
        <f t="shared" si="26"/>
        <v>6.7523835684896172E-2</v>
      </c>
      <c r="F268" s="458">
        <f t="shared" si="27"/>
        <v>5.7584342168251881E-2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296341938</v>
      </c>
      <c r="D269" s="448">
        <f>LN_IA12+LN_IB14+LN_IF15+LN_IG10</f>
        <v>344988045</v>
      </c>
      <c r="E269" s="448">
        <f t="shared" si="26"/>
        <v>48646107</v>
      </c>
      <c r="F269" s="503">
        <f t="shared" si="27"/>
        <v>0.16415532451569512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0.42513212199063077</v>
      </c>
      <c r="D270" s="453">
        <f>IF(LN_IIA7=0,0,LN_IIA9/LN_IIA7)</f>
        <v>0.40352504771679443</v>
      </c>
      <c r="E270" s="454">
        <f t="shared" si="26"/>
        <v>-2.1607074273836346E-2</v>
      </c>
      <c r="F270" s="458">
        <f t="shared" si="27"/>
        <v>-5.0824374720648685E-2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1291510052</v>
      </c>
      <c r="D271" s="441">
        <f>LN_IIA1+LN_IIA7</f>
        <v>1544327256</v>
      </c>
      <c r="E271" s="441">
        <f t="shared" si="26"/>
        <v>252817204</v>
      </c>
      <c r="F271" s="503">
        <f t="shared" si="27"/>
        <v>0.19575318334417424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522807649</v>
      </c>
      <c r="D272" s="441">
        <f>LN_IIA2+LN_IIA9</f>
        <v>596843700</v>
      </c>
      <c r="E272" s="441">
        <f t="shared" si="26"/>
        <v>74036051</v>
      </c>
      <c r="F272" s="503">
        <f t="shared" si="27"/>
        <v>0.14161240972968245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0.40480339134054222</v>
      </c>
      <c r="D273" s="453">
        <f>IF(LN_IIA11=0,0,LN_IIA12/LN_IIA11)</f>
        <v>0.38647488586447637</v>
      </c>
      <c r="E273" s="454">
        <f t="shared" si="26"/>
        <v>-1.8328505476065848E-2</v>
      </c>
      <c r="F273" s="458">
        <f t="shared" si="27"/>
        <v>-4.5277549220547247E-2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92169</v>
      </c>
      <c r="D274" s="508">
        <f>LN_IA8+LN_IB10+LN_IF11+LN_IG6</f>
        <v>103461</v>
      </c>
      <c r="E274" s="528">
        <f t="shared" si="26"/>
        <v>11292</v>
      </c>
      <c r="F274" s="458">
        <f t="shared" si="27"/>
        <v>0.12251407740129544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411173195</v>
      </c>
      <c r="D277" s="448">
        <f>LN_IA1+LN_IF1+LN_IG1</f>
        <v>487270777</v>
      </c>
      <c r="E277" s="448">
        <f t="shared" ref="E277:E291" si="28">D277-C277</f>
        <v>76097582</v>
      </c>
      <c r="F277" s="503">
        <f t="shared" ref="F277:F291" si="29">IF(C277=0,0,E277/C277)</f>
        <v>0.18507427751947692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119648383</v>
      </c>
      <c r="D278" s="448">
        <f>LN_IA2+LN_IF2+LN_IG2</f>
        <v>140679061</v>
      </c>
      <c r="E278" s="448">
        <f t="shared" si="28"/>
        <v>21030678</v>
      </c>
      <c r="F278" s="503">
        <f t="shared" si="29"/>
        <v>0.17577068300204274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0.29099266307960564</v>
      </c>
      <c r="D279" s="453">
        <f>IF(D277=0,0,LN_IIB2/D277)</f>
        <v>0.28870818370460166</v>
      </c>
      <c r="E279" s="454">
        <f t="shared" si="28"/>
        <v>-2.2844793750039782E-3</v>
      </c>
      <c r="F279" s="458">
        <f t="shared" si="29"/>
        <v>-7.8506425242035154E-3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11774</v>
      </c>
      <c r="D280" s="456">
        <f>LN_IA4+LN_IF4+LN_IG3</f>
        <v>13651</v>
      </c>
      <c r="E280" s="456">
        <f t="shared" si="28"/>
        <v>1877</v>
      </c>
      <c r="F280" s="503">
        <f t="shared" si="29"/>
        <v>0.15941905894343469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1.432896122812978</v>
      </c>
      <c r="D281" s="525">
        <f>IF(LN_IIB4=0,0,LN_IIB6/LN_IIB4)</f>
        <v>1.4237240128928284</v>
      </c>
      <c r="E281" s="525">
        <f t="shared" si="28"/>
        <v>-9.172109920149607E-3</v>
      </c>
      <c r="F281" s="503">
        <f t="shared" si="29"/>
        <v>-6.4010989869547948E-3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16870.918950000003</v>
      </c>
      <c r="D282" s="463">
        <f>LN_IA6+LN_IF6+LN_IG5</f>
        <v>19435.2565</v>
      </c>
      <c r="E282" s="463">
        <f t="shared" si="28"/>
        <v>2564.3375499999966</v>
      </c>
      <c r="F282" s="503">
        <f t="shared" si="29"/>
        <v>0.15199750277977572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345389961</v>
      </c>
      <c r="D283" s="448">
        <f>LN_IA11+LN_IF14+LN_IG9</f>
        <v>445526927</v>
      </c>
      <c r="E283" s="448">
        <f t="shared" si="28"/>
        <v>100136966</v>
      </c>
      <c r="F283" s="503">
        <f t="shared" si="29"/>
        <v>0.28992436754697687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0.8400108888421095</v>
      </c>
      <c r="D284" s="453">
        <f>IF(D277=0,0,LN_IIB7/D277)</f>
        <v>0.91433130823685738</v>
      </c>
      <c r="E284" s="454">
        <f t="shared" si="28"/>
        <v>7.4320419394747872E-2</v>
      </c>
      <c r="F284" s="458">
        <f t="shared" si="29"/>
        <v>8.8475542855394246E-2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97671837</v>
      </c>
      <c r="D285" s="448">
        <f>LN_IA12+LN_IF15+LN_IG10</f>
        <v>124725725</v>
      </c>
      <c r="E285" s="448">
        <f t="shared" si="28"/>
        <v>27053888</v>
      </c>
      <c r="F285" s="503">
        <f t="shared" si="29"/>
        <v>0.27698760288495444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0.28278713346853762</v>
      </c>
      <c r="D286" s="453">
        <f>IF(LN_IIB7=0,0,LN_IIB9/LN_IIB7)</f>
        <v>0.27995103649481551</v>
      </c>
      <c r="E286" s="454">
        <f t="shared" si="28"/>
        <v>-2.8360969737221131E-3</v>
      </c>
      <c r="F286" s="458">
        <f t="shared" si="29"/>
        <v>-1.0029087741496032E-2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756563156</v>
      </c>
      <c r="D287" s="441">
        <f>D277+LN_IIB7</f>
        <v>932797704</v>
      </c>
      <c r="E287" s="441">
        <f t="shared" si="28"/>
        <v>176234548</v>
      </c>
      <c r="F287" s="503">
        <f t="shared" si="29"/>
        <v>0.23294096018601254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217320220</v>
      </c>
      <c r="D288" s="441">
        <f>LN_IIB2+LN_IIB9</f>
        <v>265404786</v>
      </c>
      <c r="E288" s="441">
        <f t="shared" si="28"/>
        <v>48084566</v>
      </c>
      <c r="F288" s="503">
        <f t="shared" si="29"/>
        <v>0.22126135340742797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0.28724663404042372</v>
      </c>
      <c r="D289" s="453">
        <f>IF(LN_IIB11=0,0,LN_IIB12/LN_IIB11)</f>
        <v>0.28452555667954343</v>
      </c>
      <c r="E289" s="454">
        <f t="shared" si="28"/>
        <v>-2.7210773608802863E-3</v>
      </c>
      <c r="F289" s="458">
        <f t="shared" si="29"/>
        <v>-9.4729651749282245E-3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66502</v>
      </c>
      <c r="D290" s="508">
        <f>LN_IA8+LN_IF11+LN_IG6</f>
        <v>76075</v>
      </c>
      <c r="E290" s="528">
        <f t="shared" si="28"/>
        <v>9573</v>
      </c>
      <c r="F290" s="458">
        <f t="shared" si="29"/>
        <v>0.14395055787795855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539242936</v>
      </c>
      <c r="D291" s="516">
        <f>LN_IIB11-LN_IIB12</f>
        <v>667392918</v>
      </c>
      <c r="E291" s="441">
        <f t="shared" si="28"/>
        <v>128149982</v>
      </c>
      <c r="F291" s="503">
        <f t="shared" si="29"/>
        <v>0.23764795687560014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5.9748963883955</v>
      </c>
      <c r="D294" s="466">
        <f>IF(LN_IA4=0,0,LN_IA8/LN_IA4)</f>
        <v>5.945768118831622</v>
      </c>
      <c r="E294" s="466">
        <f t="shared" ref="E294:E300" si="30">D294-C294</f>
        <v>-2.9128269563877929E-2</v>
      </c>
      <c r="F294" s="503">
        <f t="shared" ref="F294:F300" si="31">IF(C294=0,0,E294/C294)</f>
        <v>-4.8751087333415736E-3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3.939073050951504</v>
      </c>
      <c r="D295" s="466">
        <f>IF(LN_IB4=0,0,(LN_IB10)/(LN_IB4))</f>
        <v>3.9649630809323875</v>
      </c>
      <c r="E295" s="466">
        <f t="shared" si="30"/>
        <v>2.5890029980883522E-2</v>
      </c>
      <c r="F295" s="503">
        <f t="shared" si="31"/>
        <v>6.5726199148882624E-3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3.822857142857143</v>
      </c>
      <c r="D296" s="466">
        <f>IF(LN_IC4=0,0,LN_IC11/LN_IC4)</f>
        <v>4.1405228758169939</v>
      </c>
      <c r="E296" s="466">
        <f t="shared" si="30"/>
        <v>0.3176657329598509</v>
      </c>
      <c r="F296" s="503">
        <f t="shared" si="31"/>
        <v>8.3096417440917641E-2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4.8157975933353905</v>
      </c>
      <c r="D297" s="466">
        <f>IF(LN_ID4=0,0,LN_ID11/LN_ID4)</f>
        <v>4.5342970521541952</v>
      </c>
      <c r="E297" s="466">
        <f t="shared" si="30"/>
        <v>-0.28150054118119527</v>
      </c>
      <c r="F297" s="503">
        <f t="shared" si="31"/>
        <v>-5.8453565733486278E-2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6.1111111111111107</v>
      </c>
      <c r="D298" s="466">
        <f>IF(LN_IE4=0,0,LN_IE11/LN_IE4)</f>
        <v>5.5151515151515156</v>
      </c>
      <c r="E298" s="466">
        <f t="shared" si="30"/>
        <v>-0.59595959595959513</v>
      </c>
      <c r="F298" s="503">
        <f t="shared" si="31"/>
        <v>-9.7520661157024666E-2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3.1176470588235294</v>
      </c>
      <c r="D299" s="466">
        <f>IF(LN_IG3=0,0,LN_IG6/LN_IG3)</f>
        <v>2.7692307692307692</v>
      </c>
      <c r="E299" s="466">
        <f t="shared" si="30"/>
        <v>-0.34841628959276028</v>
      </c>
      <c r="F299" s="503">
        <f t="shared" si="31"/>
        <v>-0.11175616835994197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5.0393110989611811</v>
      </c>
      <c r="D300" s="466">
        <f>IF(LN_IIA4=0,0,LN_IIA14/LN_IIA4)</f>
        <v>5.0326393618056233</v>
      </c>
      <c r="E300" s="466">
        <f t="shared" si="30"/>
        <v>-6.6717371555577998E-3</v>
      </c>
      <c r="F300" s="503">
        <f t="shared" si="31"/>
        <v>-1.3239383369153636E-3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1291510052</v>
      </c>
      <c r="D304" s="441">
        <f>LN_IIA11</f>
        <v>1544327256</v>
      </c>
      <c r="E304" s="441">
        <f t="shared" ref="E304:E316" si="32">D304-C304</f>
        <v>252817204</v>
      </c>
      <c r="F304" s="449">
        <f>IF(C304=0,0,E304/C304)</f>
        <v>0.19575318334417424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539242936</v>
      </c>
      <c r="D305" s="441">
        <f>LN_IIB14</f>
        <v>667392918</v>
      </c>
      <c r="E305" s="441">
        <f t="shared" si="32"/>
        <v>128149982</v>
      </c>
      <c r="F305" s="449">
        <f>IF(C305=0,0,E305/C305)</f>
        <v>0.23764795687560014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27725143</v>
      </c>
      <c r="D306" s="441">
        <f>LN_IH6</f>
        <v>37429255</v>
      </c>
      <c r="E306" s="441">
        <f t="shared" si="32"/>
        <v>9704112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185104879</v>
      </c>
      <c r="D307" s="441">
        <f>LN_IB32-LN_IB33</f>
        <v>222989078</v>
      </c>
      <c r="E307" s="441">
        <f t="shared" si="32"/>
        <v>37884199</v>
      </c>
      <c r="F307" s="449">
        <f t="shared" ref="F307:F316" si="33">IF(C307=0,0,E307/C307)</f>
        <v>0.2046634275912306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17658659</v>
      </c>
      <c r="D308" s="441">
        <v>20378593</v>
      </c>
      <c r="E308" s="441">
        <f t="shared" si="32"/>
        <v>2719934</v>
      </c>
      <c r="F308" s="449">
        <f t="shared" si="33"/>
        <v>0.15402834382837338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769731617</v>
      </c>
      <c r="D309" s="441">
        <f>LN_III2+LN_III3+LN_III4+LN_III5</f>
        <v>948189844</v>
      </c>
      <c r="E309" s="441">
        <f t="shared" si="32"/>
        <v>178458227</v>
      </c>
      <c r="F309" s="449">
        <f t="shared" si="33"/>
        <v>0.2318447405025848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521778435</v>
      </c>
      <c r="D310" s="441">
        <f>LN_III1-LN_III6</f>
        <v>596137412</v>
      </c>
      <c r="E310" s="441">
        <f t="shared" si="32"/>
        <v>74358977</v>
      </c>
      <c r="F310" s="449">
        <f t="shared" si="33"/>
        <v>0.14251063672265413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521778435</v>
      </c>
      <c r="D312" s="441">
        <f>LN_III7+LN_III8</f>
        <v>596137412</v>
      </c>
      <c r="E312" s="441">
        <f t="shared" si="32"/>
        <v>74358977</v>
      </c>
      <c r="F312" s="449">
        <f t="shared" si="33"/>
        <v>0.14251063672265413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0.40400648387675114</v>
      </c>
      <c r="D313" s="532">
        <f>IF(LN_III1=0,0,LN_III9/LN_III1)</f>
        <v>0.38601754238545927</v>
      </c>
      <c r="E313" s="532">
        <f t="shared" si="32"/>
        <v>-1.7988941491291877E-2</v>
      </c>
      <c r="F313" s="449">
        <f t="shared" si="33"/>
        <v>-4.4526368286652795E-2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11201137.53841012</v>
      </c>
      <c r="D314" s="441">
        <f>D313*LN_III5</f>
        <v>14448349.028418664</v>
      </c>
      <c r="E314" s="441">
        <f t="shared" si="32"/>
        <v>3247211.4900085442</v>
      </c>
      <c r="F314" s="449">
        <f t="shared" si="33"/>
        <v>0.28990015334366215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36986478.280321032</v>
      </c>
      <c r="D315" s="441">
        <f>D313*LN_IH8-LN_IH9</f>
        <v>38808607.787171677</v>
      </c>
      <c r="E315" s="441">
        <f t="shared" si="32"/>
        <v>1822129.5068506449</v>
      </c>
      <c r="F315" s="449">
        <f t="shared" si="33"/>
        <v>4.9264747323081157E-2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48187615.818731152</v>
      </c>
      <c r="D318" s="441">
        <f>D314+D315+D316</f>
        <v>53256956.815590337</v>
      </c>
      <c r="E318" s="441">
        <f>D318-C318</f>
        <v>5069340.9968591854</v>
      </c>
      <c r="F318" s="449">
        <f>IF(C318=0,0,E318/C318)</f>
        <v>0.10520007912258375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25594151.792147938</v>
      </c>
      <c r="D322" s="441">
        <f>LN_ID22</f>
        <v>32450307.360940602</v>
      </c>
      <c r="E322" s="441">
        <f>LN_IV2-C322</f>
        <v>6856155.5687926635</v>
      </c>
      <c r="F322" s="449">
        <f>IF(C322=0,0,E322/C322)</f>
        <v>0.26787977286655273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206353.62288197537</v>
      </c>
      <c r="D323" s="441">
        <f>LN_IE10+LN_IE22</f>
        <v>388391.0015775527</v>
      </c>
      <c r="E323" s="441">
        <f>LN_IV3-C323</f>
        <v>182037.37869557732</v>
      </c>
      <c r="F323" s="449">
        <f>IF(C323=0,0,E323/C323)</f>
        <v>0.88216226181642665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3774529.7404329362</v>
      </c>
      <c r="D324" s="441">
        <f>LN_IC10+LN_IC22</f>
        <v>4952253.5698666424</v>
      </c>
      <c r="E324" s="441">
        <f>LN_IV1-C324</f>
        <v>1177723.8294337061</v>
      </c>
      <c r="F324" s="449">
        <f>IF(C324=0,0,E324/C324)</f>
        <v>0.31201869118101633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29575035.15546285</v>
      </c>
      <c r="D325" s="516">
        <f>LN_IV1+LN_IV2+LN_IV3</f>
        <v>37790951.932384804</v>
      </c>
      <c r="E325" s="441">
        <f>LN_IV4-C325</f>
        <v>8215916.776921954</v>
      </c>
      <c r="F325" s="449">
        <f>IF(C325=0,0,E325/C325)</f>
        <v>0.27779905361851714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28272630</v>
      </c>
      <c r="D329" s="518">
        <v>33602226</v>
      </c>
      <c r="E329" s="518">
        <f t="shared" ref="E329:E335" si="34">D329-C329</f>
        <v>5329596</v>
      </c>
      <c r="F329" s="542">
        <f t="shared" ref="F329:F335" si="35">IF(C329=0,0,E329/C329)</f>
        <v>0.18850725949442979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-18314843</v>
      </c>
      <c r="D330" s="516">
        <v>-3967700</v>
      </c>
      <c r="E330" s="518">
        <f t="shared" si="34"/>
        <v>14347143</v>
      </c>
      <c r="F330" s="543">
        <f t="shared" si="35"/>
        <v>-0.78336150629301049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504492756</v>
      </c>
      <c r="D331" s="516">
        <v>592876000</v>
      </c>
      <c r="E331" s="518">
        <f t="shared" si="34"/>
        <v>88383244</v>
      </c>
      <c r="F331" s="542">
        <f t="shared" si="35"/>
        <v>0.17519229552624141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1291510052</v>
      </c>
      <c r="D333" s="516">
        <v>1544327256</v>
      </c>
      <c r="E333" s="518">
        <f t="shared" si="34"/>
        <v>252817204</v>
      </c>
      <c r="F333" s="542">
        <f t="shared" si="35"/>
        <v>0.19575318334417424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27725143</v>
      </c>
      <c r="D335" s="516">
        <v>37429255</v>
      </c>
      <c r="E335" s="516">
        <f t="shared" si="34"/>
        <v>9704112</v>
      </c>
      <c r="F335" s="542">
        <f t="shared" si="35"/>
        <v>0.35001125151996509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FILING&amp;RDANBURY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183278407</v>
      </c>
      <c r="D14" s="589">
        <v>202120591</v>
      </c>
      <c r="E14" s="590">
        <f t="shared" ref="E14:E22" si="0">D14-C14</f>
        <v>18842184</v>
      </c>
    </row>
    <row r="15" spans="1:5" s="421" customFormat="1" x14ac:dyDescent="0.2">
      <c r="A15" s="588">
        <v>2</v>
      </c>
      <c r="B15" s="587" t="s">
        <v>636</v>
      </c>
      <c r="C15" s="589">
        <v>326019774</v>
      </c>
      <c r="D15" s="591">
        <v>394588741</v>
      </c>
      <c r="E15" s="590">
        <f t="shared" si="0"/>
        <v>68568967</v>
      </c>
    </row>
    <row r="16" spans="1:5" s="421" customFormat="1" x14ac:dyDescent="0.2">
      <c r="A16" s="588">
        <v>3</v>
      </c>
      <c r="B16" s="587" t="s">
        <v>778</v>
      </c>
      <c r="C16" s="589">
        <v>84615588</v>
      </c>
      <c r="D16" s="591">
        <v>92316705</v>
      </c>
      <c r="E16" s="590">
        <f t="shared" si="0"/>
        <v>7701117</v>
      </c>
    </row>
    <row r="17" spans="1:5" s="421" customFormat="1" x14ac:dyDescent="0.2">
      <c r="A17" s="588">
        <v>4</v>
      </c>
      <c r="B17" s="587" t="s">
        <v>115</v>
      </c>
      <c r="C17" s="589">
        <v>82813766</v>
      </c>
      <c r="D17" s="591">
        <v>89456723</v>
      </c>
      <c r="E17" s="590">
        <f t="shared" si="0"/>
        <v>6642957</v>
      </c>
    </row>
    <row r="18" spans="1:5" s="421" customFormat="1" x14ac:dyDescent="0.2">
      <c r="A18" s="588">
        <v>5</v>
      </c>
      <c r="B18" s="587" t="s">
        <v>744</v>
      </c>
      <c r="C18" s="589">
        <v>1801822</v>
      </c>
      <c r="D18" s="591">
        <v>2859982</v>
      </c>
      <c r="E18" s="590">
        <f t="shared" si="0"/>
        <v>1058160</v>
      </c>
    </row>
    <row r="19" spans="1:5" s="421" customFormat="1" x14ac:dyDescent="0.2">
      <c r="A19" s="588">
        <v>6</v>
      </c>
      <c r="B19" s="587" t="s">
        <v>424</v>
      </c>
      <c r="C19" s="589">
        <v>537833</v>
      </c>
      <c r="D19" s="591">
        <v>365331</v>
      </c>
      <c r="E19" s="590">
        <f t="shared" si="0"/>
        <v>-172502</v>
      </c>
    </row>
    <row r="20" spans="1:5" s="421" customFormat="1" x14ac:dyDescent="0.2">
      <c r="A20" s="588">
        <v>7</v>
      </c>
      <c r="B20" s="587" t="s">
        <v>759</v>
      </c>
      <c r="C20" s="589">
        <v>5087812</v>
      </c>
      <c r="D20" s="591">
        <v>9910178</v>
      </c>
      <c r="E20" s="590">
        <f t="shared" si="0"/>
        <v>4822366</v>
      </c>
    </row>
    <row r="21" spans="1:5" s="421" customFormat="1" x14ac:dyDescent="0.2">
      <c r="A21" s="588"/>
      <c r="B21" s="592" t="s">
        <v>779</v>
      </c>
      <c r="C21" s="593">
        <f>SUM(C15+C16+C19)</f>
        <v>411173195</v>
      </c>
      <c r="D21" s="593">
        <f>SUM(D15+D16+D19)</f>
        <v>487270777</v>
      </c>
      <c r="E21" s="593">
        <f t="shared" si="0"/>
        <v>76097582</v>
      </c>
    </row>
    <row r="22" spans="1:5" s="421" customFormat="1" x14ac:dyDescent="0.2">
      <c r="A22" s="588"/>
      <c r="B22" s="592" t="s">
        <v>465</v>
      </c>
      <c r="C22" s="593">
        <f>SUM(C14+C21)</f>
        <v>594451602</v>
      </c>
      <c r="D22" s="593">
        <f>SUM(D14+D21)</f>
        <v>689391368</v>
      </c>
      <c r="E22" s="593">
        <f t="shared" si="0"/>
        <v>94939766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351668489</v>
      </c>
      <c r="D25" s="589">
        <v>409408961</v>
      </c>
      <c r="E25" s="590">
        <f t="shared" ref="E25:E33" si="1">D25-C25</f>
        <v>57740472</v>
      </c>
    </row>
    <row r="26" spans="1:5" s="421" customFormat="1" x14ac:dyDescent="0.2">
      <c r="A26" s="588">
        <v>2</v>
      </c>
      <c r="B26" s="587" t="s">
        <v>636</v>
      </c>
      <c r="C26" s="589">
        <v>252102854</v>
      </c>
      <c r="D26" s="591">
        <v>323857155</v>
      </c>
      <c r="E26" s="590">
        <f t="shared" si="1"/>
        <v>71754301</v>
      </c>
    </row>
    <row r="27" spans="1:5" s="421" customFormat="1" x14ac:dyDescent="0.2">
      <c r="A27" s="588">
        <v>3</v>
      </c>
      <c r="B27" s="587" t="s">
        <v>778</v>
      </c>
      <c r="C27" s="589">
        <v>92308244</v>
      </c>
      <c r="D27" s="591">
        <v>120362875</v>
      </c>
      <c r="E27" s="590">
        <f t="shared" si="1"/>
        <v>28054631</v>
      </c>
    </row>
    <row r="28" spans="1:5" s="421" customFormat="1" x14ac:dyDescent="0.2">
      <c r="A28" s="588">
        <v>4</v>
      </c>
      <c r="B28" s="587" t="s">
        <v>115</v>
      </c>
      <c r="C28" s="589">
        <v>91319956</v>
      </c>
      <c r="D28" s="591">
        <v>118372145</v>
      </c>
      <c r="E28" s="590">
        <f t="shared" si="1"/>
        <v>27052189</v>
      </c>
    </row>
    <row r="29" spans="1:5" s="421" customFormat="1" x14ac:dyDescent="0.2">
      <c r="A29" s="588">
        <v>5</v>
      </c>
      <c r="B29" s="587" t="s">
        <v>744</v>
      </c>
      <c r="C29" s="589">
        <v>988288</v>
      </c>
      <c r="D29" s="591">
        <v>1990730</v>
      </c>
      <c r="E29" s="590">
        <f t="shared" si="1"/>
        <v>1002442</v>
      </c>
    </row>
    <row r="30" spans="1:5" s="421" customFormat="1" x14ac:dyDescent="0.2">
      <c r="A30" s="588">
        <v>6</v>
      </c>
      <c r="B30" s="587" t="s">
        <v>424</v>
      </c>
      <c r="C30" s="589">
        <v>978863</v>
      </c>
      <c r="D30" s="591">
        <v>1306897</v>
      </c>
      <c r="E30" s="590">
        <f t="shared" si="1"/>
        <v>328034</v>
      </c>
    </row>
    <row r="31" spans="1:5" s="421" customFormat="1" x14ac:dyDescent="0.2">
      <c r="A31" s="588">
        <v>7</v>
      </c>
      <c r="B31" s="587" t="s">
        <v>759</v>
      </c>
      <c r="C31" s="590">
        <v>27396274</v>
      </c>
      <c r="D31" s="594">
        <v>32278519</v>
      </c>
      <c r="E31" s="590">
        <f t="shared" si="1"/>
        <v>4882245</v>
      </c>
    </row>
    <row r="32" spans="1:5" s="421" customFormat="1" x14ac:dyDescent="0.2">
      <c r="A32" s="588"/>
      <c r="B32" s="592" t="s">
        <v>781</v>
      </c>
      <c r="C32" s="593">
        <f>SUM(C26+C27+C30)</f>
        <v>345389961</v>
      </c>
      <c r="D32" s="593">
        <f>SUM(D26+D27+D30)</f>
        <v>445526927</v>
      </c>
      <c r="E32" s="593">
        <f t="shared" si="1"/>
        <v>100136966</v>
      </c>
    </row>
    <row r="33" spans="1:5" s="421" customFormat="1" x14ac:dyDescent="0.2">
      <c r="A33" s="588"/>
      <c r="B33" s="592" t="s">
        <v>467</v>
      </c>
      <c r="C33" s="593">
        <f>SUM(C25+C32)</f>
        <v>697058450</v>
      </c>
      <c r="D33" s="593">
        <f>SUM(D25+D32)</f>
        <v>854935888</v>
      </c>
      <c r="E33" s="593">
        <f t="shared" si="1"/>
        <v>157877438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534946896</v>
      </c>
      <c r="D36" s="590">
        <f t="shared" si="2"/>
        <v>611529552</v>
      </c>
      <c r="E36" s="590">
        <f t="shared" ref="E36:E44" si="3">D36-C36</f>
        <v>76582656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578122628</v>
      </c>
      <c r="D37" s="590">
        <f t="shared" si="2"/>
        <v>718445896</v>
      </c>
      <c r="E37" s="590">
        <f t="shared" si="3"/>
        <v>140323268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176923832</v>
      </c>
      <c r="D38" s="590">
        <f t="shared" si="2"/>
        <v>212679580</v>
      </c>
      <c r="E38" s="590">
        <f t="shared" si="3"/>
        <v>35755748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174133722</v>
      </c>
      <c r="D39" s="590">
        <f t="shared" si="2"/>
        <v>207828868</v>
      </c>
      <c r="E39" s="590">
        <f t="shared" si="3"/>
        <v>33695146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2790110</v>
      </c>
      <c r="D40" s="590">
        <f t="shared" si="2"/>
        <v>4850712</v>
      </c>
      <c r="E40" s="590">
        <f t="shared" si="3"/>
        <v>2060602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1516696</v>
      </c>
      <c r="D41" s="590">
        <f t="shared" si="2"/>
        <v>1672228</v>
      </c>
      <c r="E41" s="590">
        <f t="shared" si="3"/>
        <v>155532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32484086</v>
      </c>
      <c r="D42" s="590">
        <f t="shared" si="2"/>
        <v>42188697</v>
      </c>
      <c r="E42" s="590">
        <f t="shared" si="3"/>
        <v>9704611</v>
      </c>
    </row>
    <row r="43" spans="1:5" s="421" customFormat="1" x14ac:dyDescent="0.2">
      <c r="A43" s="588"/>
      <c r="B43" s="592" t="s">
        <v>789</v>
      </c>
      <c r="C43" s="593">
        <f>SUM(C37+C38+C41)</f>
        <v>756563156</v>
      </c>
      <c r="D43" s="593">
        <f>SUM(D37+D38+D41)</f>
        <v>932797704</v>
      </c>
      <c r="E43" s="593">
        <f t="shared" si="3"/>
        <v>176234548</v>
      </c>
    </row>
    <row r="44" spans="1:5" s="421" customFormat="1" x14ac:dyDescent="0.2">
      <c r="A44" s="588"/>
      <c r="B44" s="592" t="s">
        <v>726</v>
      </c>
      <c r="C44" s="593">
        <f>SUM(C36+C43)</f>
        <v>1291510052</v>
      </c>
      <c r="D44" s="593">
        <f>SUM(D36+D43)</f>
        <v>1544327256</v>
      </c>
      <c r="E44" s="593">
        <f t="shared" si="3"/>
        <v>252817204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106817328</v>
      </c>
      <c r="D47" s="589">
        <v>111176594</v>
      </c>
      <c r="E47" s="590">
        <f t="shared" ref="E47:E55" si="4">D47-C47</f>
        <v>4359266</v>
      </c>
    </row>
    <row r="48" spans="1:5" s="421" customFormat="1" x14ac:dyDescent="0.2">
      <c r="A48" s="588">
        <v>2</v>
      </c>
      <c r="B48" s="587" t="s">
        <v>636</v>
      </c>
      <c r="C48" s="589">
        <v>102945936</v>
      </c>
      <c r="D48" s="591">
        <v>121787972</v>
      </c>
      <c r="E48" s="590">
        <f t="shared" si="4"/>
        <v>18842036</v>
      </c>
    </row>
    <row r="49" spans="1:5" s="421" customFormat="1" x14ac:dyDescent="0.2">
      <c r="A49" s="588">
        <v>3</v>
      </c>
      <c r="B49" s="587" t="s">
        <v>778</v>
      </c>
      <c r="C49" s="589">
        <v>16496094</v>
      </c>
      <c r="D49" s="591">
        <v>18790420</v>
      </c>
      <c r="E49" s="590">
        <f t="shared" si="4"/>
        <v>2294326</v>
      </c>
    </row>
    <row r="50" spans="1:5" s="421" customFormat="1" x14ac:dyDescent="0.2">
      <c r="A50" s="588">
        <v>4</v>
      </c>
      <c r="B50" s="587" t="s">
        <v>115</v>
      </c>
      <c r="C50" s="589">
        <v>16004723</v>
      </c>
      <c r="D50" s="591">
        <v>18192797</v>
      </c>
      <c r="E50" s="590">
        <f t="shared" si="4"/>
        <v>2188074</v>
      </c>
    </row>
    <row r="51" spans="1:5" s="421" customFormat="1" x14ac:dyDescent="0.2">
      <c r="A51" s="588">
        <v>5</v>
      </c>
      <c r="B51" s="587" t="s">
        <v>744</v>
      </c>
      <c r="C51" s="589">
        <v>491371</v>
      </c>
      <c r="D51" s="591">
        <v>597623</v>
      </c>
      <c r="E51" s="590">
        <f t="shared" si="4"/>
        <v>106252</v>
      </c>
    </row>
    <row r="52" spans="1:5" s="421" customFormat="1" x14ac:dyDescent="0.2">
      <c r="A52" s="588">
        <v>6</v>
      </c>
      <c r="B52" s="587" t="s">
        <v>424</v>
      </c>
      <c r="C52" s="589">
        <v>206353</v>
      </c>
      <c r="D52" s="591">
        <v>100669</v>
      </c>
      <c r="E52" s="590">
        <f t="shared" si="4"/>
        <v>-105684</v>
      </c>
    </row>
    <row r="53" spans="1:5" s="421" customFormat="1" x14ac:dyDescent="0.2">
      <c r="A53" s="588">
        <v>7</v>
      </c>
      <c r="B53" s="587" t="s">
        <v>759</v>
      </c>
      <c r="C53" s="589">
        <v>1434850</v>
      </c>
      <c r="D53" s="591">
        <v>2378942</v>
      </c>
      <c r="E53" s="590">
        <f t="shared" si="4"/>
        <v>944092</v>
      </c>
    </row>
    <row r="54" spans="1:5" s="421" customFormat="1" x14ac:dyDescent="0.2">
      <c r="A54" s="588"/>
      <c r="B54" s="592" t="s">
        <v>791</v>
      </c>
      <c r="C54" s="593">
        <f>SUM(C48+C49+C52)</f>
        <v>119648383</v>
      </c>
      <c r="D54" s="593">
        <f>SUM(D48+D49+D52)</f>
        <v>140679061</v>
      </c>
      <c r="E54" s="593">
        <f t="shared" si="4"/>
        <v>21030678</v>
      </c>
    </row>
    <row r="55" spans="1:5" s="421" customFormat="1" x14ac:dyDescent="0.2">
      <c r="A55" s="588"/>
      <c r="B55" s="592" t="s">
        <v>466</v>
      </c>
      <c r="C55" s="593">
        <f>SUM(C47+C54)</f>
        <v>226465711</v>
      </c>
      <c r="D55" s="593">
        <f>SUM(D47+D54)</f>
        <v>251855655</v>
      </c>
      <c r="E55" s="593">
        <f t="shared" si="4"/>
        <v>25389944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198670101</v>
      </c>
      <c r="D58" s="589">
        <v>220262320</v>
      </c>
      <c r="E58" s="590">
        <f t="shared" ref="E58:E66" si="5">D58-C58</f>
        <v>21592219</v>
      </c>
    </row>
    <row r="59" spans="1:5" s="421" customFormat="1" x14ac:dyDescent="0.2">
      <c r="A59" s="588">
        <v>2</v>
      </c>
      <c r="B59" s="587" t="s">
        <v>636</v>
      </c>
      <c r="C59" s="589">
        <v>79455374</v>
      </c>
      <c r="D59" s="591">
        <v>99844401</v>
      </c>
      <c r="E59" s="590">
        <f t="shared" si="5"/>
        <v>20389027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17995803</v>
      </c>
      <c r="D60" s="591">
        <f>D61+D62</f>
        <v>24499021</v>
      </c>
      <c r="E60" s="590">
        <f t="shared" si="5"/>
        <v>6503218</v>
      </c>
    </row>
    <row r="61" spans="1:5" s="421" customFormat="1" x14ac:dyDescent="0.2">
      <c r="A61" s="588">
        <v>4</v>
      </c>
      <c r="B61" s="587" t="s">
        <v>115</v>
      </c>
      <c r="C61" s="589">
        <v>17890099</v>
      </c>
      <c r="D61" s="591">
        <v>24165250</v>
      </c>
      <c r="E61" s="590">
        <f t="shared" si="5"/>
        <v>6275151</v>
      </c>
    </row>
    <row r="62" spans="1:5" s="421" customFormat="1" x14ac:dyDescent="0.2">
      <c r="A62" s="588">
        <v>5</v>
      </c>
      <c r="B62" s="587" t="s">
        <v>744</v>
      </c>
      <c r="C62" s="589">
        <v>105704</v>
      </c>
      <c r="D62" s="591">
        <v>333771</v>
      </c>
      <c r="E62" s="590">
        <f t="shared" si="5"/>
        <v>228067</v>
      </c>
    </row>
    <row r="63" spans="1:5" s="421" customFormat="1" x14ac:dyDescent="0.2">
      <c r="A63" s="588">
        <v>6</v>
      </c>
      <c r="B63" s="587" t="s">
        <v>424</v>
      </c>
      <c r="C63" s="589">
        <v>220660</v>
      </c>
      <c r="D63" s="591">
        <v>382303</v>
      </c>
      <c r="E63" s="590">
        <f t="shared" si="5"/>
        <v>161643</v>
      </c>
    </row>
    <row r="64" spans="1:5" s="421" customFormat="1" x14ac:dyDescent="0.2">
      <c r="A64" s="588">
        <v>7</v>
      </c>
      <c r="B64" s="587" t="s">
        <v>759</v>
      </c>
      <c r="C64" s="589">
        <v>7726218</v>
      </c>
      <c r="D64" s="591">
        <v>7748473</v>
      </c>
      <c r="E64" s="590">
        <f t="shared" si="5"/>
        <v>22255</v>
      </c>
    </row>
    <row r="65" spans="1:5" s="421" customFormat="1" x14ac:dyDescent="0.2">
      <c r="A65" s="588"/>
      <c r="B65" s="592" t="s">
        <v>793</v>
      </c>
      <c r="C65" s="593">
        <f>SUM(C59+C60+C63)</f>
        <v>97671837</v>
      </c>
      <c r="D65" s="593">
        <f>SUM(D59+D60+D63)</f>
        <v>124725725</v>
      </c>
      <c r="E65" s="593">
        <f t="shared" si="5"/>
        <v>27053888</v>
      </c>
    </row>
    <row r="66" spans="1:5" s="421" customFormat="1" x14ac:dyDescent="0.2">
      <c r="A66" s="588"/>
      <c r="B66" s="592" t="s">
        <v>468</v>
      </c>
      <c r="C66" s="593">
        <f>SUM(C58+C65)</f>
        <v>296341938</v>
      </c>
      <c r="D66" s="593">
        <f>SUM(D58+D65)</f>
        <v>344988045</v>
      </c>
      <c r="E66" s="593">
        <f t="shared" si="5"/>
        <v>48646107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305487429</v>
      </c>
      <c r="D69" s="590">
        <f t="shared" si="6"/>
        <v>331438914</v>
      </c>
      <c r="E69" s="590">
        <f t="shared" ref="E69:E77" si="7">D69-C69</f>
        <v>25951485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182401310</v>
      </c>
      <c r="D70" s="590">
        <f t="shared" si="6"/>
        <v>221632373</v>
      </c>
      <c r="E70" s="590">
        <f t="shared" si="7"/>
        <v>39231063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34491897</v>
      </c>
      <c r="D71" s="590">
        <f t="shared" si="6"/>
        <v>43289441</v>
      </c>
      <c r="E71" s="590">
        <f t="shared" si="7"/>
        <v>8797544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33894822</v>
      </c>
      <c r="D72" s="590">
        <f t="shared" si="6"/>
        <v>42358047</v>
      </c>
      <c r="E72" s="590">
        <f t="shared" si="7"/>
        <v>8463225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597075</v>
      </c>
      <c r="D73" s="590">
        <f t="shared" si="6"/>
        <v>931394</v>
      </c>
      <c r="E73" s="590">
        <f t="shared" si="7"/>
        <v>334319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427013</v>
      </c>
      <c r="D74" s="590">
        <f t="shared" si="6"/>
        <v>482972</v>
      </c>
      <c r="E74" s="590">
        <f t="shared" si="7"/>
        <v>55959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9161068</v>
      </c>
      <c r="D75" s="590">
        <f t="shared" si="6"/>
        <v>10127415</v>
      </c>
      <c r="E75" s="590">
        <f t="shared" si="7"/>
        <v>966347</v>
      </c>
    </row>
    <row r="76" spans="1:5" s="421" customFormat="1" x14ac:dyDescent="0.2">
      <c r="A76" s="588"/>
      <c r="B76" s="592" t="s">
        <v>794</v>
      </c>
      <c r="C76" s="593">
        <f>SUM(C70+C71+C74)</f>
        <v>217320220</v>
      </c>
      <c r="D76" s="593">
        <f>SUM(D70+D71+D74)</f>
        <v>265404786</v>
      </c>
      <c r="E76" s="593">
        <f t="shared" si="7"/>
        <v>48084566</v>
      </c>
    </row>
    <row r="77" spans="1:5" s="421" customFormat="1" x14ac:dyDescent="0.2">
      <c r="A77" s="588"/>
      <c r="B77" s="592" t="s">
        <v>727</v>
      </c>
      <c r="C77" s="593">
        <f>SUM(C69+C76)</f>
        <v>522807649</v>
      </c>
      <c r="D77" s="593">
        <f>SUM(D69+D76)</f>
        <v>596843700</v>
      </c>
      <c r="E77" s="593">
        <f t="shared" si="7"/>
        <v>74036051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0.14191016687495359</v>
      </c>
      <c r="D83" s="599">
        <f t="shared" si="8"/>
        <v>0.13087937819832146</v>
      </c>
      <c r="E83" s="599">
        <f t="shared" ref="E83:E91" si="9">D83-C83</f>
        <v>-1.1030788676632125E-2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0.25243301319655542</v>
      </c>
      <c r="D84" s="599">
        <f t="shared" si="8"/>
        <v>0.25550850020094446</v>
      </c>
      <c r="E84" s="599">
        <f t="shared" si="9"/>
        <v>3.0754870043890326E-3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6.5516786237138788E-2</v>
      </c>
      <c r="D85" s="599">
        <f t="shared" si="8"/>
        <v>5.9777941910519515E-2</v>
      </c>
      <c r="E85" s="599">
        <f t="shared" si="9"/>
        <v>-5.7388443266192732E-3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6.4121658110021434E-2</v>
      </c>
      <c r="D86" s="599">
        <f t="shared" si="8"/>
        <v>5.7926014484587972E-2</v>
      </c>
      <c r="E86" s="599">
        <f t="shared" si="9"/>
        <v>-6.1956436254334626E-3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1.3951281271173568E-3</v>
      </c>
      <c r="D87" s="599">
        <f t="shared" si="8"/>
        <v>1.8519274259315411E-3</v>
      </c>
      <c r="E87" s="599">
        <f t="shared" si="9"/>
        <v>4.5679929881418425E-4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4.1643733176302062E-4</v>
      </c>
      <c r="D88" s="599">
        <f t="shared" si="8"/>
        <v>2.3656320160161701E-4</v>
      </c>
      <c r="E88" s="599">
        <f t="shared" si="9"/>
        <v>-1.7987413016140361E-4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3.9394288818125284E-3</v>
      </c>
      <c r="D89" s="599">
        <f t="shared" si="8"/>
        <v>6.4171489310294221E-3</v>
      </c>
      <c r="E89" s="599">
        <f t="shared" si="9"/>
        <v>2.4777200492168937E-3</v>
      </c>
    </row>
    <row r="90" spans="1:5" s="421" customFormat="1" x14ac:dyDescent="0.2">
      <c r="A90" s="588"/>
      <c r="B90" s="592" t="s">
        <v>797</v>
      </c>
      <c r="C90" s="600">
        <f>SUM(C84+C85+C88)</f>
        <v>0.31836623676545722</v>
      </c>
      <c r="D90" s="600">
        <f>SUM(D84+D85+D88)</f>
        <v>0.31552300531306554</v>
      </c>
      <c r="E90" s="601">
        <f t="shared" si="9"/>
        <v>-2.8432314523916813E-3</v>
      </c>
    </row>
    <row r="91" spans="1:5" s="421" customFormat="1" x14ac:dyDescent="0.2">
      <c r="A91" s="588"/>
      <c r="B91" s="592" t="s">
        <v>798</v>
      </c>
      <c r="C91" s="600">
        <f>SUM(C83+C90)</f>
        <v>0.46027640364041078</v>
      </c>
      <c r="D91" s="600">
        <f>SUM(D83+D90)</f>
        <v>0.446402383511387</v>
      </c>
      <c r="E91" s="601">
        <f t="shared" si="9"/>
        <v>-1.3874020129023779E-2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0.27229249083691992</v>
      </c>
      <c r="D95" s="599">
        <f t="shared" si="10"/>
        <v>0.26510505426189279</v>
      </c>
      <c r="E95" s="599">
        <f t="shared" ref="E95:E103" si="11">D95-C95</f>
        <v>-7.1874365750271285E-3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0.19520007111799081</v>
      </c>
      <c r="D96" s="599">
        <f t="shared" si="10"/>
        <v>0.20970759516271853</v>
      </c>
      <c r="E96" s="599">
        <f t="shared" si="11"/>
        <v>1.4507524044727715E-2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7.1473113087314938E-2</v>
      </c>
      <c r="D97" s="599">
        <f t="shared" si="10"/>
        <v>7.7938710550090814E-2</v>
      </c>
      <c r="E97" s="599">
        <f t="shared" si="11"/>
        <v>6.4655974627758767E-3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7.0707894110916297E-2</v>
      </c>
      <c r="D98" s="599">
        <f t="shared" si="10"/>
        <v>7.6649650869077199E-2</v>
      </c>
      <c r="E98" s="599">
        <f t="shared" si="11"/>
        <v>5.9417567581609015E-3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7.6521897639864435E-4</v>
      </c>
      <c r="D99" s="599">
        <f t="shared" si="10"/>
        <v>1.2890596810136207E-3</v>
      </c>
      <c r="E99" s="599">
        <f t="shared" si="11"/>
        <v>5.2384070461497631E-4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7.5792131736346715E-4</v>
      </c>
      <c r="D100" s="599">
        <f t="shared" si="10"/>
        <v>8.462565139108055E-4</v>
      </c>
      <c r="E100" s="599">
        <f t="shared" si="11"/>
        <v>8.8335196547338342E-5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2.1212590608625011E-2</v>
      </c>
      <c r="D101" s="599">
        <f t="shared" si="10"/>
        <v>2.0901346443632281E-2</v>
      </c>
      <c r="E101" s="599">
        <f t="shared" si="11"/>
        <v>-3.1124416499273E-4</v>
      </c>
    </row>
    <row r="102" spans="1:5" s="421" customFormat="1" x14ac:dyDescent="0.2">
      <c r="A102" s="588"/>
      <c r="B102" s="592" t="s">
        <v>800</v>
      </c>
      <c r="C102" s="600">
        <f>SUM(C96+C97+C100)</f>
        <v>0.26743110552266919</v>
      </c>
      <c r="D102" s="600">
        <f>SUM(D96+D97+D100)</f>
        <v>0.28849256222672015</v>
      </c>
      <c r="E102" s="601">
        <f t="shared" si="11"/>
        <v>2.1061456704050963E-2</v>
      </c>
    </row>
    <row r="103" spans="1:5" s="421" customFormat="1" x14ac:dyDescent="0.2">
      <c r="A103" s="588"/>
      <c r="B103" s="592" t="s">
        <v>801</v>
      </c>
      <c r="C103" s="600">
        <f>SUM(C95+C102)</f>
        <v>0.53972359635958911</v>
      </c>
      <c r="D103" s="600">
        <f>SUM(D95+D102)</f>
        <v>0.55359761648861294</v>
      </c>
      <c r="E103" s="601">
        <f t="shared" si="11"/>
        <v>1.3874020129023834E-2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0.99999999999999989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0.20431477658047806</v>
      </c>
      <c r="D109" s="599">
        <f t="shared" si="12"/>
        <v>0.18627421886165507</v>
      </c>
      <c r="E109" s="599">
        <f t="shared" ref="E109:E117" si="13">D109-C109</f>
        <v>-1.8040557718822986E-2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0.19690977398075521</v>
      </c>
      <c r="D110" s="599">
        <f t="shared" si="12"/>
        <v>0.20405337611840421</v>
      </c>
      <c r="E110" s="599">
        <f t="shared" si="13"/>
        <v>7.1436021376490022E-3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3.1552893366332518E-2</v>
      </c>
      <c r="D111" s="599">
        <f t="shared" si="12"/>
        <v>3.1482982898202665E-2</v>
      </c>
      <c r="E111" s="599">
        <f t="shared" si="13"/>
        <v>-6.9910468129853742E-5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3.061302379682666E-2</v>
      </c>
      <c r="D112" s="599">
        <f t="shared" si="12"/>
        <v>3.048167719622407E-2</v>
      </c>
      <c r="E112" s="599">
        <f t="shared" si="13"/>
        <v>-1.3134660060258943E-4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9.3986956950585857E-4</v>
      </c>
      <c r="D113" s="599">
        <f t="shared" si="12"/>
        <v>1.0013057019785917E-3</v>
      </c>
      <c r="E113" s="599">
        <f t="shared" si="13"/>
        <v>6.1436132472733086E-5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3.94701570251892E-4</v>
      </c>
      <c r="D114" s="599">
        <f t="shared" si="12"/>
        <v>1.6866894967643958E-4</v>
      </c>
      <c r="E114" s="599">
        <f t="shared" si="13"/>
        <v>-2.2603262057545242E-4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2.7445084300975866E-3</v>
      </c>
      <c r="D115" s="599">
        <f t="shared" si="12"/>
        <v>3.9858710077697061E-3</v>
      </c>
      <c r="E115" s="599">
        <f t="shared" si="13"/>
        <v>1.2413625776721195E-3</v>
      </c>
    </row>
    <row r="116" spans="1:5" s="421" customFormat="1" x14ac:dyDescent="0.2">
      <c r="A116" s="588"/>
      <c r="B116" s="592" t="s">
        <v>797</v>
      </c>
      <c r="C116" s="600">
        <f>SUM(C110+C111+C114)</f>
        <v>0.22885736891733963</v>
      </c>
      <c r="D116" s="600">
        <f>SUM(D110+D111+D114)</f>
        <v>0.23570502796628331</v>
      </c>
      <c r="E116" s="601">
        <f t="shared" si="13"/>
        <v>6.8476590489436884E-3</v>
      </c>
    </row>
    <row r="117" spans="1:5" s="421" customFormat="1" x14ac:dyDescent="0.2">
      <c r="A117" s="588"/>
      <c r="B117" s="592" t="s">
        <v>798</v>
      </c>
      <c r="C117" s="600">
        <f>SUM(C109+C116)</f>
        <v>0.43317214549781768</v>
      </c>
      <c r="D117" s="600">
        <f>SUM(D109+D116)</f>
        <v>0.42197924682793841</v>
      </c>
      <c r="E117" s="601">
        <f t="shared" si="13"/>
        <v>-1.119289866987927E-2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0.38000611004832485</v>
      </c>
      <c r="D121" s="599">
        <f t="shared" si="14"/>
        <v>0.36904522909431731</v>
      </c>
      <c r="E121" s="599">
        <f t="shared" ref="E121:E129" si="15">D121-C121</f>
        <v>-1.0960880954007546E-2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0.15197821637074022</v>
      </c>
      <c r="D122" s="599">
        <f t="shared" si="14"/>
        <v>0.16728735010522855</v>
      </c>
      <c r="E122" s="599">
        <f t="shared" si="15"/>
        <v>1.5309133734488334E-2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3.4421460807663125E-2</v>
      </c>
      <c r="D123" s="599">
        <f t="shared" si="14"/>
        <v>4.1047632738688535E-2</v>
      </c>
      <c r="E123" s="599">
        <f t="shared" si="15"/>
        <v>6.6261719310254097E-3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3.4219275548510578E-2</v>
      </c>
      <c r="D124" s="599">
        <f t="shared" si="14"/>
        <v>4.0488405926040603E-2</v>
      </c>
      <c r="E124" s="599">
        <f t="shared" si="15"/>
        <v>6.2691303775300258E-3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2.0218525915254924E-4</v>
      </c>
      <c r="D125" s="599">
        <f t="shared" si="14"/>
        <v>5.5922681264793442E-4</v>
      </c>
      <c r="E125" s="599">
        <f t="shared" si="15"/>
        <v>3.5704155349538516E-4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4.2206727545411257E-4</v>
      </c>
      <c r="D126" s="599">
        <f t="shared" si="14"/>
        <v>6.4054123382721476E-4</v>
      </c>
      <c r="E126" s="599">
        <f t="shared" si="15"/>
        <v>2.1847395837310218E-4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1.477831859342211E-2</v>
      </c>
      <c r="D127" s="599">
        <f t="shared" si="14"/>
        <v>1.2982415664268552E-2</v>
      </c>
      <c r="E127" s="599">
        <f t="shared" si="15"/>
        <v>-1.7959029291535582E-3</v>
      </c>
    </row>
    <row r="128" spans="1:5" s="421" customFormat="1" x14ac:dyDescent="0.2">
      <c r="A128" s="588"/>
      <c r="B128" s="592" t="s">
        <v>800</v>
      </c>
      <c r="C128" s="600">
        <f>SUM(C122+C123+C126)</f>
        <v>0.18682174445385744</v>
      </c>
      <c r="D128" s="600">
        <f>SUM(D122+D123+D126)</f>
        <v>0.20897552407774428</v>
      </c>
      <c r="E128" s="601">
        <f t="shared" si="15"/>
        <v>2.2153779623886843E-2</v>
      </c>
    </row>
    <row r="129" spans="1:5" s="421" customFormat="1" x14ac:dyDescent="0.2">
      <c r="A129" s="588"/>
      <c r="B129" s="592" t="s">
        <v>801</v>
      </c>
      <c r="C129" s="600">
        <f>SUM(C121+C128)</f>
        <v>0.56682785450218232</v>
      </c>
      <c r="D129" s="600">
        <f>SUM(D121+D128)</f>
        <v>0.57802075317206159</v>
      </c>
      <c r="E129" s="601">
        <f t="shared" si="15"/>
        <v>1.119289866987927E-2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6516</v>
      </c>
      <c r="D137" s="606">
        <v>6907</v>
      </c>
      <c r="E137" s="607">
        <f t="shared" ref="E137:E145" si="16">D137-C137</f>
        <v>391</v>
      </c>
    </row>
    <row r="138" spans="1:5" s="421" customFormat="1" x14ac:dyDescent="0.2">
      <c r="A138" s="588">
        <v>2</v>
      </c>
      <c r="B138" s="587" t="s">
        <v>636</v>
      </c>
      <c r="C138" s="606">
        <v>8445</v>
      </c>
      <c r="D138" s="606">
        <v>10031</v>
      </c>
      <c r="E138" s="607">
        <f t="shared" si="16"/>
        <v>1586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3295</v>
      </c>
      <c r="D139" s="606">
        <f>D140+D141</f>
        <v>3594</v>
      </c>
      <c r="E139" s="607">
        <f t="shared" si="16"/>
        <v>299</v>
      </c>
    </row>
    <row r="140" spans="1:5" s="421" customFormat="1" x14ac:dyDescent="0.2">
      <c r="A140" s="588">
        <v>4</v>
      </c>
      <c r="B140" s="587" t="s">
        <v>115</v>
      </c>
      <c r="C140" s="606">
        <v>3241</v>
      </c>
      <c r="D140" s="606">
        <v>3528</v>
      </c>
      <c r="E140" s="607">
        <f t="shared" si="16"/>
        <v>287</v>
      </c>
    </row>
    <row r="141" spans="1:5" s="421" customFormat="1" x14ac:dyDescent="0.2">
      <c r="A141" s="588">
        <v>5</v>
      </c>
      <c r="B141" s="587" t="s">
        <v>744</v>
      </c>
      <c r="C141" s="606">
        <v>54</v>
      </c>
      <c r="D141" s="606">
        <v>66</v>
      </c>
      <c r="E141" s="607">
        <f t="shared" si="16"/>
        <v>12</v>
      </c>
    </row>
    <row r="142" spans="1:5" s="421" customFormat="1" x14ac:dyDescent="0.2">
      <c r="A142" s="588">
        <v>6</v>
      </c>
      <c r="B142" s="587" t="s">
        <v>424</v>
      </c>
      <c r="C142" s="606">
        <v>34</v>
      </c>
      <c r="D142" s="606">
        <v>26</v>
      </c>
      <c r="E142" s="607">
        <f t="shared" si="16"/>
        <v>-8</v>
      </c>
    </row>
    <row r="143" spans="1:5" s="421" customFormat="1" x14ac:dyDescent="0.2">
      <c r="A143" s="588">
        <v>7</v>
      </c>
      <c r="B143" s="587" t="s">
        <v>759</v>
      </c>
      <c r="C143" s="606">
        <v>175</v>
      </c>
      <c r="D143" s="606">
        <v>306</v>
      </c>
      <c r="E143" s="607">
        <f t="shared" si="16"/>
        <v>131</v>
      </c>
    </row>
    <row r="144" spans="1:5" s="421" customFormat="1" x14ac:dyDescent="0.2">
      <c r="A144" s="588"/>
      <c r="B144" s="592" t="s">
        <v>808</v>
      </c>
      <c r="C144" s="608">
        <f>SUM(C138+C139+C142)</f>
        <v>11774</v>
      </c>
      <c r="D144" s="608">
        <f>SUM(D138+D139+D142)</f>
        <v>13651</v>
      </c>
      <c r="E144" s="609">
        <f t="shared" si="16"/>
        <v>1877</v>
      </c>
    </row>
    <row r="145" spans="1:5" s="421" customFormat="1" x14ac:dyDescent="0.2">
      <c r="A145" s="588"/>
      <c r="B145" s="592" t="s">
        <v>138</v>
      </c>
      <c r="C145" s="608">
        <f>SUM(C137+C144)</f>
        <v>18290</v>
      </c>
      <c r="D145" s="608">
        <f>SUM(D137+D144)</f>
        <v>20558</v>
      </c>
      <c r="E145" s="609">
        <f t="shared" si="16"/>
        <v>2268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25667</v>
      </c>
      <c r="D149" s="610">
        <v>27386</v>
      </c>
      <c r="E149" s="607">
        <f t="shared" ref="E149:E157" si="17">D149-C149</f>
        <v>1719</v>
      </c>
    </row>
    <row r="150" spans="1:5" s="421" customFormat="1" x14ac:dyDescent="0.2">
      <c r="A150" s="588">
        <v>2</v>
      </c>
      <c r="B150" s="587" t="s">
        <v>636</v>
      </c>
      <c r="C150" s="610">
        <v>50458</v>
      </c>
      <c r="D150" s="610">
        <v>59642</v>
      </c>
      <c r="E150" s="607">
        <f t="shared" si="17"/>
        <v>9184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15938</v>
      </c>
      <c r="D151" s="610">
        <f>D152+D153</f>
        <v>16361</v>
      </c>
      <c r="E151" s="607">
        <f t="shared" si="17"/>
        <v>423</v>
      </c>
    </row>
    <row r="152" spans="1:5" s="421" customFormat="1" x14ac:dyDescent="0.2">
      <c r="A152" s="588">
        <v>4</v>
      </c>
      <c r="B152" s="587" t="s">
        <v>115</v>
      </c>
      <c r="C152" s="610">
        <v>15608</v>
      </c>
      <c r="D152" s="610">
        <v>15997</v>
      </c>
      <c r="E152" s="607">
        <f t="shared" si="17"/>
        <v>389</v>
      </c>
    </row>
    <row r="153" spans="1:5" s="421" customFormat="1" x14ac:dyDescent="0.2">
      <c r="A153" s="588">
        <v>5</v>
      </c>
      <c r="B153" s="587" t="s">
        <v>744</v>
      </c>
      <c r="C153" s="611">
        <v>330</v>
      </c>
      <c r="D153" s="610">
        <v>364</v>
      </c>
      <c r="E153" s="607">
        <f t="shared" si="17"/>
        <v>34</v>
      </c>
    </row>
    <row r="154" spans="1:5" s="421" customFormat="1" x14ac:dyDescent="0.2">
      <c r="A154" s="588">
        <v>6</v>
      </c>
      <c r="B154" s="587" t="s">
        <v>424</v>
      </c>
      <c r="C154" s="610">
        <v>106</v>
      </c>
      <c r="D154" s="610">
        <v>72</v>
      </c>
      <c r="E154" s="607">
        <f t="shared" si="17"/>
        <v>-34</v>
      </c>
    </row>
    <row r="155" spans="1:5" s="421" customFormat="1" x14ac:dyDescent="0.2">
      <c r="A155" s="588">
        <v>7</v>
      </c>
      <c r="B155" s="587" t="s">
        <v>759</v>
      </c>
      <c r="C155" s="610">
        <v>669</v>
      </c>
      <c r="D155" s="610">
        <v>1267</v>
      </c>
      <c r="E155" s="607">
        <f t="shared" si="17"/>
        <v>598</v>
      </c>
    </row>
    <row r="156" spans="1:5" s="421" customFormat="1" x14ac:dyDescent="0.2">
      <c r="A156" s="588"/>
      <c r="B156" s="592" t="s">
        <v>809</v>
      </c>
      <c r="C156" s="608">
        <f>SUM(C150+C151+C154)</f>
        <v>66502</v>
      </c>
      <c r="D156" s="608">
        <f>SUM(D150+D151+D154)</f>
        <v>76075</v>
      </c>
      <c r="E156" s="609">
        <f t="shared" si="17"/>
        <v>9573</v>
      </c>
    </row>
    <row r="157" spans="1:5" s="421" customFormat="1" x14ac:dyDescent="0.2">
      <c r="A157" s="588"/>
      <c r="B157" s="592" t="s">
        <v>140</v>
      </c>
      <c r="C157" s="608">
        <f>SUM(C149+C156)</f>
        <v>92169</v>
      </c>
      <c r="D157" s="608">
        <f>SUM(D149+D156)</f>
        <v>103461</v>
      </c>
      <c r="E157" s="609">
        <f t="shared" si="17"/>
        <v>11292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3.939073050951504</v>
      </c>
      <c r="D161" s="612">
        <f t="shared" si="18"/>
        <v>3.9649630809323875</v>
      </c>
      <c r="E161" s="613">
        <f t="shared" ref="E161:E169" si="19">D161-C161</f>
        <v>2.5890029980883522E-2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5.9748963883955</v>
      </c>
      <c r="D162" s="612">
        <f t="shared" si="18"/>
        <v>5.945768118831622</v>
      </c>
      <c r="E162" s="613">
        <f t="shared" si="19"/>
        <v>-2.9128269563877929E-2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4.8370257966616084</v>
      </c>
      <c r="D163" s="612">
        <f t="shared" si="18"/>
        <v>4.5523094045631609</v>
      </c>
      <c r="E163" s="613">
        <f t="shared" si="19"/>
        <v>-0.28471639209844746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4.8157975933353905</v>
      </c>
      <c r="D164" s="612">
        <f t="shared" si="18"/>
        <v>4.5342970521541952</v>
      </c>
      <c r="E164" s="613">
        <f t="shared" si="19"/>
        <v>-0.28150054118119527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6.1111111111111107</v>
      </c>
      <c r="D165" s="612">
        <f t="shared" si="18"/>
        <v>5.5151515151515156</v>
      </c>
      <c r="E165" s="613">
        <f t="shared" si="19"/>
        <v>-0.59595959595959513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3.1176470588235294</v>
      </c>
      <c r="D166" s="612">
        <f t="shared" si="18"/>
        <v>2.7692307692307692</v>
      </c>
      <c r="E166" s="613">
        <f t="shared" si="19"/>
        <v>-0.34841628959276028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3.822857142857143</v>
      </c>
      <c r="D167" s="612">
        <f t="shared" si="18"/>
        <v>4.1405228758169939</v>
      </c>
      <c r="E167" s="613">
        <f t="shared" si="19"/>
        <v>0.3176657329598509</v>
      </c>
    </row>
    <row r="168" spans="1:5" s="421" customFormat="1" x14ac:dyDescent="0.2">
      <c r="A168" s="588"/>
      <c r="B168" s="592" t="s">
        <v>811</v>
      </c>
      <c r="C168" s="614">
        <f t="shared" si="18"/>
        <v>5.6482079157465606</v>
      </c>
      <c r="D168" s="614">
        <f t="shared" si="18"/>
        <v>5.5728518057285177</v>
      </c>
      <c r="E168" s="615">
        <f t="shared" si="19"/>
        <v>-7.5356110018042877E-2</v>
      </c>
    </row>
    <row r="169" spans="1:5" s="421" customFormat="1" x14ac:dyDescent="0.2">
      <c r="A169" s="588"/>
      <c r="B169" s="592" t="s">
        <v>745</v>
      </c>
      <c r="C169" s="614">
        <f t="shared" si="18"/>
        <v>5.0393110989611811</v>
      </c>
      <c r="D169" s="614">
        <f t="shared" si="18"/>
        <v>5.0326393618056233</v>
      </c>
      <c r="E169" s="615">
        <f t="shared" si="19"/>
        <v>-6.6717371555577998E-3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1.2868299999999999</v>
      </c>
      <c r="D173" s="617">
        <f t="shared" si="20"/>
        <v>1.2779</v>
      </c>
      <c r="E173" s="618">
        <f t="shared" ref="E173:E181" si="21">D173-C173</f>
        <v>-8.9299999999998825E-3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1.5812900000000001</v>
      </c>
      <c r="D174" s="617">
        <f t="shared" si="20"/>
        <v>1.5479000000000001</v>
      </c>
      <c r="E174" s="618">
        <f t="shared" si="21"/>
        <v>-3.3390000000000031E-2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1.0599721092564494</v>
      </c>
      <c r="D175" s="617">
        <f t="shared" si="20"/>
        <v>1.0828033388981635</v>
      </c>
      <c r="E175" s="618">
        <f t="shared" si="21"/>
        <v>2.2831229641714135E-2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1.0599000000000001</v>
      </c>
      <c r="D176" s="617">
        <f t="shared" si="20"/>
        <v>1.0754999999999999</v>
      </c>
      <c r="E176" s="618">
        <f t="shared" si="21"/>
        <v>1.5599999999999836E-2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1.0643</v>
      </c>
      <c r="D177" s="617">
        <f t="shared" si="20"/>
        <v>1.4732000000000001</v>
      </c>
      <c r="E177" s="618">
        <f t="shared" si="21"/>
        <v>0.40890000000000004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0.71519999999999995</v>
      </c>
      <c r="D178" s="617">
        <f t="shared" si="20"/>
        <v>0.64140000000000008</v>
      </c>
      <c r="E178" s="618">
        <f t="shared" si="21"/>
        <v>-7.3799999999999866E-2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1.0898000000000001</v>
      </c>
      <c r="D179" s="617">
        <f t="shared" si="20"/>
        <v>1.2467999999999999</v>
      </c>
      <c r="E179" s="618">
        <f t="shared" si="21"/>
        <v>0.15699999999999981</v>
      </c>
    </row>
    <row r="180" spans="1:5" s="421" customFormat="1" x14ac:dyDescent="0.2">
      <c r="A180" s="588"/>
      <c r="B180" s="592" t="s">
        <v>813</v>
      </c>
      <c r="C180" s="619">
        <f t="shared" si="20"/>
        <v>1.432896122812978</v>
      </c>
      <c r="D180" s="619">
        <f t="shared" si="20"/>
        <v>1.4237240128928284</v>
      </c>
      <c r="E180" s="620">
        <f t="shared" si="21"/>
        <v>-9.172109920149607E-3</v>
      </c>
    </row>
    <row r="181" spans="1:5" s="421" customFormat="1" x14ac:dyDescent="0.2">
      <c r="A181" s="588"/>
      <c r="B181" s="592" t="s">
        <v>724</v>
      </c>
      <c r="C181" s="619">
        <f t="shared" si="20"/>
        <v>1.3808585691634776</v>
      </c>
      <c r="D181" s="619">
        <f t="shared" si="20"/>
        <v>1.3747306060900863</v>
      </c>
      <c r="E181" s="620">
        <f t="shared" si="21"/>
        <v>-6.1279630733912516E-3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474922116</v>
      </c>
      <c r="D185" s="589">
        <v>535124832</v>
      </c>
      <c r="E185" s="590">
        <f>D185-C185</f>
        <v>60202716</v>
      </c>
    </row>
    <row r="186" spans="1:5" s="421" customFormat="1" ht="25.5" x14ac:dyDescent="0.2">
      <c r="A186" s="588">
        <v>2</v>
      </c>
      <c r="B186" s="587" t="s">
        <v>816</v>
      </c>
      <c r="C186" s="589">
        <v>289817237</v>
      </c>
      <c r="D186" s="589">
        <v>312135754</v>
      </c>
      <c r="E186" s="590">
        <f>D186-C186</f>
        <v>22318517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185104879</v>
      </c>
      <c r="D188" s="622">
        <f>+D185-D186</f>
        <v>222989078</v>
      </c>
      <c r="E188" s="590">
        <f t="shared" ref="E188:E197" si="22">D188-C188</f>
        <v>37884199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0.3897583893524133</v>
      </c>
      <c r="D189" s="623">
        <f>IF(D185=0,0,+D188/D185)</f>
        <v>0.4167047848753167</v>
      </c>
      <c r="E189" s="599">
        <f t="shared" si="22"/>
        <v>2.6946395522903399E-2</v>
      </c>
    </row>
    <row r="190" spans="1:5" s="421" customFormat="1" x14ac:dyDescent="0.2">
      <c r="A190" s="588">
        <v>5</v>
      </c>
      <c r="B190" s="587" t="s">
        <v>763</v>
      </c>
      <c r="C190" s="589">
        <v>28272630</v>
      </c>
      <c r="D190" s="589">
        <v>33602226</v>
      </c>
      <c r="E190" s="622">
        <f t="shared" si="22"/>
        <v>5329596</v>
      </c>
    </row>
    <row r="191" spans="1:5" s="421" customFormat="1" x14ac:dyDescent="0.2">
      <c r="A191" s="588">
        <v>6</v>
      </c>
      <c r="B191" s="587" t="s">
        <v>749</v>
      </c>
      <c r="C191" s="589">
        <v>17658659</v>
      </c>
      <c r="D191" s="589">
        <v>20378593</v>
      </c>
      <c r="E191" s="622">
        <f t="shared" si="22"/>
        <v>2719934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12601255</v>
      </c>
      <c r="D193" s="589">
        <v>16274798</v>
      </c>
      <c r="E193" s="622">
        <f t="shared" si="22"/>
        <v>3673543</v>
      </c>
    </row>
    <row r="194" spans="1:5" s="421" customFormat="1" x14ac:dyDescent="0.2">
      <c r="A194" s="588">
        <v>9</v>
      </c>
      <c r="B194" s="587" t="s">
        <v>819</v>
      </c>
      <c r="C194" s="589">
        <v>15123888</v>
      </c>
      <c r="D194" s="589">
        <v>21154457</v>
      </c>
      <c r="E194" s="622">
        <f t="shared" si="22"/>
        <v>6030569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27725143</v>
      </c>
      <c r="D195" s="589">
        <f>+D193+D194</f>
        <v>37429255</v>
      </c>
      <c r="E195" s="625">
        <f t="shared" si="22"/>
        <v>9704112</v>
      </c>
    </row>
    <row r="196" spans="1:5" s="421" customFormat="1" x14ac:dyDescent="0.2">
      <c r="A196" s="588">
        <v>11</v>
      </c>
      <c r="B196" s="587" t="s">
        <v>821</v>
      </c>
      <c r="C196" s="589">
        <v>15495383</v>
      </c>
      <c r="D196" s="589">
        <v>16591387</v>
      </c>
      <c r="E196" s="622">
        <f t="shared" si="22"/>
        <v>1096004</v>
      </c>
    </row>
    <row r="197" spans="1:5" s="421" customFormat="1" x14ac:dyDescent="0.2">
      <c r="A197" s="588">
        <v>12</v>
      </c>
      <c r="B197" s="587" t="s">
        <v>711</v>
      </c>
      <c r="C197" s="589">
        <v>502208728</v>
      </c>
      <c r="D197" s="589">
        <v>624338000</v>
      </c>
      <c r="E197" s="622">
        <f t="shared" si="22"/>
        <v>122129272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8384.9842799999988</v>
      </c>
      <c r="D203" s="629">
        <v>8826.4552999999996</v>
      </c>
      <c r="E203" s="630">
        <f t="shared" ref="E203:E211" si="23">D203-C203</f>
        <v>441.47102000000086</v>
      </c>
    </row>
    <row r="204" spans="1:5" s="421" customFormat="1" x14ac:dyDescent="0.2">
      <c r="A204" s="588">
        <v>2</v>
      </c>
      <c r="B204" s="587" t="s">
        <v>636</v>
      </c>
      <c r="C204" s="629">
        <v>13353.994050000001</v>
      </c>
      <c r="D204" s="629">
        <v>15526.984900000001</v>
      </c>
      <c r="E204" s="630">
        <f t="shared" si="23"/>
        <v>2172.9908500000001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3492.6081000000004</v>
      </c>
      <c r="D205" s="629">
        <f>D206+D207</f>
        <v>3891.5951999999997</v>
      </c>
      <c r="E205" s="630">
        <f t="shared" si="23"/>
        <v>398.98709999999937</v>
      </c>
    </row>
    <row r="206" spans="1:5" s="421" customFormat="1" x14ac:dyDescent="0.2">
      <c r="A206" s="588">
        <v>4</v>
      </c>
      <c r="B206" s="587" t="s">
        <v>115</v>
      </c>
      <c r="C206" s="629">
        <v>3435.1359000000002</v>
      </c>
      <c r="D206" s="629">
        <v>3794.3639999999996</v>
      </c>
      <c r="E206" s="630">
        <f t="shared" si="23"/>
        <v>359.22809999999936</v>
      </c>
    </row>
    <row r="207" spans="1:5" s="421" customFormat="1" x14ac:dyDescent="0.2">
      <c r="A207" s="588">
        <v>5</v>
      </c>
      <c r="B207" s="587" t="s">
        <v>744</v>
      </c>
      <c r="C207" s="629">
        <v>57.472200000000001</v>
      </c>
      <c r="D207" s="629">
        <v>97.231200000000001</v>
      </c>
      <c r="E207" s="630">
        <f t="shared" si="23"/>
        <v>39.759</v>
      </c>
    </row>
    <row r="208" spans="1:5" s="421" customFormat="1" x14ac:dyDescent="0.2">
      <c r="A208" s="588">
        <v>6</v>
      </c>
      <c r="B208" s="587" t="s">
        <v>424</v>
      </c>
      <c r="C208" s="629">
        <v>24.316799999999997</v>
      </c>
      <c r="D208" s="629">
        <v>16.676400000000001</v>
      </c>
      <c r="E208" s="630">
        <f t="shared" si="23"/>
        <v>-7.6403999999999961</v>
      </c>
    </row>
    <row r="209" spans="1:5" s="421" customFormat="1" x14ac:dyDescent="0.2">
      <c r="A209" s="588">
        <v>7</v>
      </c>
      <c r="B209" s="587" t="s">
        <v>759</v>
      </c>
      <c r="C209" s="629">
        <v>190.71500000000003</v>
      </c>
      <c r="D209" s="629">
        <v>381.52079999999995</v>
      </c>
      <c r="E209" s="630">
        <f t="shared" si="23"/>
        <v>190.80579999999992</v>
      </c>
    </row>
    <row r="210" spans="1:5" s="421" customFormat="1" x14ac:dyDescent="0.2">
      <c r="A210" s="588"/>
      <c r="B210" s="592" t="s">
        <v>824</v>
      </c>
      <c r="C210" s="631">
        <f>C204+C205+C208</f>
        <v>16870.918950000003</v>
      </c>
      <c r="D210" s="631">
        <f>D204+D205+D208</f>
        <v>19435.2565</v>
      </c>
      <c r="E210" s="632">
        <f t="shared" si="23"/>
        <v>2564.3375499999966</v>
      </c>
    </row>
    <row r="211" spans="1:5" s="421" customFormat="1" x14ac:dyDescent="0.2">
      <c r="A211" s="588"/>
      <c r="B211" s="592" t="s">
        <v>725</v>
      </c>
      <c r="C211" s="631">
        <f>C210+C203</f>
        <v>25255.903230000004</v>
      </c>
      <c r="D211" s="631">
        <f>D210+D203</f>
        <v>28261.711799999997</v>
      </c>
      <c r="E211" s="632">
        <f t="shared" si="23"/>
        <v>3005.8085699999938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12502.683277490512</v>
      </c>
      <c r="D215" s="633">
        <f>IF(D14*D137=0,0,D25/D14*D137)</f>
        <v>13990.596799843119</v>
      </c>
      <c r="E215" s="633">
        <f t="shared" ref="E215:E223" si="24">D215-C215</f>
        <v>1487.9135223526064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6530.3051281484541</v>
      </c>
      <c r="D216" s="633">
        <f>IF(D15*D138=0,0,D26/D15*D138)</f>
        <v>8232.9037406695807</v>
      </c>
      <c r="E216" s="633">
        <f t="shared" si="24"/>
        <v>1702.5986125211266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3603.5169577892184</v>
      </c>
      <c r="D217" s="633">
        <f>D218+D219</f>
        <v>4714.3084863317863</v>
      </c>
      <c r="E217" s="633">
        <f t="shared" si="24"/>
        <v>1110.7915285425679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3573.8982984543895</v>
      </c>
      <c r="D218" s="633">
        <f t="shared" si="25"/>
        <v>4668.3682741206603</v>
      </c>
      <c r="E218" s="633">
        <f t="shared" si="24"/>
        <v>1094.4699756662708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29.618659334828855</v>
      </c>
      <c r="D219" s="633">
        <f t="shared" si="25"/>
        <v>45.940212211125804</v>
      </c>
      <c r="E219" s="633">
        <f t="shared" si="24"/>
        <v>16.321552876296948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61.880438723544302</v>
      </c>
      <c r="D220" s="633">
        <f t="shared" si="25"/>
        <v>93.009687105665819</v>
      </c>
      <c r="E220" s="633">
        <f t="shared" si="24"/>
        <v>31.129248382121517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942.32018596599085</v>
      </c>
      <c r="D221" s="633">
        <f t="shared" si="25"/>
        <v>996.67501572625633</v>
      </c>
      <c r="E221" s="633">
        <f t="shared" si="24"/>
        <v>54.354829760265488</v>
      </c>
    </row>
    <row r="222" spans="1:5" s="421" customFormat="1" x14ac:dyDescent="0.2">
      <c r="A222" s="588"/>
      <c r="B222" s="592" t="s">
        <v>826</v>
      </c>
      <c r="C222" s="634">
        <f>C216+C218+C219+C220</f>
        <v>10195.702524661217</v>
      </c>
      <c r="D222" s="634">
        <f>D216+D218+D219+D220</f>
        <v>13040.221914107033</v>
      </c>
      <c r="E222" s="634">
        <f t="shared" si="24"/>
        <v>2844.5193894458152</v>
      </c>
    </row>
    <row r="223" spans="1:5" s="421" customFormat="1" x14ac:dyDescent="0.2">
      <c r="A223" s="588"/>
      <c r="B223" s="592" t="s">
        <v>827</v>
      </c>
      <c r="C223" s="634">
        <f>C215+C222</f>
        <v>22698.38580215173</v>
      </c>
      <c r="D223" s="634">
        <f>D215+D222</f>
        <v>27030.818713950153</v>
      </c>
      <c r="E223" s="634">
        <f t="shared" si="24"/>
        <v>4332.4329117984234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12739.120841858037</v>
      </c>
      <c r="D227" s="636">
        <f t="shared" si="26"/>
        <v>12595.837198654368</v>
      </c>
      <c r="E227" s="636">
        <f t="shared" ref="E227:E235" si="27">D227-C227</f>
        <v>-143.28364320366927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7708.9996906206488</v>
      </c>
      <c r="D228" s="636">
        <f t="shared" si="26"/>
        <v>7843.6330546054687</v>
      </c>
      <c r="E228" s="636">
        <f t="shared" si="27"/>
        <v>134.63336398481988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4723.144861285753</v>
      </c>
      <c r="D229" s="636">
        <f t="shared" si="26"/>
        <v>4828.4621175398715</v>
      </c>
      <c r="E229" s="636">
        <f t="shared" si="27"/>
        <v>105.31725625411855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4659.1236754272222</v>
      </c>
      <c r="D230" s="636">
        <f t="shared" si="26"/>
        <v>4794.6894393895791</v>
      </c>
      <c r="E230" s="636">
        <f t="shared" si="27"/>
        <v>135.56576396235687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8549.7162106200904</v>
      </c>
      <c r="D231" s="636">
        <f t="shared" si="26"/>
        <v>6146.4118513398989</v>
      </c>
      <c r="E231" s="636">
        <f t="shared" si="27"/>
        <v>-2403.3043592801914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8486.02612185814</v>
      </c>
      <c r="D232" s="636">
        <f t="shared" si="26"/>
        <v>6036.6146170636348</v>
      </c>
      <c r="E232" s="636">
        <f t="shared" si="27"/>
        <v>-2449.4115047945052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7523.5298744199445</v>
      </c>
      <c r="D233" s="636">
        <f t="shared" si="26"/>
        <v>6235.418881486934</v>
      </c>
      <c r="E233" s="636">
        <f t="shared" si="27"/>
        <v>-1288.1109929330105</v>
      </c>
    </row>
    <row r="234" spans="1:5" x14ac:dyDescent="0.2">
      <c r="A234" s="588"/>
      <c r="B234" s="592" t="s">
        <v>829</v>
      </c>
      <c r="C234" s="637">
        <f t="shared" si="26"/>
        <v>7091.989674931132</v>
      </c>
      <c r="D234" s="637">
        <f t="shared" si="26"/>
        <v>7238.3434198565892</v>
      </c>
      <c r="E234" s="637">
        <f t="shared" si="27"/>
        <v>146.35374492545725</v>
      </c>
    </row>
    <row r="235" spans="1:5" s="421" customFormat="1" x14ac:dyDescent="0.2">
      <c r="A235" s="588"/>
      <c r="B235" s="592" t="s">
        <v>830</v>
      </c>
      <c r="C235" s="637">
        <f t="shared" si="26"/>
        <v>8966.8426798133551</v>
      </c>
      <c r="D235" s="637">
        <f t="shared" si="26"/>
        <v>8911.5499012342207</v>
      </c>
      <c r="E235" s="637">
        <f t="shared" si="27"/>
        <v>-55.292778579134392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15890.197055353725</v>
      </c>
      <c r="D239" s="636">
        <f t="shared" si="28"/>
        <v>15743.597156803909</v>
      </c>
      <c r="E239" s="638">
        <f t="shared" ref="E239:E247" si="29">D239-C239</f>
        <v>-146.59989854981541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12167.176332620784</v>
      </c>
      <c r="D240" s="636">
        <f t="shared" si="28"/>
        <v>12127.483102563236</v>
      </c>
      <c r="E240" s="638">
        <f t="shared" si="29"/>
        <v>-39.693230057548135</v>
      </c>
    </row>
    <row r="241" spans="1:5" x14ac:dyDescent="0.2">
      <c r="A241" s="588">
        <v>3</v>
      </c>
      <c r="B241" s="587" t="s">
        <v>778</v>
      </c>
      <c r="C241" s="636">
        <f t="shared" si="28"/>
        <v>4993.9554082300047</v>
      </c>
      <c r="D241" s="636">
        <f t="shared" si="28"/>
        <v>5196.736927808206</v>
      </c>
      <c r="E241" s="638">
        <f t="shared" si="29"/>
        <v>202.78151957820137</v>
      </c>
    </row>
    <row r="242" spans="1:5" x14ac:dyDescent="0.2">
      <c r="A242" s="588">
        <v>4</v>
      </c>
      <c r="B242" s="587" t="s">
        <v>115</v>
      </c>
      <c r="C242" s="636">
        <f t="shared" si="28"/>
        <v>5005.7661147596073</v>
      </c>
      <c r="D242" s="636">
        <f t="shared" si="28"/>
        <v>5176.3803926869496</v>
      </c>
      <c r="E242" s="638">
        <f t="shared" si="29"/>
        <v>170.6142779273423</v>
      </c>
    </row>
    <row r="243" spans="1:5" x14ac:dyDescent="0.2">
      <c r="A243" s="588">
        <v>5</v>
      </c>
      <c r="B243" s="587" t="s">
        <v>744</v>
      </c>
      <c r="C243" s="636">
        <f t="shared" si="28"/>
        <v>3568.8313507053876</v>
      </c>
      <c r="D243" s="636">
        <f t="shared" si="28"/>
        <v>7265.334310300972</v>
      </c>
      <c r="E243" s="638">
        <f t="shared" si="29"/>
        <v>3696.5029595955843</v>
      </c>
    </row>
    <row r="244" spans="1:5" x14ac:dyDescent="0.2">
      <c r="A244" s="588">
        <v>6</v>
      </c>
      <c r="B244" s="587" t="s">
        <v>424</v>
      </c>
      <c r="C244" s="636">
        <f t="shared" si="28"/>
        <v>3565.908783966704</v>
      </c>
      <c r="D244" s="636">
        <f t="shared" si="28"/>
        <v>4110.3568014982757</v>
      </c>
      <c r="E244" s="638">
        <f t="shared" si="29"/>
        <v>544.44801753157162</v>
      </c>
    </row>
    <row r="245" spans="1:5" x14ac:dyDescent="0.2">
      <c r="A245" s="588">
        <v>7</v>
      </c>
      <c r="B245" s="587" t="s">
        <v>759</v>
      </c>
      <c r="C245" s="636">
        <f t="shared" si="28"/>
        <v>8199.1430461395703</v>
      </c>
      <c r="D245" s="636">
        <f t="shared" si="28"/>
        <v>7774.3225000516832</v>
      </c>
      <c r="E245" s="638">
        <f t="shared" si="29"/>
        <v>-424.82054608788712</v>
      </c>
    </row>
    <row r="246" spans="1:5" ht="25.5" x14ac:dyDescent="0.2">
      <c r="A246" s="588"/>
      <c r="B246" s="592" t="s">
        <v>832</v>
      </c>
      <c r="C246" s="637">
        <f t="shared" si="28"/>
        <v>9579.706426678571</v>
      </c>
      <c r="D246" s="637">
        <f t="shared" si="28"/>
        <v>9564.6934401530816</v>
      </c>
      <c r="E246" s="639">
        <f t="shared" si="29"/>
        <v>-15.012986525489396</v>
      </c>
    </row>
    <row r="247" spans="1:5" x14ac:dyDescent="0.2">
      <c r="A247" s="588"/>
      <c r="B247" s="592" t="s">
        <v>833</v>
      </c>
      <c r="C247" s="637">
        <f t="shared" si="28"/>
        <v>13055.63931210949</v>
      </c>
      <c r="D247" s="637">
        <f t="shared" si="28"/>
        <v>12762.767145560318</v>
      </c>
      <c r="E247" s="639">
        <f t="shared" si="29"/>
        <v>-292.87216654917211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25594151.792147938</v>
      </c>
      <c r="D251" s="622">
        <f>((IF((IF(D15=0,0,D26/D15)*D138)=0,0,D59/(IF(D15=0,0,D26/D15)*D138)))-(IF((IF(D17=0,0,D28/D17)*D140)=0,0,D61/(IF(D17=0,0,D28/D17)*D140))))*(IF(D17=0,0,D28/D17)*D140)</f>
        <v>32450307.360940602</v>
      </c>
      <c r="E251" s="622">
        <f>D251-C251</f>
        <v>6856155.5687926635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206353.62288197537</v>
      </c>
      <c r="D252" s="622">
        <f>IF(D231=0,0,(D228-D231)*D207)+IF(D243=0,0,(D240-D243)*D219)</f>
        <v>388391.0015775527</v>
      </c>
      <c r="E252" s="622">
        <f>D252-C252</f>
        <v>182037.37869557732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3774529.7404329362</v>
      </c>
      <c r="D253" s="622">
        <f>IF(D233=0,0,(D228-D233)*D209+IF(D221=0,0,(D240-D245)*D221))</f>
        <v>4952253.5698666424</v>
      </c>
      <c r="E253" s="622">
        <f>D253-C253</f>
        <v>1177723.8294337061</v>
      </c>
    </row>
    <row r="254" spans="1:5" ht="15" customHeight="1" x14ac:dyDescent="0.2">
      <c r="A254" s="588"/>
      <c r="B254" s="592" t="s">
        <v>760</v>
      </c>
      <c r="C254" s="640">
        <f>+C251+C252+C253</f>
        <v>29575035.15546285</v>
      </c>
      <c r="D254" s="640">
        <f>+D251+D252+D253</f>
        <v>37790951.932384796</v>
      </c>
      <c r="E254" s="640">
        <f>D254-C254</f>
        <v>8215916.7769219466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1291510052</v>
      </c>
      <c r="D258" s="625">
        <f>+D44</f>
        <v>1544327256</v>
      </c>
      <c r="E258" s="622">
        <f t="shared" ref="E258:E271" si="30">D258-C258</f>
        <v>252817204</v>
      </c>
    </row>
    <row r="259" spans="1:5" x14ac:dyDescent="0.2">
      <c r="A259" s="588">
        <v>2</v>
      </c>
      <c r="B259" s="587" t="s">
        <v>743</v>
      </c>
      <c r="C259" s="622">
        <f>+(C43-C76)</f>
        <v>539242936</v>
      </c>
      <c r="D259" s="625">
        <f>+(D43-D76)</f>
        <v>667392918</v>
      </c>
      <c r="E259" s="622">
        <f t="shared" si="30"/>
        <v>128149982</v>
      </c>
    </row>
    <row r="260" spans="1:5" x14ac:dyDescent="0.2">
      <c r="A260" s="588">
        <v>3</v>
      </c>
      <c r="B260" s="587" t="s">
        <v>747</v>
      </c>
      <c r="C260" s="622">
        <f>C195</f>
        <v>27725143</v>
      </c>
      <c r="D260" s="622">
        <f>D195</f>
        <v>37429255</v>
      </c>
      <c r="E260" s="622">
        <f t="shared" si="30"/>
        <v>9704112</v>
      </c>
    </row>
    <row r="261" spans="1:5" x14ac:dyDescent="0.2">
      <c r="A261" s="588">
        <v>4</v>
      </c>
      <c r="B261" s="587" t="s">
        <v>748</v>
      </c>
      <c r="C261" s="622">
        <f>C188</f>
        <v>185104879</v>
      </c>
      <c r="D261" s="622">
        <f>D188</f>
        <v>222989078</v>
      </c>
      <c r="E261" s="622">
        <f t="shared" si="30"/>
        <v>37884199</v>
      </c>
    </row>
    <row r="262" spans="1:5" x14ac:dyDescent="0.2">
      <c r="A262" s="588">
        <v>5</v>
      </c>
      <c r="B262" s="587" t="s">
        <v>749</v>
      </c>
      <c r="C262" s="622">
        <f>C191</f>
        <v>17658659</v>
      </c>
      <c r="D262" s="622">
        <f>D191</f>
        <v>20378593</v>
      </c>
      <c r="E262" s="622">
        <f t="shared" si="30"/>
        <v>2719934</v>
      </c>
    </row>
    <row r="263" spans="1:5" x14ac:dyDescent="0.2">
      <c r="A263" s="588">
        <v>6</v>
      </c>
      <c r="B263" s="587" t="s">
        <v>750</v>
      </c>
      <c r="C263" s="622">
        <f>+C259+C260+C261+C262</f>
        <v>769731617</v>
      </c>
      <c r="D263" s="622">
        <f>+D259+D260+D261+D262</f>
        <v>948189844</v>
      </c>
      <c r="E263" s="622">
        <f t="shared" si="30"/>
        <v>178458227</v>
      </c>
    </row>
    <row r="264" spans="1:5" x14ac:dyDescent="0.2">
      <c r="A264" s="588">
        <v>7</v>
      </c>
      <c r="B264" s="587" t="s">
        <v>655</v>
      </c>
      <c r="C264" s="622">
        <f>+C258-C263</f>
        <v>521778435</v>
      </c>
      <c r="D264" s="622">
        <f>+D258-D263</f>
        <v>596137412</v>
      </c>
      <c r="E264" s="622">
        <f t="shared" si="30"/>
        <v>74358977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521778435</v>
      </c>
      <c r="D266" s="622">
        <f>+D264+D265</f>
        <v>596137412</v>
      </c>
      <c r="E266" s="641">
        <f t="shared" si="30"/>
        <v>74358977</v>
      </c>
    </row>
    <row r="267" spans="1:5" x14ac:dyDescent="0.2">
      <c r="A267" s="588">
        <v>10</v>
      </c>
      <c r="B267" s="587" t="s">
        <v>838</v>
      </c>
      <c r="C267" s="642">
        <f>IF(C258=0,0,C266/C258)</f>
        <v>0.40400648387675114</v>
      </c>
      <c r="D267" s="642">
        <f>IF(D258=0,0,D266/D258)</f>
        <v>0.38601754238545927</v>
      </c>
      <c r="E267" s="643">
        <f t="shared" si="30"/>
        <v>-1.7988941491291877E-2</v>
      </c>
    </row>
    <row r="268" spans="1:5" x14ac:dyDescent="0.2">
      <c r="A268" s="588">
        <v>11</v>
      </c>
      <c r="B268" s="587" t="s">
        <v>717</v>
      </c>
      <c r="C268" s="622">
        <f>+C260*C267</f>
        <v>11201137.53841012</v>
      </c>
      <c r="D268" s="644">
        <f>+D260*D267</f>
        <v>14448349.028418664</v>
      </c>
      <c r="E268" s="622">
        <f t="shared" si="30"/>
        <v>3247211.4900085442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36986478.280321032</v>
      </c>
      <c r="D269" s="644">
        <f>((D17+D18+D28+D29)*D267)-(D50+D51+D61+D62)</f>
        <v>38808607.787171677</v>
      </c>
      <c r="E269" s="622">
        <f t="shared" si="30"/>
        <v>1822129.5068506449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48187615.818731152</v>
      </c>
      <c r="D271" s="622">
        <f>+D268+D269+D270</f>
        <v>53256956.815590337</v>
      </c>
      <c r="E271" s="625">
        <f t="shared" si="30"/>
        <v>5069340.9968591854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0.58281458109792494</v>
      </c>
      <c r="D276" s="623">
        <f t="shared" si="31"/>
        <v>0.55005080605567791</v>
      </c>
      <c r="E276" s="650">
        <f t="shared" ref="E276:E284" si="32">D276-C276</f>
        <v>-3.2763775042247034E-2</v>
      </c>
    </row>
    <row r="277" spans="1:5" x14ac:dyDescent="0.2">
      <c r="A277" s="588">
        <v>2</v>
      </c>
      <c r="B277" s="587" t="s">
        <v>636</v>
      </c>
      <c r="C277" s="623">
        <f t="shared" si="31"/>
        <v>0.31576592651708296</v>
      </c>
      <c r="D277" s="623">
        <f t="shared" si="31"/>
        <v>0.30864532954324714</v>
      </c>
      <c r="E277" s="650">
        <f t="shared" si="32"/>
        <v>-7.1205969738358244E-3</v>
      </c>
    </row>
    <row r="278" spans="1:5" x14ac:dyDescent="0.2">
      <c r="A278" s="588">
        <v>3</v>
      </c>
      <c r="B278" s="587" t="s">
        <v>778</v>
      </c>
      <c r="C278" s="623">
        <f t="shared" si="31"/>
        <v>0.19495336958480983</v>
      </c>
      <c r="D278" s="623">
        <f t="shared" si="31"/>
        <v>0.20354300990270396</v>
      </c>
      <c r="E278" s="650">
        <f t="shared" si="32"/>
        <v>8.5896403178941372E-3</v>
      </c>
    </row>
    <row r="279" spans="1:5" x14ac:dyDescent="0.2">
      <c r="A279" s="588">
        <v>4</v>
      </c>
      <c r="B279" s="587" t="s">
        <v>115</v>
      </c>
      <c r="C279" s="623">
        <f t="shared" si="31"/>
        <v>0.19326162512643127</v>
      </c>
      <c r="D279" s="623">
        <f t="shared" si="31"/>
        <v>0.20336981268585033</v>
      </c>
      <c r="E279" s="650">
        <f t="shared" si="32"/>
        <v>1.0108187559419057E-2</v>
      </c>
    </row>
    <row r="280" spans="1:5" x14ac:dyDescent="0.2">
      <c r="A280" s="588">
        <v>5</v>
      </c>
      <c r="B280" s="587" t="s">
        <v>744</v>
      </c>
      <c r="C280" s="623">
        <f t="shared" si="31"/>
        <v>0.27270784794502456</v>
      </c>
      <c r="D280" s="623">
        <f t="shared" si="31"/>
        <v>0.20896040604451357</v>
      </c>
      <c r="E280" s="650">
        <f t="shared" si="32"/>
        <v>-6.3747441900510987E-2</v>
      </c>
    </row>
    <row r="281" spans="1:5" x14ac:dyDescent="0.2">
      <c r="A281" s="588">
        <v>6</v>
      </c>
      <c r="B281" s="587" t="s">
        <v>424</v>
      </c>
      <c r="C281" s="623">
        <f t="shared" si="31"/>
        <v>0.38367485818088515</v>
      </c>
      <c r="D281" s="623">
        <f t="shared" si="31"/>
        <v>0.27555559205213903</v>
      </c>
      <c r="E281" s="650">
        <f t="shared" si="32"/>
        <v>-0.10811926612874612</v>
      </c>
    </row>
    <row r="282" spans="1:5" x14ac:dyDescent="0.2">
      <c r="A282" s="588">
        <v>7</v>
      </c>
      <c r="B282" s="587" t="s">
        <v>759</v>
      </c>
      <c r="C282" s="623">
        <f t="shared" si="31"/>
        <v>0.28201710283320219</v>
      </c>
      <c r="D282" s="623">
        <f t="shared" si="31"/>
        <v>0.24005038052797842</v>
      </c>
      <c r="E282" s="650">
        <f t="shared" si="32"/>
        <v>-4.1966722305223775E-2</v>
      </c>
    </row>
    <row r="283" spans="1:5" ht="29.25" customHeight="1" x14ac:dyDescent="0.2">
      <c r="A283" s="588"/>
      <c r="B283" s="592" t="s">
        <v>845</v>
      </c>
      <c r="C283" s="651">
        <f t="shared" si="31"/>
        <v>0.29099266307960564</v>
      </c>
      <c r="D283" s="651">
        <f t="shared" si="31"/>
        <v>0.28870818370460166</v>
      </c>
      <c r="E283" s="652">
        <f t="shared" si="32"/>
        <v>-2.2844793750039782E-3</v>
      </c>
    </row>
    <row r="284" spans="1:5" x14ac:dyDescent="0.2">
      <c r="A284" s="588"/>
      <c r="B284" s="592" t="s">
        <v>846</v>
      </c>
      <c r="C284" s="651">
        <f t="shared" si="31"/>
        <v>0.380965767840592</v>
      </c>
      <c r="D284" s="651">
        <f t="shared" si="31"/>
        <v>0.36533044463649272</v>
      </c>
      <c r="E284" s="652">
        <f t="shared" si="32"/>
        <v>-1.5635323204099272E-2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0.56493574833769089</v>
      </c>
      <c r="D287" s="623">
        <f t="shared" si="33"/>
        <v>0.53800073027712747</v>
      </c>
      <c r="E287" s="650">
        <f t="shared" ref="E287:E295" si="34">D287-C287</f>
        <v>-2.693501806056342E-2</v>
      </c>
    </row>
    <row r="288" spans="1:5" x14ac:dyDescent="0.2">
      <c r="A288" s="588">
        <v>2</v>
      </c>
      <c r="B288" s="587" t="s">
        <v>636</v>
      </c>
      <c r="C288" s="623">
        <f t="shared" si="33"/>
        <v>0.31517046609872967</v>
      </c>
      <c r="D288" s="623">
        <f t="shared" si="33"/>
        <v>0.30829765363683259</v>
      </c>
      <c r="E288" s="650">
        <f t="shared" si="34"/>
        <v>-6.8728124618970821E-3</v>
      </c>
    </row>
    <row r="289" spans="1:5" x14ac:dyDescent="0.2">
      <c r="A289" s="588">
        <v>3</v>
      </c>
      <c r="B289" s="587" t="s">
        <v>778</v>
      </c>
      <c r="C289" s="623">
        <f t="shared" si="33"/>
        <v>0.19495336732870794</v>
      </c>
      <c r="D289" s="623">
        <f t="shared" si="33"/>
        <v>0.2035430027739035</v>
      </c>
      <c r="E289" s="650">
        <f t="shared" si="34"/>
        <v>8.5896354451955592E-3</v>
      </c>
    </row>
    <row r="290" spans="1:5" x14ac:dyDescent="0.2">
      <c r="A290" s="588">
        <v>4</v>
      </c>
      <c r="B290" s="587" t="s">
        <v>115</v>
      </c>
      <c r="C290" s="623">
        <f t="shared" si="33"/>
        <v>0.19590569009910605</v>
      </c>
      <c r="D290" s="623">
        <f t="shared" si="33"/>
        <v>0.20414642313020517</v>
      </c>
      <c r="E290" s="650">
        <f t="shared" si="34"/>
        <v>8.2407330310991234E-3</v>
      </c>
    </row>
    <row r="291" spans="1:5" x14ac:dyDescent="0.2">
      <c r="A291" s="588">
        <v>5</v>
      </c>
      <c r="B291" s="587" t="s">
        <v>744</v>
      </c>
      <c r="C291" s="623">
        <f t="shared" si="33"/>
        <v>0.10695667659629582</v>
      </c>
      <c r="D291" s="623">
        <f t="shared" si="33"/>
        <v>0.16766261622620848</v>
      </c>
      <c r="E291" s="650">
        <f t="shared" si="34"/>
        <v>6.0705939629912664E-2</v>
      </c>
    </row>
    <row r="292" spans="1:5" x14ac:dyDescent="0.2">
      <c r="A292" s="588">
        <v>6</v>
      </c>
      <c r="B292" s="587" t="s">
        <v>424</v>
      </c>
      <c r="C292" s="623">
        <f t="shared" si="33"/>
        <v>0.22542480408392185</v>
      </c>
      <c r="D292" s="623">
        <f t="shared" si="33"/>
        <v>0.29252726113840649</v>
      </c>
      <c r="E292" s="650">
        <f t="shared" si="34"/>
        <v>6.7102457054484643E-2</v>
      </c>
    </row>
    <row r="293" spans="1:5" x14ac:dyDescent="0.2">
      <c r="A293" s="588">
        <v>7</v>
      </c>
      <c r="B293" s="587" t="s">
        <v>759</v>
      </c>
      <c r="C293" s="623">
        <f t="shared" si="33"/>
        <v>0.28201710933391894</v>
      </c>
      <c r="D293" s="623">
        <f t="shared" si="33"/>
        <v>0.2400504496504316</v>
      </c>
      <c r="E293" s="650">
        <f t="shared" si="34"/>
        <v>-4.196665968348734E-2</v>
      </c>
    </row>
    <row r="294" spans="1:5" ht="29.25" customHeight="1" x14ac:dyDescent="0.2">
      <c r="A294" s="588"/>
      <c r="B294" s="592" t="s">
        <v>848</v>
      </c>
      <c r="C294" s="651">
        <f t="shared" si="33"/>
        <v>0.28278713346853762</v>
      </c>
      <c r="D294" s="651">
        <f t="shared" si="33"/>
        <v>0.27995103649481551</v>
      </c>
      <c r="E294" s="652">
        <f t="shared" si="34"/>
        <v>-2.8360969737221131E-3</v>
      </c>
    </row>
    <row r="295" spans="1:5" x14ac:dyDescent="0.2">
      <c r="A295" s="588"/>
      <c r="B295" s="592" t="s">
        <v>849</v>
      </c>
      <c r="C295" s="651">
        <f t="shared" si="33"/>
        <v>0.42513212199063077</v>
      </c>
      <c r="D295" s="651">
        <f t="shared" si="33"/>
        <v>0.40352504771679443</v>
      </c>
      <c r="E295" s="652">
        <f t="shared" si="34"/>
        <v>-2.1607074273836346E-2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522807649</v>
      </c>
      <c r="D301" s="590">
        <f>+D48+D47+D50+D51+D52+D59+D58+D61+D62+D63</f>
        <v>596843700</v>
      </c>
      <c r="E301" s="590">
        <f>D301-C301</f>
        <v>74036051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522807649</v>
      </c>
      <c r="D303" s="593">
        <f>+D301+D302</f>
        <v>596843700</v>
      </c>
      <c r="E303" s="593">
        <f>D303-C303</f>
        <v>74036051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-18314843</v>
      </c>
      <c r="D305" s="654">
        <v>-3967700</v>
      </c>
      <c r="E305" s="655">
        <f>D305-C305</f>
        <v>14347143</v>
      </c>
    </row>
    <row r="306" spans="1:5" x14ac:dyDescent="0.2">
      <c r="A306" s="588">
        <v>4</v>
      </c>
      <c r="B306" s="592" t="s">
        <v>856</v>
      </c>
      <c r="C306" s="593">
        <f>+C303+C305+C194+C190-C191</f>
        <v>530230665</v>
      </c>
      <c r="D306" s="593">
        <f>+D303+D305</f>
        <v>592876000</v>
      </c>
      <c r="E306" s="656">
        <f>D306-C306</f>
        <v>62645335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504492756</v>
      </c>
      <c r="D308" s="589">
        <v>592876000</v>
      </c>
      <c r="E308" s="590">
        <f>D308-C308</f>
        <v>88383244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25737909</v>
      </c>
      <c r="D310" s="658">
        <f>D306-D308</f>
        <v>0</v>
      </c>
      <c r="E310" s="656">
        <f>D310-C310</f>
        <v>-25737909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1291510052</v>
      </c>
      <c r="D314" s="590">
        <f>+D14+D15+D16+D19+D25+D26+D27+D30</f>
        <v>1544327256</v>
      </c>
      <c r="E314" s="590">
        <f>D314-C314</f>
        <v>252817204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1291510052</v>
      </c>
      <c r="D316" s="657">
        <f>D314+D315</f>
        <v>1544327256</v>
      </c>
      <c r="E316" s="593">
        <f>D316-C316</f>
        <v>252817204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1291510052</v>
      </c>
      <c r="D318" s="589">
        <v>1544327256</v>
      </c>
      <c r="E318" s="590">
        <f>D318-C318</f>
        <v>252817204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27725143</v>
      </c>
      <c r="D324" s="589">
        <f>+D193+D194</f>
        <v>37429255</v>
      </c>
      <c r="E324" s="590">
        <f>D324-C324</f>
        <v>9704112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27725143</v>
      </c>
      <c r="D326" s="657">
        <f>D324+D325</f>
        <v>37429255</v>
      </c>
      <c r="E326" s="593">
        <f>D326-C326</f>
        <v>9704112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27725143</v>
      </c>
      <c r="D328" s="589">
        <v>37429255</v>
      </c>
      <c r="E328" s="590">
        <f>D328-C328</f>
        <v>9704112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FILING&amp;RDANBURY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202120591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394588741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92316705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89456723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2859982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365331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9910178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487270777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689391368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409408961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323857155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120362875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118372145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1990730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1306897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32278519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445526927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854935888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611529552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932797704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1544327256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111176594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121787972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18790420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18192797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597623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100669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2378942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140679061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251855655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220262320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99844401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24499021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24165250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333771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382303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7748473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124725725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344988045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331438914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265404786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596843700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6907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10031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3594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3528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66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306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13651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20558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1.2779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1.5479000000000001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1.0828033388981635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1.0754999999999999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1.4732000000000001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0.64139999999999997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1.2467999999999999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1.4237240128928284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1.3747306060900863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535124832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312135754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222989078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0.4167047848753167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33602226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20378593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16274798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21154457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37429255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16591387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624338000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596843700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596843700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-3967700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592876000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592876000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1544327256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1544327256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1544327256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37429255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37429255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37429255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FILING&amp;RDANBURY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3348</v>
      </c>
      <c r="D12" s="185">
        <v>3106</v>
      </c>
      <c r="E12" s="185">
        <f>+D12-C12</f>
        <v>-242</v>
      </c>
      <c r="F12" s="77">
        <f>IF(C12=0,0,+E12/C12)</f>
        <v>-7.2281959378733579E-2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3207</v>
      </c>
      <c r="D13" s="185">
        <v>3097</v>
      </c>
      <c r="E13" s="185">
        <f>+D13-C13</f>
        <v>-110</v>
      </c>
      <c r="F13" s="77">
        <f>IF(C13=0,0,+E13/C13)</f>
        <v>-3.4299968818210166E-2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12601255</v>
      </c>
      <c r="D15" s="76">
        <v>16274798</v>
      </c>
      <c r="E15" s="76">
        <f>+D15-C15</f>
        <v>3673543</v>
      </c>
      <c r="F15" s="77">
        <f>IF(C15=0,0,+E15/C15)</f>
        <v>0.29152199522984018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3929.2968506392267</v>
      </c>
      <c r="D16" s="79">
        <f>IF(D13=0,0,+D15/+D13)</f>
        <v>5255.02034226671</v>
      </c>
      <c r="E16" s="79">
        <f>+D16-C16</f>
        <v>1325.7234916274833</v>
      </c>
      <c r="F16" s="80">
        <f>IF(C16=0,0,+E16/C16)</f>
        <v>0.33739458789218524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0.39014399999999999</v>
      </c>
      <c r="D18" s="704">
        <v>0</v>
      </c>
      <c r="E18" s="704">
        <f>+D18-C18</f>
        <v>-0.39014399999999999</v>
      </c>
      <c r="F18" s="77">
        <f>IF(C18=0,0,+E18/C18)</f>
        <v>-1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4916304.0307200002</v>
      </c>
      <c r="D19" s="79">
        <f>+D15*D18</f>
        <v>0</v>
      </c>
      <c r="E19" s="79">
        <f>+D19-C19</f>
        <v>-4916304.0307200002</v>
      </c>
      <c r="F19" s="80">
        <f>IF(C19=0,0,+E19/C19)</f>
        <v>-1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1532.9915904957904</v>
      </c>
      <c r="D20" s="79">
        <f>IF(D13=0,0,+D19/D13)</f>
        <v>0</v>
      </c>
      <c r="E20" s="79">
        <f>+D20-C20</f>
        <v>-1532.9915904957904</v>
      </c>
      <c r="F20" s="80">
        <f>IF(C20=0,0,+E20/C20)</f>
        <v>-1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1608834</v>
      </c>
      <c r="D22" s="76">
        <v>3591917</v>
      </c>
      <c r="E22" s="76">
        <f>+D22-C22</f>
        <v>1983083</v>
      </c>
      <c r="F22" s="77">
        <f>IF(C22=0,0,+E22/C22)</f>
        <v>1.2326212648414938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2901587</v>
      </c>
      <c r="D23" s="185">
        <v>3129220</v>
      </c>
      <c r="E23" s="185">
        <f>+D23-C23</f>
        <v>227633</v>
      </c>
      <c r="F23" s="77">
        <f>IF(C23=0,0,+E23/C23)</f>
        <v>7.8451206184753375E-2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8090834</v>
      </c>
      <c r="D24" s="185">
        <v>9553661</v>
      </c>
      <c r="E24" s="185">
        <f>+D24-C24</f>
        <v>1462827</v>
      </c>
      <c r="F24" s="77">
        <f>IF(C24=0,0,+E24/C24)</f>
        <v>0.18080052068797853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12601255</v>
      </c>
      <c r="D25" s="79">
        <f>+D22+D23+D24</f>
        <v>16274798</v>
      </c>
      <c r="E25" s="79">
        <f>+E22+E23+E24</f>
        <v>3673543</v>
      </c>
      <c r="F25" s="80">
        <f>IF(C25=0,0,+E25/C25)</f>
        <v>0.29152199522984018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252</v>
      </c>
      <c r="D27" s="185">
        <v>480</v>
      </c>
      <c r="E27" s="185">
        <f>+D27-C27</f>
        <v>228</v>
      </c>
      <c r="F27" s="77">
        <f>IF(C27=0,0,+E27/C27)</f>
        <v>0.90476190476190477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53</v>
      </c>
      <c r="D28" s="185">
        <v>102</v>
      </c>
      <c r="E28" s="185">
        <f>+D28-C28</f>
        <v>49</v>
      </c>
      <c r="F28" s="77">
        <f>IF(C28=0,0,+E28/C28)</f>
        <v>0.92452830188679247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1665</v>
      </c>
      <c r="D29" s="185">
        <v>1511</v>
      </c>
      <c r="E29" s="185">
        <f>+D29-C29</f>
        <v>-154</v>
      </c>
      <c r="F29" s="77">
        <f>IF(C29=0,0,+E29/C29)</f>
        <v>-9.2492492492492487E-2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12223</v>
      </c>
      <c r="D30" s="185">
        <v>12213</v>
      </c>
      <c r="E30" s="185">
        <f>+D30-C30</f>
        <v>-10</v>
      </c>
      <c r="F30" s="77">
        <f>IF(C30=0,0,+E30/C30)</f>
        <v>-8.181297553792031E-4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3325943</v>
      </c>
      <c r="D33" s="76">
        <v>5540618</v>
      </c>
      <c r="E33" s="76">
        <f>+D33-C33</f>
        <v>2214675</v>
      </c>
      <c r="F33" s="77">
        <f>IF(C33=0,0,+E33/C33)</f>
        <v>0.66587881993167053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10115480</v>
      </c>
      <c r="D34" s="185">
        <v>12768494</v>
      </c>
      <c r="E34" s="185">
        <f>+D34-C34</f>
        <v>2653014</v>
      </c>
      <c r="F34" s="77">
        <f>IF(C34=0,0,+E34/C34)</f>
        <v>0.26227267514739783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1682465</v>
      </c>
      <c r="D35" s="185">
        <v>2845345</v>
      </c>
      <c r="E35" s="185">
        <f>+D35-C35</f>
        <v>1162880</v>
      </c>
      <c r="F35" s="77">
        <f>IF(C35=0,0,+E35/C35)</f>
        <v>0.69117633947808721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15123888</v>
      </c>
      <c r="D36" s="79">
        <f>+D33+D34+D35</f>
        <v>21154457</v>
      </c>
      <c r="E36" s="79">
        <f>+E33+E34+E35</f>
        <v>6030569</v>
      </c>
      <c r="F36" s="80">
        <f>IF(C36=0,0,+E36/C36)</f>
        <v>0.39874462175334807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12601255</v>
      </c>
      <c r="D39" s="76">
        <f>+D25</f>
        <v>16274798</v>
      </c>
      <c r="E39" s="76">
        <f>+D39-C39</f>
        <v>3673543</v>
      </c>
      <c r="F39" s="77">
        <f>IF(C39=0,0,+E39/C39)</f>
        <v>0.29152199522984018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15123888</v>
      </c>
      <c r="D40" s="185">
        <f>+D36</f>
        <v>21154457</v>
      </c>
      <c r="E40" s="185">
        <f>+D40-C40</f>
        <v>6030569</v>
      </c>
      <c r="F40" s="77">
        <f>IF(C40=0,0,+E40/C40)</f>
        <v>0.39874462175334807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27725143</v>
      </c>
      <c r="D41" s="79">
        <f>+D39+D40</f>
        <v>37429255</v>
      </c>
      <c r="E41" s="79">
        <f>+E39+E40</f>
        <v>9704112</v>
      </c>
      <c r="F41" s="80">
        <f>IF(C41=0,0,+E41/C41)</f>
        <v>0.35001125151996509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4934777</v>
      </c>
      <c r="D43" s="76">
        <f t="shared" si="0"/>
        <v>9132535</v>
      </c>
      <c r="E43" s="76">
        <f>+D43-C43</f>
        <v>4197758</v>
      </c>
      <c r="F43" s="77">
        <f>IF(C43=0,0,+E43/C43)</f>
        <v>0.85064796241045948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13017067</v>
      </c>
      <c r="D44" s="185">
        <f t="shared" si="0"/>
        <v>15897714</v>
      </c>
      <c r="E44" s="185">
        <f>+D44-C44</f>
        <v>2880647</v>
      </c>
      <c r="F44" s="77">
        <f>IF(C44=0,0,+E44/C44)</f>
        <v>0.22129770093370496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9773299</v>
      </c>
      <c r="D45" s="185">
        <f t="shared" si="0"/>
        <v>12399006</v>
      </c>
      <c r="E45" s="185">
        <f>+D45-C45</f>
        <v>2625707</v>
      </c>
      <c r="F45" s="77">
        <f>IF(C45=0,0,+E45/C45)</f>
        <v>0.26866127803927825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27725143</v>
      </c>
      <c r="D46" s="79">
        <f>+D43+D44+D45</f>
        <v>37429255</v>
      </c>
      <c r="E46" s="79">
        <f>+E43+E44+E45</f>
        <v>9704112</v>
      </c>
      <c r="F46" s="80">
        <f>IF(C46=0,0,+E46/C46)</f>
        <v>0.35001125151996509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FILING&amp;RDANBURY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474922116</v>
      </c>
      <c r="D15" s="76">
        <v>535124832</v>
      </c>
      <c r="E15" s="76">
        <f>+D15-C15</f>
        <v>60202716</v>
      </c>
      <c r="F15" s="77">
        <f>IF(C15=0,0,E15/C15)</f>
        <v>0.12676334491864347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185104879</v>
      </c>
      <c r="D17" s="76">
        <v>222989078</v>
      </c>
      <c r="E17" s="76">
        <f>+D17-C17</f>
        <v>37884199</v>
      </c>
      <c r="F17" s="77">
        <f>IF(C17=0,0,E17/C17)</f>
        <v>0.2046634275912306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289817237</v>
      </c>
      <c r="D19" s="79">
        <f>+D15-D17</f>
        <v>312135754</v>
      </c>
      <c r="E19" s="79">
        <f>+D19-C19</f>
        <v>22318517</v>
      </c>
      <c r="F19" s="80">
        <f>IF(C19=0,0,E19/C19)</f>
        <v>7.7008935807361928E-2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0.3897583893524133</v>
      </c>
      <c r="D21" s="720">
        <f>IF(D15=0,0,D17/D15)</f>
        <v>0.4167047848753167</v>
      </c>
      <c r="E21" s="720">
        <f>+D21-C21</f>
        <v>2.6946395522903399E-2</v>
      </c>
      <c r="F21" s="80">
        <f>IF(C21=0,0,E21/C21)</f>
        <v>6.9136152701356993E-2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FILING&amp;R&amp;12DANBURY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558157414</v>
      </c>
      <c r="D10" s="744">
        <v>594451602</v>
      </c>
      <c r="E10" s="744">
        <v>689391368</v>
      </c>
    </row>
    <row r="11" spans="1:6" ht="26.1" customHeight="1" x14ac:dyDescent="0.25">
      <c r="A11" s="742">
        <v>2</v>
      </c>
      <c r="B11" s="743" t="s">
        <v>933</v>
      </c>
      <c r="C11" s="744">
        <v>673733258</v>
      </c>
      <c r="D11" s="744">
        <v>697058450</v>
      </c>
      <c r="E11" s="744">
        <v>854935888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1231890672</v>
      </c>
      <c r="D12" s="744">
        <f>+D11+D10</f>
        <v>1291510052</v>
      </c>
      <c r="E12" s="744">
        <f>+E11+E10</f>
        <v>1544327256</v>
      </c>
    </row>
    <row r="13" spans="1:6" ht="26.1" customHeight="1" x14ac:dyDescent="0.25">
      <c r="A13" s="742">
        <v>4</v>
      </c>
      <c r="B13" s="743" t="s">
        <v>507</v>
      </c>
      <c r="C13" s="744">
        <v>501863239</v>
      </c>
      <c r="D13" s="744">
        <v>506353775</v>
      </c>
      <c r="E13" s="744">
        <v>592876000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486568594</v>
      </c>
      <c r="D16" s="744">
        <v>502208728</v>
      </c>
      <c r="E16" s="744">
        <v>624338000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91003</v>
      </c>
      <c r="D19" s="747">
        <v>92169</v>
      </c>
      <c r="E19" s="747">
        <v>103461</v>
      </c>
    </row>
    <row r="20" spans="1:5" ht="26.1" customHeight="1" x14ac:dyDescent="0.25">
      <c r="A20" s="742">
        <v>2</v>
      </c>
      <c r="B20" s="743" t="s">
        <v>381</v>
      </c>
      <c r="C20" s="748">
        <v>18562</v>
      </c>
      <c r="D20" s="748">
        <v>18290</v>
      </c>
      <c r="E20" s="748">
        <v>20558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4.9026505764465034</v>
      </c>
      <c r="D21" s="749">
        <f>IF(D20=0,0,+D19/D20)</f>
        <v>5.0393110989611811</v>
      </c>
      <c r="E21" s="749">
        <f>IF(E20=0,0,+E19/E20)</f>
        <v>5.0326393618056233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200849.69582436827</v>
      </c>
      <c r="D22" s="748">
        <f>IF(D10=0,0,D19*(D12/D10))</f>
        <v>200247.06735130979</v>
      </c>
      <c r="E22" s="748">
        <f>IF(E10=0,0,E19*(E12/E10))</f>
        <v>231766.23562396562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40967.57308980939</v>
      </c>
      <c r="D23" s="748">
        <f>IF(D10=0,0,D20*(D12/D10))</f>
        <v>39736.992501334025</v>
      </c>
      <c r="E23" s="748">
        <f>IF(E10=0,0,E20*(E12/E10))</f>
        <v>46052.621489812445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1.3296381499838379</v>
      </c>
      <c r="D26" s="750">
        <v>1.3808585691634774</v>
      </c>
      <c r="E26" s="750">
        <v>1.3747306060900866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121001.0605629792</v>
      </c>
      <c r="D27" s="748">
        <f>D19*D26</f>
        <v>127272.35346122854</v>
      </c>
      <c r="E27" s="748">
        <f>E19*E26</f>
        <v>142231.00323668643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24680.743339999997</v>
      </c>
      <c r="D28" s="748">
        <f>D20*D26</f>
        <v>25255.90323</v>
      </c>
      <c r="E28" s="748">
        <f>E20*E26</f>
        <v>28261.711800000001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267057.4179807296</v>
      </c>
      <c r="D29" s="748">
        <f>D22*D26</f>
        <v>276512.87890191213</v>
      </c>
      <c r="E29" s="748">
        <f>E22*E26</f>
        <v>318616.13757055206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54472.048092461817</v>
      </c>
      <c r="D30" s="748">
        <f>D23*D26</f>
        <v>54871.16660825193</v>
      </c>
      <c r="E30" s="748">
        <f>E23*E26</f>
        <v>63309.948252727212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13536.813863279232</v>
      </c>
      <c r="D33" s="744">
        <f>IF(D19=0,0,D12/D19)</f>
        <v>14012.412546517809</v>
      </c>
      <c r="E33" s="744">
        <f>IF(E19=0,0,E12/E19)</f>
        <v>14926.660828718068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66366.268290054955</v>
      </c>
      <c r="D34" s="744">
        <f>IF(D20=0,0,D12/D20)</f>
        <v>70612.906068890108</v>
      </c>
      <c r="E34" s="744">
        <f>IF(E20=0,0,E12/E20)</f>
        <v>75120.500826928692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6133.3957561838624</v>
      </c>
      <c r="D35" s="744">
        <f>IF(D22=0,0,D12/D22)</f>
        <v>6449.5828532369887</v>
      </c>
      <c r="E35" s="744">
        <f>IF(E22=0,0,E12/E22)</f>
        <v>6663.2969718058011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30069.896239629354</v>
      </c>
      <c r="D36" s="744">
        <f>IF(D23=0,0,D12/D23)</f>
        <v>32501.454455986881</v>
      </c>
      <c r="E36" s="744">
        <f>IF(E23=0,0,E12/E23)</f>
        <v>33533.97061971009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4612.8307586980827</v>
      </c>
      <c r="D37" s="744">
        <f>IF(D29=0,0,D12/D29)</f>
        <v>4670.7048768536361</v>
      </c>
      <c r="E37" s="744">
        <f>IF(E29=0,0,E12/E29)</f>
        <v>4846.9837961614085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22615.097378181319</v>
      </c>
      <c r="D38" s="744">
        <f>IF(D30=0,0,D12/D30)</f>
        <v>23537.134925900649</v>
      </c>
      <c r="E38" s="744">
        <f>IF(E30=0,0,E12/E30)</f>
        <v>24393.121438595943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2778.9806288184632</v>
      </c>
      <c r="D39" s="744">
        <f>IF(D22=0,0,D10/D22)</f>
        <v>2968.590800668781</v>
      </c>
      <c r="E39" s="744">
        <f>IF(E22=0,0,E10/E22)</f>
        <v>2974.5116502583173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13624.370981810505</v>
      </c>
      <c r="D40" s="744">
        <f>IF(D23=0,0,D10/D23)</f>
        <v>14959.652570084247</v>
      </c>
      <c r="E40" s="744">
        <f>IF(E23=0,0,E10/E23)</f>
        <v>14969.644413239408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5514.7988417964243</v>
      </c>
      <c r="D43" s="744">
        <f>IF(D19=0,0,D13/D19)</f>
        <v>5493.7535939415638</v>
      </c>
      <c r="E43" s="744">
        <f>IF(E19=0,0,E13/E19)</f>
        <v>5730.4298237983394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27037.13172071975</v>
      </c>
      <c r="D44" s="744">
        <f>IF(D20=0,0,D13/D20)</f>
        <v>27684.733460907599</v>
      </c>
      <c r="E44" s="744">
        <f>IF(E20=0,0,E13/E20)</f>
        <v>28839.186691312385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2498.7005180174688</v>
      </c>
      <c r="D45" s="744">
        <f>IF(D22=0,0,D13/D22)</f>
        <v>2528.6451467060051</v>
      </c>
      <c r="E45" s="744">
        <f>IF(E22=0,0,E13/E22)</f>
        <v>2558.0775318883166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12250.255535025519</v>
      </c>
      <c r="D46" s="744">
        <f>IF(D23=0,0,D13/D23)</f>
        <v>12742.629553129895</v>
      </c>
      <c r="E46" s="744">
        <f>IF(E23=0,0,E13/E23)</f>
        <v>12873.881677531721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1879.2334726916799</v>
      </c>
      <c r="D47" s="744">
        <f>IF(D29=0,0,D13/D29)</f>
        <v>1831.2122640031523</v>
      </c>
      <c r="E47" s="744">
        <f>IF(E29=0,0,E13/E29)</f>
        <v>1860.7845934003196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9213.2250681694295</v>
      </c>
      <c r="D48" s="744">
        <f>IF(D30=0,0,D13/D30)</f>
        <v>9228.0482865449194</v>
      </c>
      <c r="E48" s="744">
        <f>IF(E30=0,0,E13/E30)</f>
        <v>9364.6577885879196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5346.7313605045983</v>
      </c>
      <c r="D51" s="744">
        <f>IF(D19=0,0,D16/D19)</f>
        <v>5448.7813473076631</v>
      </c>
      <c r="E51" s="744">
        <f>IF(E19=0,0,E16/E19)</f>
        <v>6034.5250867476634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26213.155586682471</v>
      </c>
      <c r="D52" s="744">
        <f>IF(D20=0,0,D16/D20)</f>
        <v>27458.104319300164</v>
      </c>
      <c r="E52" s="744">
        <f>IF(E20=0,0,E16/E20)</f>
        <v>30369.588481369785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2422.5508134474685</v>
      </c>
      <c r="D53" s="744">
        <f>IF(D22=0,0,D16/D22)</f>
        <v>2507.9454827617237</v>
      </c>
      <c r="E53" s="744">
        <f>IF(E22=0,0,E16/E22)</f>
        <v>2693.8263820834168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11876.920142019178</v>
      </c>
      <c r="D54" s="744">
        <f>IF(D23=0,0,D16/D23)</f>
        <v>12638.317506870711</v>
      </c>
      <c r="E54" s="744">
        <f>IF(E23=0,0,E16/E23)</f>
        <v>13557.056684343437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1821.9624741339705</v>
      </c>
      <c r="D55" s="744">
        <f>IF(D29=0,0,D16/D29)</f>
        <v>1816.2218338414152</v>
      </c>
      <c r="E55" s="744">
        <f>IF(E29=0,0,E16/E29)</f>
        <v>1959.530376460455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8932.4453740768095</v>
      </c>
      <c r="D56" s="744">
        <f>IF(D30=0,0,D16/D30)</f>
        <v>9152.5068454526754</v>
      </c>
      <c r="E56" s="744">
        <f>IF(E30=0,0,E16/E30)</f>
        <v>9861.6097032286762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59802385</v>
      </c>
      <c r="D59" s="752">
        <v>61078519</v>
      </c>
      <c r="E59" s="752">
        <v>74150000</v>
      </c>
    </row>
    <row r="60" spans="1:6" ht="26.1" customHeight="1" x14ac:dyDescent="0.25">
      <c r="A60" s="742">
        <v>2</v>
      </c>
      <c r="B60" s="743" t="s">
        <v>969</v>
      </c>
      <c r="C60" s="752">
        <v>15272468</v>
      </c>
      <c r="D60" s="752">
        <v>14791328</v>
      </c>
      <c r="E60" s="752">
        <v>18911000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75074853</v>
      </c>
      <c r="D61" s="755">
        <f>D59+D60</f>
        <v>75869847</v>
      </c>
      <c r="E61" s="755">
        <f>E59+E60</f>
        <v>93061000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8426011</v>
      </c>
      <c r="D64" s="744">
        <v>8610701</v>
      </c>
      <c r="E64" s="752">
        <v>9523000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2151854</v>
      </c>
      <c r="D65" s="752">
        <v>2085245</v>
      </c>
      <c r="E65" s="752">
        <v>2429000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10577865</v>
      </c>
      <c r="D66" s="757">
        <f>D64+D65</f>
        <v>10695946</v>
      </c>
      <c r="E66" s="757">
        <f>E64+E65</f>
        <v>11952000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122422314</v>
      </c>
      <c r="D69" s="752">
        <v>121938706</v>
      </c>
      <c r="E69" s="752">
        <v>138094000</v>
      </c>
    </row>
    <row r="70" spans="1:6" ht="26.1" customHeight="1" x14ac:dyDescent="0.25">
      <c r="A70" s="742">
        <v>2</v>
      </c>
      <c r="B70" s="743" t="s">
        <v>977</v>
      </c>
      <c r="C70" s="752">
        <v>31264486</v>
      </c>
      <c r="D70" s="752">
        <v>29529785</v>
      </c>
      <c r="E70" s="752">
        <v>35220000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153686800</v>
      </c>
      <c r="D71" s="755">
        <f>D69+D70</f>
        <v>151468491</v>
      </c>
      <c r="E71" s="755">
        <f>E69+E70</f>
        <v>173314000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190650710</v>
      </c>
      <c r="D75" s="744">
        <f t="shared" si="0"/>
        <v>191627926</v>
      </c>
      <c r="E75" s="744">
        <f t="shared" si="0"/>
        <v>221767000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48688808</v>
      </c>
      <c r="D76" s="744">
        <f t="shared" si="0"/>
        <v>46406358</v>
      </c>
      <c r="E76" s="744">
        <f t="shared" si="0"/>
        <v>56560000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239339518</v>
      </c>
      <c r="D77" s="757">
        <f>D75+D76</f>
        <v>238034284</v>
      </c>
      <c r="E77" s="757">
        <f>E75+E76</f>
        <v>278327000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551.70000000000005</v>
      </c>
      <c r="D80" s="749">
        <v>551.4</v>
      </c>
      <c r="E80" s="749">
        <v>656.6</v>
      </c>
    </row>
    <row r="81" spans="1:5" ht="26.1" customHeight="1" x14ac:dyDescent="0.25">
      <c r="A81" s="742">
        <v>2</v>
      </c>
      <c r="B81" s="743" t="s">
        <v>617</v>
      </c>
      <c r="C81" s="749">
        <v>115.2</v>
      </c>
      <c r="D81" s="749">
        <v>115.8</v>
      </c>
      <c r="E81" s="749">
        <v>123.5</v>
      </c>
    </row>
    <row r="82" spans="1:5" ht="26.1" customHeight="1" x14ac:dyDescent="0.25">
      <c r="A82" s="742">
        <v>3</v>
      </c>
      <c r="B82" s="743" t="s">
        <v>983</v>
      </c>
      <c r="C82" s="749">
        <v>1695</v>
      </c>
      <c r="D82" s="749">
        <v>1683.9</v>
      </c>
      <c r="E82" s="749">
        <v>1938.8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2361.9</v>
      </c>
      <c r="D83" s="759">
        <f>D80+D81+D82</f>
        <v>2351.1</v>
      </c>
      <c r="E83" s="759">
        <f>E80+E81+E82</f>
        <v>2718.9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108396.56516222584</v>
      </c>
      <c r="D86" s="752">
        <f>IF(D80=0,0,D59/D80)</f>
        <v>110769.89299963729</v>
      </c>
      <c r="E86" s="752">
        <f>IF(E80=0,0,E59/E80)</f>
        <v>112930.24672555589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27682.559361972086</v>
      </c>
      <c r="D87" s="752">
        <f>IF(D80=0,0,D60/D80)</f>
        <v>26825.041712005805</v>
      </c>
      <c r="E87" s="752">
        <f>IF(E80=0,0,E60/E80)</f>
        <v>28801.401157477914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136079.12452419792</v>
      </c>
      <c r="D88" s="755">
        <f>+D86+D87</f>
        <v>137594.93471164309</v>
      </c>
      <c r="E88" s="755">
        <f>+E86+E87</f>
        <v>141731.64788303379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73142.456597222219</v>
      </c>
      <c r="D91" s="744">
        <f>IF(D81=0,0,D64/D81)</f>
        <v>74358.385146804838</v>
      </c>
      <c r="E91" s="744">
        <f>IF(E81=0,0,E64/E81)</f>
        <v>77109.311740890684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18679.288194444445</v>
      </c>
      <c r="D92" s="744">
        <f>IF(D81=0,0,D65/D81)</f>
        <v>18007.297063903283</v>
      </c>
      <c r="E92" s="744">
        <f>IF(E81=0,0,E65/E81)</f>
        <v>19668.016194331984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91821.744791666657</v>
      </c>
      <c r="D93" s="757">
        <f>+D91+D92</f>
        <v>92365.682210708124</v>
      </c>
      <c r="E93" s="757">
        <f>+E91+E92</f>
        <v>96777.327935222667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72225.553982300888</v>
      </c>
      <c r="D96" s="752">
        <f>IF(D82=0,0,D69/D82)</f>
        <v>72414.458103212775</v>
      </c>
      <c r="E96" s="752">
        <f>IF(E82=0,0,E69/E82)</f>
        <v>71226.531875386834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18445.124483775809</v>
      </c>
      <c r="D97" s="752">
        <f>IF(D82=0,0,D70/D82)</f>
        <v>17536.543143892155</v>
      </c>
      <c r="E97" s="752">
        <f>IF(E82=0,0,E70/E82)</f>
        <v>18165.875799463585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90670.678466076701</v>
      </c>
      <c r="D98" s="757">
        <f>+D96+D97</f>
        <v>89951.001247104927</v>
      </c>
      <c r="E98" s="757">
        <f>+E96+E97</f>
        <v>89392.407674850416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80719.213345188196</v>
      </c>
      <c r="D101" s="744">
        <f>IF(D83=0,0,D75/D83)</f>
        <v>81505.646718557269</v>
      </c>
      <c r="E101" s="744">
        <f>IF(E83=0,0,E75/E83)</f>
        <v>81564.97112802972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20614.254625513357</v>
      </c>
      <c r="D102" s="761">
        <f>IF(D83=0,0,D76/D83)</f>
        <v>19738.147250223301</v>
      </c>
      <c r="E102" s="761">
        <f>IF(E83=0,0,E76/E83)</f>
        <v>20802.530435102432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101333.46797070155</v>
      </c>
      <c r="D103" s="757">
        <f>+D101+D102</f>
        <v>101243.79396878058</v>
      </c>
      <c r="E103" s="757">
        <f>+E101+E102</f>
        <v>102367.50156313216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2630.0178895201257</v>
      </c>
      <c r="D108" s="744">
        <f>IF(D19=0,0,D77/D19)</f>
        <v>2582.585077412145</v>
      </c>
      <c r="E108" s="744">
        <f>IF(E19=0,0,E77/E19)</f>
        <v>2690.163443229816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12894.058722120461</v>
      </c>
      <c r="D109" s="744">
        <f>IF(D20=0,0,D77/D20)</f>
        <v>13014.449644614544</v>
      </c>
      <c r="E109" s="744">
        <f>IF(E20=0,0,E77/E20)</f>
        <v>13538.622434088918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1191.6349537780177</v>
      </c>
      <c r="D110" s="744">
        <f>IF(D22=0,0,D77/D22)</f>
        <v>1188.7029715266542</v>
      </c>
      <c r="E110" s="744">
        <f>IF(E22=0,0,E77/E22)</f>
        <v>1200.89537309299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5842.1697930536011</v>
      </c>
      <c r="D111" s="744">
        <f>IF(D23=0,0,D77/D23)</f>
        <v>5990.2440777824058</v>
      </c>
      <c r="E111" s="744">
        <f>IF(E23=0,0,E77/E23)</f>
        <v>6043.6733240380299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896.20996042607703</v>
      </c>
      <c r="D112" s="744">
        <f>IF(D29=0,0,D77/D29)</f>
        <v>860.84338980984057</v>
      </c>
      <c r="E112" s="744">
        <f>IF(E29=0,0,E77/E29)</f>
        <v>873.54960148046257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4393.8042791000053</v>
      </c>
      <c r="D113" s="744">
        <f>IF(D30=0,0,D77/D30)</f>
        <v>4338.0576487360968</v>
      </c>
      <c r="E113" s="744">
        <f>IF(E30=0,0,E77/E30)</f>
        <v>4396.260108900191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FILING&amp;R&amp;"Arial,Bold"&amp;12DANBURY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1291510052</v>
      </c>
      <c r="D12" s="76">
        <v>1544328000</v>
      </c>
      <c r="E12" s="76">
        <f t="shared" ref="E12:E21" si="0">D12-C12</f>
        <v>252817948</v>
      </c>
      <c r="F12" s="77">
        <f t="shared" ref="F12:F21" si="1">IF(C12=0,0,E12/C12)</f>
        <v>0.19575375941402273</v>
      </c>
    </row>
    <row r="13" spans="1:8" ht="23.1" customHeight="1" x14ac:dyDescent="0.2">
      <c r="A13" s="74">
        <v>2</v>
      </c>
      <c r="B13" s="75" t="s">
        <v>72</v>
      </c>
      <c r="C13" s="76">
        <v>757431134</v>
      </c>
      <c r="D13" s="76">
        <v>914023000</v>
      </c>
      <c r="E13" s="76">
        <f t="shared" si="0"/>
        <v>156591866</v>
      </c>
      <c r="F13" s="77">
        <f t="shared" si="1"/>
        <v>0.20674073057049699</v>
      </c>
    </row>
    <row r="14" spans="1:8" ht="23.1" customHeight="1" x14ac:dyDescent="0.2">
      <c r="A14" s="74">
        <v>3</v>
      </c>
      <c r="B14" s="75" t="s">
        <v>73</v>
      </c>
      <c r="C14" s="76">
        <v>12601255</v>
      </c>
      <c r="D14" s="76">
        <v>16275000</v>
      </c>
      <c r="E14" s="76">
        <f t="shared" si="0"/>
        <v>3673745</v>
      </c>
      <c r="F14" s="77">
        <f t="shared" si="1"/>
        <v>0.29153802537921819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521477663</v>
      </c>
      <c r="D16" s="79">
        <f>D12-D13-D14-D15</f>
        <v>614030000</v>
      </c>
      <c r="E16" s="79">
        <f t="shared" si="0"/>
        <v>92552337</v>
      </c>
      <c r="F16" s="80">
        <f t="shared" si="1"/>
        <v>0.17748092308989272</v>
      </c>
    </row>
    <row r="17" spans="1:7" ht="23.1" customHeight="1" x14ac:dyDescent="0.2">
      <c r="A17" s="74">
        <v>5</v>
      </c>
      <c r="B17" s="75" t="s">
        <v>76</v>
      </c>
      <c r="C17" s="76">
        <v>15123888</v>
      </c>
      <c r="D17" s="76">
        <v>21154000</v>
      </c>
      <c r="E17" s="76">
        <f t="shared" si="0"/>
        <v>6030112</v>
      </c>
      <c r="F17" s="77">
        <f t="shared" si="1"/>
        <v>0.39871440465573404</v>
      </c>
      <c r="G17" s="65"/>
    </row>
    <row r="18" spans="1:7" ht="31.5" customHeight="1" x14ac:dyDescent="0.25">
      <c r="A18" s="71"/>
      <c r="B18" s="81" t="s">
        <v>77</v>
      </c>
      <c r="C18" s="79">
        <f>C16-C17</f>
        <v>506353775</v>
      </c>
      <c r="D18" s="79">
        <f>D16-D17</f>
        <v>592876000</v>
      </c>
      <c r="E18" s="79">
        <f t="shared" si="0"/>
        <v>86522225</v>
      </c>
      <c r="F18" s="80">
        <f t="shared" si="1"/>
        <v>0.17087307189523768</v>
      </c>
    </row>
    <row r="19" spans="1:7" ht="23.1" customHeight="1" x14ac:dyDescent="0.2">
      <c r="A19" s="74">
        <v>6</v>
      </c>
      <c r="B19" s="75" t="s">
        <v>78</v>
      </c>
      <c r="C19" s="76">
        <v>9829521</v>
      </c>
      <c r="D19" s="76">
        <v>10518000</v>
      </c>
      <c r="E19" s="76">
        <f t="shared" si="0"/>
        <v>688479</v>
      </c>
      <c r="F19" s="77">
        <f t="shared" si="1"/>
        <v>7.0041968474353941E-2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5665862</v>
      </c>
      <c r="D20" s="76">
        <v>6073000</v>
      </c>
      <c r="E20" s="76">
        <f t="shared" si="0"/>
        <v>407138</v>
      </c>
      <c r="F20" s="77">
        <f t="shared" si="1"/>
        <v>7.185808620118174E-2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521849158</v>
      </c>
      <c r="D21" s="79">
        <f>SUM(D18:D20)</f>
        <v>609467000</v>
      </c>
      <c r="E21" s="79">
        <f t="shared" si="0"/>
        <v>87617842</v>
      </c>
      <c r="F21" s="80">
        <f t="shared" si="1"/>
        <v>0.16789878963453267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191627926</v>
      </c>
      <c r="D24" s="76">
        <v>221767000</v>
      </c>
      <c r="E24" s="76">
        <f t="shared" ref="E24:E33" si="2">D24-C24</f>
        <v>30139074</v>
      </c>
      <c r="F24" s="77">
        <f t="shared" ref="F24:F33" si="3">IF(C24=0,0,E24/C24)</f>
        <v>0.15727913268758126</v>
      </c>
    </row>
    <row r="25" spans="1:7" ht="23.1" customHeight="1" x14ac:dyDescent="0.2">
      <c r="A25" s="74">
        <v>2</v>
      </c>
      <c r="B25" s="75" t="s">
        <v>83</v>
      </c>
      <c r="C25" s="76">
        <v>46406358</v>
      </c>
      <c r="D25" s="76">
        <v>56560000</v>
      </c>
      <c r="E25" s="76">
        <f t="shared" si="2"/>
        <v>10153642</v>
      </c>
      <c r="F25" s="77">
        <f t="shared" si="3"/>
        <v>0.21879851032481368</v>
      </c>
    </row>
    <row r="26" spans="1:7" ht="23.1" customHeight="1" x14ac:dyDescent="0.2">
      <c r="A26" s="74">
        <v>3</v>
      </c>
      <c r="B26" s="75" t="s">
        <v>84</v>
      </c>
      <c r="C26" s="76">
        <v>61072454</v>
      </c>
      <c r="D26" s="76">
        <v>74824000</v>
      </c>
      <c r="E26" s="76">
        <f t="shared" si="2"/>
        <v>13751546</v>
      </c>
      <c r="F26" s="77">
        <f t="shared" si="3"/>
        <v>0.22516773273921498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76736109</v>
      </c>
      <c r="D27" s="76">
        <v>88691000</v>
      </c>
      <c r="E27" s="76">
        <f t="shared" si="2"/>
        <v>11954891</v>
      </c>
      <c r="F27" s="77">
        <f t="shared" si="3"/>
        <v>0.15579224899193156</v>
      </c>
    </row>
    <row r="28" spans="1:7" ht="23.1" customHeight="1" x14ac:dyDescent="0.2">
      <c r="A28" s="74">
        <v>5</v>
      </c>
      <c r="B28" s="75" t="s">
        <v>86</v>
      </c>
      <c r="C28" s="76">
        <v>31682167</v>
      </c>
      <c r="D28" s="76">
        <v>45374000</v>
      </c>
      <c r="E28" s="76">
        <f t="shared" si="2"/>
        <v>13691833</v>
      </c>
      <c r="F28" s="77">
        <f t="shared" si="3"/>
        <v>0.43216213714169238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4557028</v>
      </c>
      <c r="D30" s="76">
        <v>7442000</v>
      </c>
      <c r="E30" s="76">
        <f t="shared" si="2"/>
        <v>2884972</v>
      </c>
      <c r="F30" s="77">
        <f t="shared" si="3"/>
        <v>0.63308191215853837</v>
      </c>
    </row>
    <row r="31" spans="1:7" ht="23.1" customHeight="1" x14ac:dyDescent="0.2">
      <c r="A31" s="74">
        <v>8</v>
      </c>
      <c r="B31" s="75" t="s">
        <v>89</v>
      </c>
      <c r="C31" s="76">
        <v>7495741</v>
      </c>
      <c r="D31" s="76">
        <v>10110000</v>
      </c>
      <c r="E31" s="76">
        <f t="shared" si="2"/>
        <v>2614259</v>
      </c>
      <c r="F31" s="77">
        <f t="shared" si="3"/>
        <v>0.34876591920665351</v>
      </c>
    </row>
    <row r="32" spans="1:7" ht="23.1" customHeight="1" x14ac:dyDescent="0.2">
      <c r="A32" s="74">
        <v>9</v>
      </c>
      <c r="B32" s="75" t="s">
        <v>90</v>
      </c>
      <c r="C32" s="76">
        <v>82630945</v>
      </c>
      <c r="D32" s="76">
        <v>119570000</v>
      </c>
      <c r="E32" s="76">
        <f t="shared" si="2"/>
        <v>36939055</v>
      </c>
      <c r="F32" s="77">
        <f t="shared" si="3"/>
        <v>0.44703657933477586</v>
      </c>
    </row>
    <row r="33" spans="1:6" ht="23.1" customHeight="1" x14ac:dyDescent="0.25">
      <c r="A33" s="71"/>
      <c r="B33" s="78" t="s">
        <v>91</v>
      </c>
      <c r="C33" s="79">
        <f>SUM(C24:C32)</f>
        <v>502208728</v>
      </c>
      <c r="D33" s="79">
        <f>SUM(D24:D32)</f>
        <v>624338000</v>
      </c>
      <c r="E33" s="79">
        <f t="shared" si="2"/>
        <v>122129272</v>
      </c>
      <c r="F33" s="80">
        <f t="shared" si="3"/>
        <v>0.24318428810739426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19640430</v>
      </c>
      <c r="D35" s="79">
        <f>+D21-D33</f>
        <v>-14871000</v>
      </c>
      <c r="E35" s="79">
        <f>D35-C35</f>
        <v>-34511430</v>
      </c>
      <c r="F35" s="80">
        <f>IF(C35=0,0,E35/C35)</f>
        <v>-1.7571626486792804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14800274</v>
      </c>
      <c r="D38" s="76">
        <v>-2463000</v>
      </c>
      <c r="E38" s="76">
        <f>D38-C38</f>
        <v>-17263274</v>
      </c>
      <c r="F38" s="77">
        <f>IF(C38=0,0,E38/C38)</f>
        <v>-1.1664158379770537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16644966</v>
      </c>
      <c r="D40" s="76">
        <v>11728000</v>
      </c>
      <c r="E40" s="76">
        <f>D40-C40</f>
        <v>-4916966</v>
      </c>
      <c r="F40" s="77">
        <f>IF(C40=0,0,E40/C40)</f>
        <v>-0.29540258598305336</v>
      </c>
    </row>
    <row r="41" spans="1:6" ht="23.1" customHeight="1" x14ac:dyDescent="0.25">
      <c r="A41" s="83"/>
      <c r="B41" s="78" t="s">
        <v>97</v>
      </c>
      <c r="C41" s="79">
        <f>SUM(C38:C40)</f>
        <v>31445240</v>
      </c>
      <c r="D41" s="79">
        <f>SUM(D38:D40)</f>
        <v>9265000</v>
      </c>
      <c r="E41" s="79">
        <f>D41-C41</f>
        <v>-22180240</v>
      </c>
      <c r="F41" s="80">
        <f>IF(C41=0,0,E41/C41)</f>
        <v>-0.70536081136604456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51085670</v>
      </c>
      <c r="D43" s="79">
        <f>D35+D41</f>
        <v>-5606000</v>
      </c>
      <c r="E43" s="79">
        <f>D43-C43</f>
        <v>-56691670</v>
      </c>
      <c r="F43" s="80">
        <f>IF(C43=0,0,E43/C43)</f>
        <v>-1.1097372315954748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51085670</v>
      </c>
      <c r="D50" s="79">
        <f>D43+D48</f>
        <v>-5606000</v>
      </c>
      <c r="E50" s="79">
        <f>D50-C50</f>
        <v>-56691670</v>
      </c>
      <c r="F50" s="80">
        <f>IF(C50=0,0,E50/C50)</f>
        <v>-1.1097372315954748</v>
      </c>
    </row>
    <row r="51" spans="1:6" ht="23.1" customHeight="1" x14ac:dyDescent="0.2">
      <c r="A51" s="85"/>
      <c r="B51" s="75" t="s">
        <v>104</v>
      </c>
      <c r="C51" s="76">
        <v>2880000</v>
      </c>
      <c r="D51" s="76">
        <v>125327000</v>
      </c>
      <c r="E51" s="76">
        <f>D51-C51</f>
        <v>122447000</v>
      </c>
      <c r="F51" s="77">
        <f>IF(C51=0,0,E51/C51)</f>
        <v>42.516319444444441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FILING&amp;RDANBURY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285087313</v>
      </c>
      <c r="D14" s="113">
        <v>332879325</v>
      </c>
      <c r="E14" s="113">
        <f t="shared" ref="E14:E25" si="0">D14-C14</f>
        <v>47792012</v>
      </c>
      <c r="F14" s="114">
        <f t="shared" ref="F14:F25" si="1">IF(C14=0,0,E14/C14)</f>
        <v>0.16763991177678259</v>
      </c>
    </row>
    <row r="15" spans="1:6" x14ac:dyDescent="0.2">
      <c r="A15" s="115">
        <v>2</v>
      </c>
      <c r="B15" s="116" t="s">
        <v>114</v>
      </c>
      <c r="C15" s="113">
        <v>40932461</v>
      </c>
      <c r="D15" s="113">
        <v>61709416</v>
      </c>
      <c r="E15" s="113">
        <f t="shared" si="0"/>
        <v>20776955</v>
      </c>
      <c r="F15" s="114">
        <f t="shared" si="1"/>
        <v>0.50759115118927245</v>
      </c>
    </row>
    <row r="16" spans="1:6" x14ac:dyDescent="0.2">
      <c r="A16" s="115">
        <v>3</v>
      </c>
      <c r="B16" s="116" t="s">
        <v>115</v>
      </c>
      <c r="C16" s="113">
        <v>82813766</v>
      </c>
      <c r="D16" s="113">
        <v>89456723</v>
      </c>
      <c r="E16" s="113">
        <f t="shared" si="0"/>
        <v>6642957</v>
      </c>
      <c r="F16" s="114">
        <f t="shared" si="1"/>
        <v>8.0215612945316359E-2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537833</v>
      </c>
      <c r="D18" s="113">
        <v>365331</v>
      </c>
      <c r="E18" s="113">
        <f t="shared" si="0"/>
        <v>-172502</v>
      </c>
      <c r="F18" s="114">
        <f t="shared" si="1"/>
        <v>-0.32073524681453164</v>
      </c>
    </row>
    <row r="19" spans="1:6" x14ac:dyDescent="0.2">
      <c r="A19" s="115">
        <v>6</v>
      </c>
      <c r="B19" s="116" t="s">
        <v>118</v>
      </c>
      <c r="C19" s="113">
        <v>81201423</v>
      </c>
      <c r="D19" s="113">
        <v>101927993</v>
      </c>
      <c r="E19" s="113">
        <f t="shared" si="0"/>
        <v>20726570</v>
      </c>
      <c r="F19" s="114">
        <f t="shared" si="1"/>
        <v>0.25524885198132552</v>
      </c>
    </row>
    <row r="20" spans="1:6" x14ac:dyDescent="0.2">
      <c r="A20" s="115">
        <v>7</v>
      </c>
      <c r="B20" s="116" t="s">
        <v>119</v>
      </c>
      <c r="C20" s="113">
        <v>93902612</v>
      </c>
      <c r="D20" s="113">
        <v>86644428</v>
      </c>
      <c r="E20" s="113">
        <f t="shared" si="0"/>
        <v>-7258184</v>
      </c>
      <c r="F20" s="114">
        <f t="shared" si="1"/>
        <v>-7.7294804110454349E-2</v>
      </c>
    </row>
    <row r="21" spans="1:6" x14ac:dyDescent="0.2">
      <c r="A21" s="115">
        <v>8</v>
      </c>
      <c r="B21" s="116" t="s">
        <v>120</v>
      </c>
      <c r="C21" s="113">
        <v>3086560</v>
      </c>
      <c r="D21" s="113">
        <v>3637992</v>
      </c>
      <c r="E21" s="113">
        <f t="shared" si="0"/>
        <v>551432</v>
      </c>
      <c r="F21" s="114">
        <f t="shared" si="1"/>
        <v>0.17865584987818153</v>
      </c>
    </row>
    <row r="22" spans="1:6" x14ac:dyDescent="0.2">
      <c r="A22" s="115">
        <v>9</v>
      </c>
      <c r="B22" s="116" t="s">
        <v>121</v>
      </c>
      <c r="C22" s="113">
        <v>5087812</v>
      </c>
      <c r="D22" s="113">
        <v>9910178</v>
      </c>
      <c r="E22" s="113">
        <f t="shared" si="0"/>
        <v>4822366</v>
      </c>
      <c r="F22" s="114">
        <f t="shared" si="1"/>
        <v>0.94782708166103624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1801822</v>
      </c>
      <c r="D24" s="113">
        <v>2859982</v>
      </c>
      <c r="E24" s="113">
        <f t="shared" si="0"/>
        <v>1058160</v>
      </c>
      <c r="F24" s="114">
        <f t="shared" si="1"/>
        <v>0.58727221667845109</v>
      </c>
    </row>
    <row r="25" spans="1:6" ht="15.75" x14ac:dyDescent="0.25">
      <c r="A25" s="117"/>
      <c r="B25" s="118" t="s">
        <v>124</v>
      </c>
      <c r="C25" s="119">
        <f>SUM(C14:C24)</f>
        <v>594451602</v>
      </c>
      <c r="D25" s="119">
        <f>SUM(D14:D24)</f>
        <v>689391368</v>
      </c>
      <c r="E25" s="119">
        <f t="shared" si="0"/>
        <v>94939766</v>
      </c>
      <c r="F25" s="120">
        <f t="shared" si="1"/>
        <v>0.15970983286205359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213130665</v>
      </c>
      <c r="D27" s="113">
        <v>269873441</v>
      </c>
      <c r="E27" s="113">
        <f t="shared" ref="E27:E38" si="2">D27-C27</f>
        <v>56742776</v>
      </c>
      <c r="F27" s="114">
        <f t="shared" ref="F27:F38" si="3">IF(C27=0,0,E27/C27)</f>
        <v>0.26623468753311497</v>
      </c>
    </row>
    <row r="28" spans="1:6" x14ac:dyDescent="0.2">
      <c r="A28" s="115">
        <v>2</v>
      </c>
      <c r="B28" s="116" t="s">
        <v>114</v>
      </c>
      <c r="C28" s="113">
        <v>38972189</v>
      </c>
      <c r="D28" s="113">
        <v>53983714</v>
      </c>
      <c r="E28" s="113">
        <f t="shared" si="2"/>
        <v>15011525</v>
      </c>
      <c r="F28" s="114">
        <f t="shared" si="3"/>
        <v>0.38518557425655509</v>
      </c>
    </row>
    <row r="29" spans="1:6" x14ac:dyDescent="0.2">
      <c r="A29" s="115">
        <v>3</v>
      </c>
      <c r="B29" s="116" t="s">
        <v>115</v>
      </c>
      <c r="C29" s="113">
        <v>91319956</v>
      </c>
      <c r="D29" s="113">
        <v>118372145</v>
      </c>
      <c r="E29" s="113">
        <f t="shared" si="2"/>
        <v>27052189</v>
      </c>
      <c r="F29" s="114">
        <f t="shared" si="3"/>
        <v>0.29623523909713667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978863</v>
      </c>
      <c r="D31" s="113">
        <v>1306897</v>
      </c>
      <c r="E31" s="113">
        <f t="shared" si="2"/>
        <v>328034</v>
      </c>
      <c r="F31" s="114">
        <f t="shared" si="3"/>
        <v>0.33511737597600483</v>
      </c>
    </row>
    <row r="32" spans="1:6" x14ac:dyDescent="0.2">
      <c r="A32" s="115">
        <v>6</v>
      </c>
      <c r="B32" s="116" t="s">
        <v>118</v>
      </c>
      <c r="C32" s="113">
        <v>161976014</v>
      </c>
      <c r="D32" s="113">
        <v>198292727</v>
      </c>
      <c r="E32" s="113">
        <f t="shared" si="2"/>
        <v>36316713</v>
      </c>
      <c r="F32" s="114">
        <f t="shared" si="3"/>
        <v>0.22421043772567462</v>
      </c>
    </row>
    <row r="33" spans="1:6" x14ac:dyDescent="0.2">
      <c r="A33" s="115">
        <v>7</v>
      </c>
      <c r="B33" s="116" t="s">
        <v>119</v>
      </c>
      <c r="C33" s="113">
        <v>156304490</v>
      </c>
      <c r="D33" s="113">
        <v>172696114</v>
      </c>
      <c r="E33" s="113">
        <f t="shared" si="2"/>
        <v>16391624</v>
      </c>
      <c r="F33" s="114">
        <f t="shared" si="3"/>
        <v>0.1048698217178534</v>
      </c>
    </row>
    <row r="34" spans="1:6" x14ac:dyDescent="0.2">
      <c r="A34" s="115">
        <v>8</v>
      </c>
      <c r="B34" s="116" t="s">
        <v>120</v>
      </c>
      <c r="C34" s="113">
        <v>5991711</v>
      </c>
      <c r="D34" s="113">
        <v>6141601</v>
      </c>
      <c r="E34" s="113">
        <f t="shared" si="2"/>
        <v>149890</v>
      </c>
      <c r="F34" s="114">
        <f t="shared" si="3"/>
        <v>2.5016226583692038E-2</v>
      </c>
    </row>
    <row r="35" spans="1:6" x14ac:dyDescent="0.2">
      <c r="A35" s="115">
        <v>9</v>
      </c>
      <c r="B35" s="116" t="s">
        <v>121</v>
      </c>
      <c r="C35" s="113">
        <v>27396274</v>
      </c>
      <c r="D35" s="113">
        <v>32278519</v>
      </c>
      <c r="E35" s="113">
        <f t="shared" si="2"/>
        <v>4882245</v>
      </c>
      <c r="F35" s="114">
        <f t="shared" si="3"/>
        <v>0.17820835782267325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988288</v>
      </c>
      <c r="D37" s="113">
        <v>1990730</v>
      </c>
      <c r="E37" s="113">
        <f t="shared" si="2"/>
        <v>1002442</v>
      </c>
      <c r="F37" s="114">
        <f t="shared" si="3"/>
        <v>1.0143217361740706</v>
      </c>
    </row>
    <row r="38" spans="1:6" ht="15.75" x14ac:dyDescent="0.25">
      <c r="A38" s="117"/>
      <c r="B38" s="118" t="s">
        <v>126</v>
      </c>
      <c r="C38" s="119">
        <f>SUM(C27:C37)</f>
        <v>697058450</v>
      </c>
      <c r="D38" s="119">
        <f>SUM(D27:D37)</f>
        <v>854935888</v>
      </c>
      <c r="E38" s="119">
        <f t="shared" si="2"/>
        <v>157877438</v>
      </c>
      <c r="F38" s="120">
        <f t="shared" si="3"/>
        <v>0.22649096069346839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498217978</v>
      </c>
      <c r="D41" s="119">
        <f t="shared" si="4"/>
        <v>602752766</v>
      </c>
      <c r="E41" s="123">
        <f t="shared" ref="E41:E52" si="5">D41-C41</f>
        <v>104534788</v>
      </c>
      <c r="F41" s="124">
        <f t="shared" ref="F41:F52" si="6">IF(C41=0,0,E41/C41)</f>
        <v>0.2098173743541627</v>
      </c>
    </row>
    <row r="42" spans="1:6" ht="15.75" x14ac:dyDescent="0.25">
      <c r="A42" s="121">
        <v>2</v>
      </c>
      <c r="B42" s="122" t="s">
        <v>114</v>
      </c>
      <c r="C42" s="119">
        <f t="shared" si="4"/>
        <v>79904650</v>
      </c>
      <c r="D42" s="119">
        <f t="shared" si="4"/>
        <v>115693130</v>
      </c>
      <c r="E42" s="123">
        <f t="shared" si="5"/>
        <v>35788480</v>
      </c>
      <c r="F42" s="124">
        <f t="shared" si="6"/>
        <v>0.44788982868956939</v>
      </c>
    </row>
    <row r="43" spans="1:6" ht="15.75" x14ac:dyDescent="0.25">
      <c r="A43" s="121">
        <v>3</v>
      </c>
      <c r="B43" s="122" t="s">
        <v>115</v>
      </c>
      <c r="C43" s="119">
        <f t="shared" si="4"/>
        <v>174133722</v>
      </c>
      <c r="D43" s="119">
        <f t="shared" si="4"/>
        <v>207828868</v>
      </c>
      <c r="E43" s="123">
        <f t="shared" si="5"/>
        <v>33695146</v>
      </c>
      <c r="F43" s="124">
        <f t="shared" si="6"/>
        <v>0.19350155508649841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1516696</v>
      </c>
      <c r="D45" s="119">
        <f t="shared" si="4"/>
        <v>1672228</v>
      </c>
      <c r="E45" s="123">
        <f t="shared" si="5"/>
        <v>155532</v>
      </c>
      <c r="F45" s="124">
        <f t="shared" si="6"/>
        <v>0.10254658810994424</v>
      </c>
    </row>
    <row r="46" spans="1:6" ht="15.75" x14ac:dyDescent="0.25">
      <c r="A46" s="121">
        <v>6</v>
      </c>
      <c r="B46" s="122" t="s">
        <v>118</v>
      </c>
      <c r="C46" s="119">
        <f t="shared" si="4"/>
        <v>243177437</v>
      </c>
      <c r="D46" s="119">
        <f t="shared" si="4"/>
        <v>300220720</v>
      </c>
      <c r="E46" s="123">
        <f t="shared" si="5"/>
        <v>57043283</v>
      </c>
      <c r="F46" s="124">
        <f t="shared" si="6"/>
        <v>0.23457473564868603</v>
      </c>
    </row>
    <row r="47" spans="1:6" ht="15.75" x14ac:dyDescent="0.25">
      <c r="A47" s="121">
        <v>7</v>
      </c>
      <c r="B47" s="122" t="s">
        <v>119</v>
      </c>
      <c r="C47" s="119">
        <f t="shared" si="4"/>
        <v>250207102</v>
      </c>
      <c r="D47" s="119">
        <f t="shared" si="4"/>
        <v>259340542</v>
      </c>
      <c r="E47" s="123">
        <f t="shared" si="5"/>
        <v>9133440</v>
      </c>
      <c r="F47" s="124">
        <f t="shared" si="6"/>
        <v>3.6503520191844913E-2</v>
      </c>
    </row>
    <row r="48" spans="1:6" ht="15.75" x14ac:dyDescent="0.25">
      <c r="A48" s="121">
        <v>8</v>
      </c>
      <c r="B48" s="122" t="s">
        <v>120</v>
      </c>
      <c r="C48" s="119">
        <f t="shared" si="4"/>
        <v>9078271</v>
      </c>
      <c r="D48" s="119">
        <f t="shared" si="4"/>
        <v>9779593</v>
      </c>
      <c r="E48" s="123">
        <f t="shared" si="5"/>
        <v>701322</v>
      </c>
      <c r="F48" s="124">
        <f t="shared" si="6"/>
        <v>7.7252816092403503E-2</v>
      </c>
    </row>
    <row r="49" spans="1:6" ht="15.75" x14ac:dyDescent="0.25">
      <c r="A49" s="121">
        <v>9</v>
      </c>
      <c r="B49" s="122" t="s">
        <v>121</v>
      </c>
      <c r="C49" s="119">
        <f t="shared" si="4"/>
        <v>32484086</v>
      </c>
      <c r="D49" s="119">
        <f t="shared" si="4"/>
        <v>42188697</v>
      </c>
      <c r="E49" s="123">
        <f t="shared" si="5"/>
        <v>9704611</v>
      </c>
      <c r="F49" s="124">
        <f t="shared" si="6"/>
        <v>0.29874970162312708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2790110</v>
      </c>
      <c r="D51" s="119">
        <f t="shared" si="4"/>
        <v>4850712</v>
      </c>
      <c r="E51" s="123">
        <f t="shared" si="5"/>
        <v>2060602</v>
      </c>
      <c r="F51" s="124">
        <f t="shared" si="6"/>
        <v>0.73853790710760503</v>
      </c>
    </row>
    <row r="52" spans="1:6" ht="18.75" customHeight="1" thickBot="1" x14ac:dyDescent="0.3">
      <c r="A52" s="125"/>
      <c r="B52" s="126" t="s">
        <v>128</v>
      </c>
      <c r="C52" s="127">
        <f>SUM(C41:C51)</f>
        <v>1291510052</v>
      </c>
      <c r="D52" s="128">
        <f>SUM(D41:D51)</f>
        <v>1544327256</v>
      </c>
      <c r="E52" s="127">
        <f t="shared" si="5"/>
        <v>252817204</v>
      </c>
      <c r="F52" s="129">
        <f t="shared" si="6"/>
        <v>0.19575318334417424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90754886</v>
      </c>
      <c r="D57" s="113">
        <v>104498763</v>
      </c>
      <c r="E57" s="113">
        <f t="shared" ref="E57:E68" si="7">D57-C57</f>
        <v>13743877</v>
      </c>
      <c r="F57" s="114">
        <f t="shared" ref="F57:F68" si="8">IF(C57=0,0,E57/C57)</f>
        <v>0.15143952690326778</v>
      </c>
    </row>
    <row r="58" spans="1:6" x14ac:dyDescent="0.2">
      <c r="A58" s="115">
        <v>2</v>
      </c>
      <c r="B58" s="116" t="s">
        <v>114</v>
      </c>
      <c r="C58" s="113">
        <v>12191050</v>
      </c>
      <c r="D58" s="113">
        <v>17289209</v>
      </c>
      <c r="E58" s="113">
        <f t="shared" si="7"/>
        <v>5098159</v>
      </c>
      <c r="F58" s="114">
        <f t="shared" si="8"/>
        <v>0.41818867119731279</v>
      </c>
    </row>
    <row r="59" spans="1:6" x14ac:dyDescent="0.2">
      <c r="A59" s="115">
        <v>3</v>
      </c>
      <c r="B59" s="116" t="s">
        <v>115</v>
      </c>
      <c r="C59" s="113">
        <v>16004723</v>
      </c>
      <c r="D59" s="113">
        <v>18192797</v>
      </c>
      <c r="E59" s="113">
        <f t="shared" si="7"/>
        <v>2188074</v>
      </c>
      <c r="F59" s="114">
        <f t="shared" si="8"/>
        <v>0.13671426865682088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206353</v>
      </c>
      <c r="D61" s="113">
        <v>100669</v>
      </c>
      <c r="E61" s="113">
        <f t="shared" si="7"/>
        <v>-105684</v>
      </c>
      <c r="F61" s="114">
        <f t="shared" si="8"/>
        <v>-0.51215150736844151</v>
      </c>
    </row>
    <row r="62" spans="1:6" x14ac:dyDescent="0.2">
      <c r="A62" s="115">
        <v>6</v>
      </c>
      <c r="B62" s="116" t="s">
        <v>118</v>
      </c>
      <c r="C62" s="113">
        <v>41783049</v>
      </c>
      <c r="D62" s="113">
        <v>50992433</v>
      </c>
      <c r="E62" s="113">
        <f t="shared" si="7"/>
        <v>9209384</v>
      </c>
      <c r="F62" s="114">
        <f t="shared" si="8"/>
        <v>0.22040957326977262</v>
      </c>
    </row>
    <row r="63" spans="1:6" x14ac:dyDescent="0.2">
      <c r="A63" s="115">
        <v>7</v>
      </c>
      <c r="B63" s="116" t="s">
        <v>119</v>
      </c>
      <c r="C63" s="113">
        <v>61475999</v>
      </c>
      <c r="D63" s="113">
        <v>55302426</v>
      </c>
      <c r="E63" s="113">
        <f t="shared" si="7"/>
        <v>-6173573</v>
      </c>
      <c r="F63" s="114">
        <f t="shared" si="8"/>
        <v>-0.10042249171095211</v>
      </c>
    </row>
    <row r="64" spans="1:6" x14ac:dyDescent="0.2">
      <c r="A64" s="115">
        <v>8</v>
      </c>
      <c r="B64" s="116" t="s">
        <v>120</v>
      </c>
      <c r="C64" s="113">
        <v>2123430</v>
      </c>
      <c r="D64" s="113">
        <v>2502793</v>
      </c>
      <c r="E64" s="113">
        <f t="shared" si="7"/>
        <v>379363</v>
      </c>
      <c r="F64" s="114">
        <f t="shared" si="8"/>
        <v>0.17865575978487636</v>
      </c>
    </row>
    <row r="65" spans="1:6" x14ac:dyDescent="0.2">
      <c r="A65" s="115">
        <v>9</v>
      </c>
      <c r="B65" s="116" t="s">
        <v>121</v>
      </c>
      <c r="C65" s="113">
        <v>1434850</v>
      </c>
      <c r="D65" s="113">
        <v>2378942</v>
      </c>
      <c r="E65" s="113">
        <f t="shared" si="7"/>
        <v>944092</v>
      </c>
      <c r="F65" s="114">
        <f t="shared" si="8"/>
        <v>0.65797261037739141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491371</v>
      </c>
      <c r="D67" s="113">
        <v>597623</v>
      </c>
      <c r="E67" s="113">
        <f t="shared" si="7"/>
        <v>106252</v>
      </c>
      <c r="F67" s="114">
        <f t="shared" si="8"/>
        <v>0.21623579739138044</v>
      </c>
    </row>
    <row r="68" spans="1:6" ht="15.75" x14ac:dyDescent="0.25">
      <c r="A68" s="117"/>
      <c r="B68" s="118" t="s">
        <v>131</v>
      </c>
      <c r="C68" s="119">
        <f>SUM(C57:C67)</f>
        <v>226465711</v>
      </c>
      <c r="D68" s="119">
        <f>SUM(D57:D67)</f>
        <v>251855655</v>
      </c>
      <c r="E68" s="119">
        <f t="shared" si="7"/>
        <v>25389944</v>
      </c>
      <c r="F68" s="120">
        <f t="shared" si="8"/>
        <v>0.11211385550548092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67848158</v>
      </c>
      <c r="D70" s="113">
        <v>84719712</v>
      </c>
      <c r="E70" s="113">
        <f t="shared" ref="E70:E81" si="9">D70-C70</f>
        <v>16871554</v>
      </c>
      <c r="F70" s="114">
        <f t="shared" ref="F70:F81" si="10">IF(C70=0,0,E70/C70)</f>
        <v>0.24866635288757583</v>
      </c>
    </row>
    <row r="71" spans="1:6" x14ac:dyDescent="0.2">
      <c r="A71" s="115">
        <v>2</v>
      </c>
      <c r="B71" s="116" t="s">
        <v>114</v>
      </c>
      <c r="C71" s="113">
        <v>11607216</v>
      </c>
      <c r="D71" s="113">
        <v>15124689</v>
      </c>
      <c r="E71" s="113">
        <f t="shared" si="9"/>
        <v>3517473</v>
      </c>
      <c r="F71" s="114">
        <f t="shared" si="10"/>
        <v>0.30304191806200559</v>
      </c>
    </row>
    <row r="72" spans="1:6" x14ac:dyDescent="0.2">
      <c r="A72" s="115">
        <v>3</v>
      </c>
      <c r="B72" s="116" t="s">
        <v>115</v>
      </c>
      <c r="C72" s="113">
        <v>17890099</v>
      </c>
      <c r="D72" s="113">
        <v>24165250</v>
      </c>
      <c r="E72" s="113">
        <f t="shared" si="9"/>
        <v>6275151</v>
      </c>
      <c r="F72" s="114">
        <f t="shared" si="10"/>
        <v>0.35076111093627821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220660</v>
      </c>
      <c r="D74" s="113">
        <v>382303</v>
      </c>
      <c r="E74" s="113">
        <f t="shared" si="9"/>
        <v>161643</v>
      </c>
      <c r="F74" s="114">
        <f t="shared" si="10"/>
        <v>0.73254327925314966</v>
      </c>
    </row>
    <row r="75" spans="1:6" x14ac:dyDescent="0.2">
      <c r="A75" s="115">
        <v>6</v>
      </c>
      <c r="B75" s="116" t="s">
        <v>118</v>
      </c>
      <c r="C75" s="113">
        <v>101272306</v>
      </c>
      <c r="D75" s="113">
        <v>112009118</v>
      </c>
      <c r="E75" s="113">
        <f t="shared" si="9"/>
        <v>10736812</v>
      </c>
      <c r="F75" s="114">
        <f t="shared" si="10"/>
        <v>0.10601923096330007</v>
      </c>
    </row>
    <row r="76" spans="1:6" x14ac:dyDescent="0.2">
      <c r="A76" s="115">
        <v>7</v>
      </c>
      <c r="B76" s="116" t="s">
        <v>119</v>
      </c>
      <c r="C76" s="113">
        <v>85549520</v>
      </c>
      <c r="D76" s="113">
        <v>96279553</v>
      </c>
      <c r="E76" s="113">
        <f t="shared" si="9"/>
        <v>10730033</v>
      </c>
      <c r="F76" s="114">
        <f t="shared" si="10"/>
        <v>0.12542481828068702</v>
      </c>
    </row>
    <row r="77" spans="1:6" x14ac:dyDescent="0.2">
      <c r="A77" s="115">
        <v>8</v>
      </c>
      <c r="B77" s="116" t="s">
        <v>120</v>
      </c>
      <c r="C77" s="113">
        <v>4122057</v>
      </c>
      <c r="D77" s="113">
        <v>4225176</v>
      </c>
      <c r="E77" s="113">
        <f t="shared" si="9"/>
        <v>103119</v>
      </c>
      <c r="F77" s="114">
        <f t="shared" si="10"/>
        <v>2.5016393514209048E-2</v>
      </c>
    </row>
    <row r="78" spans="1:6" x14ac:dyDescent="0.2">
      <c r="A78" s="115">
        <v>9</v>
      </c>
      <c r="B78" s="116" t="s">
        <v>121</v>
      </c>
      <c r="C78" s="113">
        <v>7726218</v>
      </c>
      <c r="D78" s="113">
        <v>7748473</v>
      </c>
      <c r="E78" s="113">
        <f t="shared" si="9"/>
        <v>22255</v>
      </c>
      <c r="F78" s="114">
        <f t="shared" si="10"/>
        <v>2.8804519882819771E-3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105704</v>
      </c>
      <c r="D80" s="113">
        <v>333771</v>
      </c>
      <c r="E80" s="113">
        <f t="shared" si="9"/>
        <v>228067</v>
      </c>
      <c r="F80" s="114">
        <f t="shared" si="10"/>
        <v>2.1576004692348443</v>
      </c>
    </row>
    <row r="81" spans="1:6" ht="15.75" x14ac:dyDescent="0.25">
      <c r="A81" s="117"/>
      <c r="B81" s="118" t="s">
        <v>133</v>
      </c>
      <c r="C81" s="119">
        <f>SUM(C70:C80)</f>
        <v>296341938</v>
      </c>
      <c r="D81" s="119">
        <f>SUM(D70:D80)</f>
        <v>344988045</v>
      </c>
      <c r="E81" s="119">
        <f t="shared" si="9"/>
        <v>48646107</v>
      </c>
      <c r="F81" s="120">
        <f t="shared" si="10"/>
        <v>0.16415532451569512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158603044</v>
      </c>
      <c r="D84" s="119">
        <f t="shared" si="11"/>
        <v>189218475</v>
      </c>
      <c r="E84" s="119">
        <f t="shared" ref="E84:E95" si="12">D84-C84</f>
        <v>30615431</v>
      </c>
      <c r="F84" s="120">
        <f t="shared" ref="F84:F95" si="13">IF(C84=0,0,E84/C84)</f>
        <v>0.19303179956621766</v>
      </c>
    </row>
    <row r="85" spans="1:6" ht="15.75" x14ac:dyDescent="0.25">
      <c r="A85" s="130">
        <v>2</v>
      </c>
      <c r="B85" s="122" t="s">
        <v>114</v>
      </c>
      <c r="C85" s="119">
        <f t="shared" si="11"/>
        <v>23798266</v>
      </c>
      <c r="D85" s="119">
        <f t="shared" si="11"/>
        <v>32413898</v>
      </c>
      <c r="E85" s="119">
        <f t="shared" si="12"/>
        <v>8615632</v>
      </c>
      <c r="F85" s="120">
        <f t="shared" si="13"/>
        <v>0.36202772084319085</v>
      </c>
    </row>
    <row r="86" spans="1:6" ht="15.75" x14ac:dyDescent="0.25">
      <c r="A86" s="130">
        <v>3</v>
      </c>
      <c r="B86" s="122" t="s">
        <v>115</v>
      </c>
      <c r="C86" s="119">
        <f t="shared" si="11"/>
        <v>33894822</v>
      </c>
      <c r="D86" s="119">
        <f t="shared" si="11"/>
        <v>42358047</v>
      </c>
      <c r="E86" s="119">
        <f t="shared" si="12"/>
        <v>8463225</v>
      </c>
      <c r="F86" s="120">
        <f t="shared" si="13"/>
        <v>0.24969079347872072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427013</v>
      </c>
      <c r="D88" s="119">
        <f t="shared" si="11"/>
        <v>482972</v>
      </c>
      <c r="E88" s="119">
        <f t="shared" si="12"/>
        <v>55959</v>
      </c>
      <c r="F88" s="120">
        <f t="shared" si="13"/>
        <v>0.13104753251071982</v>
      </c>
    </row>
    <row r="89" spans="1:6" ht="15.75" x14ac:dyDescent="0.25">
      <c r="A89" s="130">
        <v>6</v>
      </c>
      <c r="B89" s="122" t="s">
        <v>118</v>
      </c>
      <c r="C89" s="119">
        <f t="shared" si="11"/>
        <v>143055355</v>
      </c>
      <c r="D89" s="119">
        <f t="shared" si="11"/>
        <v>163001551</v>
      </c>
      <c r="E89" s="119">
        <f t="shared" si="12"/>
        <v>19946196</v>
      </c>
      <c r="F89" s="120">
        <f t="shared" si="13"/>
        <v>0.1394299150842693</v>
      </c>
    </row>
    <row r="90" spans="1:6" ht="15.75" x14ac:dyDescent="0.25">
      <c r="A90" s="130">
        <v>7</v>
      </c>
      <c r="B90" s="122" t="s">
        <v>119</v>
      </c>
      <c r="C90" s="119">
        <f t="shared" si="11"/>
        <v>147025519</v>
      </c>
      <c r="D90" s="119">
        <f t="shared" si="11"/>
        <v>151581979</v>
      </c>
      <c r="E90" s="119">
        <f t="shared" si="12"/>
        <v>4556460</v>
      </c>
      <c r="F90" s="120">
        <f t="shared" si="13"/>
        <v>3.099094654445668E-2</v>
      </c>
    </row>
    <row r="91" spans="1:6" ht="15.75" x14ac:dyDescent="0.25">
      <c r="A91" s="130">
        <v>8</v>
      </c>
      <c r="B91" s="122" t="s">
        <v>120</v>
      </c>
      <c r="C91" s="119">
        <f t="shared" si="11"/>
        <v>6245487</v>
      </c>
      <c r="D91" s="119">
        <f t="shared" si="11"/>
        <v>6727969</v>
      </c>
      <c r="E91" s="119">
        <f t="shared" si="12"/>
        <v>482482</v>
      </c>
      <c r="F91" s="120">
        <f t="shared" si="13"/>
        <v>7.7252902776036525E-2</v>
      </c>
    </row>
    <row r="92" spans="1:6" ht="15.75" x14ac:dyDescent="0.25">
      <c r="A92" s="130">
        <v>9</v>
      </c>
      <c r="B92" s="122" t="s">
        <v>121</v>
      </c>
      <c r="C92" s="119">
        <f t="shared" si="11"/>
        <v>9161068</v>
      </c>
      <c r="D92" s="119">
        <f t="shared" si="11"/>
        <v>10127415</v>
      </c>
      <c r="E92" s="119">
        <f t="shared" si="12"/>
        <v>966347</v>
      </c>
      <c r="F92" s="120">
        <f t="shared" si="13"/>
        <v>0.10548409857889932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597075</v>
      </c>
      <c r="D94" s="119">
        <f t="shared" si="11"/>
        <v>931394</v>
      </c>
      <c r="E94" s="119">
        <f t="shared" si="12"/>
        <v>334319</v>
      </c>
      <c r="F94" s="120">
        <f t="shared" si="13"/>
        <v>0.55992798224678642</v>
      </c>
    </row>
    <row r="95" spans="1:6" ht="18.75" customHeight="1" thickBot="1" x14ac:dyDescent="0.3">
      <c r="A95" s="131"/>
      <c r="B95" s="132" t="s">
        <v>134</v>
      </c>
      <c r="C95" s="128">
        <f>SUM(C84:C94)</f>
        <v>522807649</v>
      </c>
      <c r="D95" s="128">
        <f>SUM(D84:D94)</f>
        <v>596843700</v>
      </c>
      <c r="E95" s="128">
        <f t="shared" si="12"/>
        <v>74036051</v>
      </c>
      <c r="F95" s="129">
        <f t="shared" si="13"/>
        <v>0.14161240972968245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7362</v>
      </c>
      <c r="D100" s="133">
        <v>8597</v>
      </c>
      <c r="E100" s="133">
        <f t="shared" ref="E100:E111" si="14">D100-C100</f>
        <v>1235</v>
      </c>
      <c r="F100" s="114">
        <f t="shared" ref="F100:F111" si="15">IF(C100=0,0,E100/C100)</f>
        <v>0.16775332790002717</v>
      </c>
    </row>
    <row r="101" spans="1:6" x14ac:dyDescent="0.2">
      <c r="A101" s="115">
        <v>2</v>
      </c>
      <c r="B101" s="116" t="s">
        <v>114</v>
      </c>
      <c r="C101" s="133">
        <v>1083</v>
      </c>
      <c r="D101" s="133">
        <v>1434</v>
      </c>
      <c r="E101" s="133">
        <f t="shared" si="14"/>
        <v>351</v>
      </c>
      <c r="F101" s="114">
        <f t="shared" si="15"/>
        <v>0.32409972299168976</v>
      </c>
    </row>
    <row r="102" spans="1:6" x14ac:dyDescent="0.2">
      <c r="A102" s="115">
        <v>3</v>
      </c>
      <c r="B102" s="116" t="s">
        <v>115</v>
      </c>
      <c r="C102" s="133">
        <v>3250</v>
      </c>
      <c r="D102" s="133">
        <v>3528</v>
      </c>
      <c r="E102" s="133">
        <f t="shared" si="14"/>
        <v>278</v>
      </c>
      <c r="F102" s="114">
        <f t="shared" si="15"/>
        <v>8.5538461538461535E-2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34</v>
      </c>
      <c r="D104" s="133">
        <v>26</v>
      </c>
      <c r="E104" s="133">
        <f t="shared" si="14"/>
        <v>-8</v>
      </c>
      <c r="F104" s="114">
        <f t="shared" si="15"/>
        <v>-0.23529411764705882</v>
      </c>
    </row>
    <row r="105" spans="1:6" x14ac:dyDescent="0.2">
      <c r="A105" s="115">
        <v>6</v>
      </c>
      <c r="B105" s="116" t="s">
        <v>118</v>
      </c>
      <c r="C105" s="133">
        <v>2941</v>
      </c>
      <c r="D105" s="133">
        <v>3391</v>
      </c>
      <c r="E105" s="133">
        <f t="shared" si="14"/>
        <v>450</v>
      </c>
      <c r="F105" s="114">
        <f t="shared" si="15"/>
        <v>0.15300918055083304</v>
      </c>
    </row>
    <row r="106" spans="1:6" x14ac:dyDescent="0.2">
      <c r="A106" s="115">
        <v>7</v>
      </c>
      <c r="B106" s="116" t="s">
        <v>119</v>
      </c>
      <c r="C106" s="133">
        <v>3333</v>
      </c>
      <c r="D106" s="133">
        <v>3136</v>
      </c>
      <c r="E106" s="133">
        <f t="shared" si="14"/>
        <v>-197</v>
      </c>
      <c r="F106" s="114">
        <f t="shared" si="15"/>
        <v>-5.9105910591059109E-2</v>
      </c>
    </row>
    <row r="107" spans="1:6" x14ac:dyDescent="0.2">
      <c r="A107" s="115">
        <v>8</v>
      </c>
      <c r="B107" s="116" t="s">
        <v>120</v>
      </c>
      <c r="C107" s="133">
        <v>67</v>
      </c>
      <c r="D107" s="133">
        <v>74</v>
      </c>
      <c r="E107" s="133">
        <f t="shared" si="14"/>
        <v>7</v>
      </c>
      <c r="F107" s="114">
        <f t="shared" si="15"/>
        <v>0.1044776119402985</v>
      </c>
    </row>
    <row r="108" spans="1:6" x14ac:dyDescent="0.2">
      <c r="A108" s="115">
        <v>9</v>
      </c>
      <c r="B108" s="116" t="s">
        <v>121</v>
      </c>
      <c r="C108" s="133">
        <v>175</v>
      </c>
      <c r="D108" s="133">
        <v>306</v>
      </c>
      <c r="E108" s="133">
        <f t="shared" si="14"/>
        <v>131</v>
      </c>
      <c r="F108" s="114">
        <f t="shared" si="15"/>
        <v>0.74857142857142855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45</v>
      </c>
      <c r="D110" s="133">
        <v>66</v>
      </c>
      <c r="E110" s="133">
        <f t="shared" si="14"/>
        <v>21</v>
      </c>
      <c r="F110" s="114">
        <f t="shared" si="15"/>
        <v>0.46666666666666667</v>
      </c>
    </row>
    <row r="111" spans="1:6" ht="15.75" x14ac:dyDescent="0.25">
      <c r="A111" s="117"/>
      <c r="B111" s="118" t="s">
        <v>138</v>
      </c>
      <c r="C111" s="134">
        <f>SUM(C100:C110)</f>
        <v>18290</v>
      </c>
      <c r="D111" s="134">
        <f>SUM(D100:D110)</f>
        <v>20558</v>
      </c>
      <c r="E111" s="134">
        <f t="shared" si="14"/>
        <v>2268</v>
      </c>
      <c r="F111" s="120">
        <f t="shared" si="15"/>
        <v>0.12400218698742482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44789</v>
      </c>
      <c r="D113" s="133">
        <v>51059</v>
      </c>
      <c r="E113" s="133">
        <f t="shared" ref="E113:E124" si="16">D113-C113</f>
        <v>6270</v>
      </c>
      <c r="F113" s="114">
        <f t="shared" ref="F113:F124" si="17">IF(C113=0,0,E113/C113)</f>
        <v>0.13998972962111234</v>
      </c>
    </row>
    <row r="114" spans="1:6" x14ac:dyDescent="0.2">
      <c r="A114" s="115">
        <v>2</v>
      </c>
      <c r="B114" s="116" t="s">
        <v>114</v>
      </c>
      <c r="C114" s="133">
        <v>5669</v>
      </c>
      <c r="D114" s="133">
        <v>8583</v>
      </c>
      <c r="E114" s="133">
        <f t="shared" si="16"/>
        <v>2914</v>
      </c>
      <c r="F114" s="114">
        <f t="shared" si="17"/>
        <v>0.51402363732580703</v>
      </c>
    </row>
    <row r="115" spans="1:6" x14ac:dyDescent="0.2">
      <c r="A115" s="115">
        <v>3</v>
      </c>
      <c r="B115" s="116" t="s">
        <v>115</v>
      </c>
      <c r="C115" s="133">
        <v>15608</v>
      </c>
      <c r="D115" s="133">
        <v>15997</v>
      </c>
      <c r="E115" s="133">
        <f t="shared" si="16"/>
        <v>389</v>
      </c>
      <c r="F115" s="114">
        <f t="shared" si="17"/>
        <v>2.4923116350589442E-2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106</v>
      </c>
      <c r="D117" s="133">
        <v>72</v>
      </c>
      <c r="E117" s="133">
        <f t="shared" si="16"/>
        <v>-34</v>
      </c>
      <c r="F117" s="114">
        <f t="shared" si="17"/>
        <v>-0.32075471698113206</v>
      </c>
    </row>
    <row r="118" spans="1:6" x14ac:dyDescent="0.2">
      <c r="A118" s="115">
        <v>6</v>
      </c>
      <c r="B118" s="116" t="s">
        <v>118</v>
      </c>
      <c r="C118" s="133">
        <v>11593</v>
      </c>
      <c r="D118" s="133">
        <v>14009</v>
      </c>
      <c r="E118" s="133">
        <f t="shared" si="16"/>
        <v>2416</v>
      </c>
      <c r="F118" s="114">
        <f t="shared" si="17"/>
        <v>0.20840162166824808</v>
      </c>
    </row>
    <row r="119" spans="1:6" x14ac:dyDescent="0.2">
      <c r="A119" s="115">
        <v>7</v>
      </c>
      <c r="B119" s="116" t="s">
        <v>119</v>
      </c>
      <c r="C119" s="133">
        <v>13128</v>
      </c>
      <c r="D119" s="133">
        <v>11858</v>
      </c>
      <c r="E119" s="133">
        <f t="shared" si="16"/>
        <v>-1270</v>
      </c>
      <c r="F119" s="114">
        <f t="shared" si="17"/>
        <v>-9.6739792809262648E-2</v>
      </c>
    </row>
    <row r="120" spans="1:6" x14ac:dyDescent="0.2">
      <c r="A120" s="115">
        <v>8</v>
      </c>
      <c r="B120" s="116" t="s">
        <v>120</v>
      </c>
      <c r="C120" s="133">
        <v>277</v>
      </c>
      <c r="D120" s="133">
        <v>252</v>
      </c>
      <c r="E120" s="133">
        <f t="shared" si="16"/>
        <v>-25</v>
      </c>
      <c r="F120" s="114">
        <f t="shared" si="17"/>
        <v>-9.0252707581227443E-2</v>
      </c>
    </row>
    <row r="121" spans="1:6" x14ac:dyDescent="0.2">
      <c r="A121" s="115">
        <v>9</v>
      </c>
      <c r="B121" s="116" t="s">
        <v>121</v>
      </c>
      <c r="C121" s="133">
        <v>669</v>
      </c>
      <c r="D121" s="133">
        <v>1267</v>
      </c>
      <c r="E121" s="133">
        <f t="shared" si="16"/>
        <v>598</v>
      </c>
      <c r="F121" s="114">
        <f t="shared" si="17"/>
        <v>0.89387144992526157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330</v>
      </c>
      <c r="D123" s="133">
        <v>364</v>
      </c>
      <c r="E123" s="133">
        <f t="shared" si="16"/>
        <v>34</v>
      </c>
      <c r="F123" s="114">
        <f t="shared" si="17"/>
        <v>0.10303030303030303</v>
      </c>
    </row>
    <row r="124" spans="1:6" ht="15.75" x14ac:dyDescent="0.25">
      <c r="A124" s="117"/>
      <c r="B124" s="118" t="s">
        <v>140</v>
      </c>
      <c r="C124" s="134">
        <f>SUM(C113:C123)</f>
        <v>92169</v>
      </c>
      <c r="D124" s="134">
        <f>SUM(D113:D123)</f>
        <v>103461</v>
      </c>
      <c r="E124" s="134">
        <f t="shared" si="16"/>
        <v>11292</v>
      </c>
      <c r="F124" s="120">
        <f t="shared" si="17"/>
        <v>0.12251407740129544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59310</v>
      </c>
      <c r="D126" s="133">
        <v>70371</v>
      </c>
      <c r="E126" s="133">
        <f t="shared" ref="E126:E137" si="18">D126-C126</f>
        <v>11061</v>
      </c>
      <c r="F126" s="114">
        <f t="shared" ref="F126:F137" si="19">IF(C126=0,0,E126/C126)</f>
        <v>0.18649468892261001</v>
      </c>
    </row>
    <row r="127" spans="1:6" x14ac:dyDescent="0.2">
      <c r="A127" s="115">
        <v>2</v>
      </c>
      <c r="B127" s="116" t="s">
        <v>114</v>
      </c>
      <c r="C127" s="133">
        <v>10426</v>
      </c>
      <c r="D127" s="133">
        <v>13468</v>
      </c>
      <c r="E127" s="133">
        <f t="shared" si="18"/>
        <v>3042</v>
      </c>
      <c r="F127" s="114">
        <f t="shared" si="19"/>
        <v>0.29177057356608477</v>
      </c>
    </row>
    <row r="128" spans="1:6" x14ac:dyDescent="0.2">
      <c r="A128" s="115">
        <v>3</v>
      </c>
      <c r="B128" s="116" t="s">
        <v>115</v>
      </c>
      <c r="C128" s="133">
        <v>37811</v>
      </c>
      <c r="D128" s="133">
        <v>48548</v>
      </c>
      <c r="E128" s="133">
        <f t="shared" si="18"/>
        <v>10737</v>
      </c>
      <c r="F128" s="114">
        <f t="shared" si="19"/>
        <v>0.28396498373489198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329</v>
      </c>
      <c r="D130" s="133">
        <v>365</v>
      </c>
      <c r="E130" s="133">
        <f t="shared" si="18"/>
        <v>36</v>
      </c>
      <c r="F130" s="114">
        <f t="shared" si="19"/>
        <v>0.10942249240121581</v>
      </c>
    </row>
    <row r="131" spans="1:6" x14ac:dyDescent="0.2">
      <c r="A131" s="115">
        <v>6</v>
      </c>
      <c r="B131" s="116" t="s">
        <v>118</v>
      </c>
      <c r="C131" s="133">
        <v>42956</v>
      </c>
      <c r="D131" s="133">
        <v>49249</v>
      </c>
      <c r="E131" s="133">
        <f t="shared" si="18"/>
        <v>6293</v>
      </c>
      <c r="F131" s="114">
        <f t="shared" si="19"/>
        <v>0.14649874289971132</v>
      </c>
    </row>
    <row r="132" spans="1:6" x14ac:dyDescent="0.2">
      <c r="A132" s="115">
        <v>7</v>
      </c>
      <c r="B132" s="116" t="s">
        <v>119</v>
      </c>
      <c r="C132" s="133">
        <v>43404</v>
      </c>
      <c r="D132" s="133">
        <v>47050</v>
      </c>
      <c r="E132" s="133">
        <f t="shared" si="18"/>
        <v>3646</v>
      </c>
      <c r="F132" s="114">
        <f t="shared" si="19"/>
        <v>8.4001474518477559E-2</v>
      </c>
    </row>
    <row r="133" spans="1:6" x14ac:dyDescent="0.2">
      <c r="A133" s="115">
        <v>8</v>
      </c>
      <c r="B133" s="116" t="s">
        <v>120</v>
      </c>
      <c r="C133" s="133">
        <v>1406</v>
      </c>
      <c r="D133" s="133">
        <v>1764</v>
      </c>
      <c r="E133" s="133">
        <f t="shared" si="18"/>
        <v>358</v>
      </c>
      <c r="F133" s="114">
        <f t="shared" si="19"/>
        <v>0.25462304409672831</v>
      </c>
    </row>
    <row r="134" spans="1:6" x14ac:dyDescent="0.2">
      <c r="A134" s="115">
        <v>9</v>
      </c>
      <c r="B134" s="116" t="s">
        <v>121</v>
      </c>
      <c r="C134" s="133">
        <v>12125</v>
      </c>
      <c r="D134" s="133">
        <v>12894</v>
      </c>
      <c r="E134" s="133">
        <f t="shared" si="18"/>
        <v>769</v>
      </c>
      <c r="F134" s="114">
        <f t="shared" si="19"/>
        <v>6.3422680412371132E-2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784</v>
      </c>
      <c r="D136" s="133">
        <v>398</v>
      </c>
      <c r="E136" s="133">
        <f t="shared" si="18"/>
        <v>-386</v>
      </c>
      <c r="F136" s="114">
        <f t="shared" si="19"/>
        <v>-0.49234693877551022</v>
      </c>
    </row>
    <row r="137" spans="1:6" ht="15.75" x14ac:dyDescent="0.25">
      <c r="A137" s="117"/>
      <c r="B137" s="118" t="s">
        <v>142</v>
      </c>
      <c r="C137" s="134">
        <f>SUM(C126:C136)</f>
        <v>208551</v>
      </c>
      <c r="D137" s="134">
        <f>SUM(D126:D136)</f>
        <v>244107</v>
      </c>
      <c r="E137" s="134">
        <f t="shared" si="18"/>
        <v>35556</v>
      </c>
      <c r="F137" s="120">
        <f t="shared" si="19"/>
        <v>0.17049067134657708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23160431</v>
      </c>
      <c r="D142" s="113">
        <v>33103288</v>
      </c>
      <c r="E142" s="113">
        <f t="shared" ref="E142:E153" si="20">D142-C142</f>
        <v>9942857</v>
      </c>
      <c r="F142" s="114">
        <f t="shared" ref="F142:F153" si="21">IF(C142=0,0,E142/C142)</f>
        <v>0.42930362565359859</v>
      </c>
    </row>
    <row r="143" spans="1:6" x14ac:dyDescent="0.2">
      <c r="A143" s="115">
        <v>2</v>
      </c>
      <c r="B143" s="116" t="s">
        <v>114</v>
      </c>
      <c r="C143" s="113">
        <v>3576727</v>
      </c>
      <c r="D143" s="113">
        <v>5917482</v>
      </c>
      <c r="E143" s="113">
        <f t="shared" si="20"/>
        <v>2340755</v>
      </c>
      <c r="F143" s="114">
        <f t="shared" si="21"/>
        <v>0.65444049825440964</v>
      </c>
    </row>
    <row r="144" spans="1:6" x14ac:dyDescent="0.2">
      <c r="A144" s="115">
        <v>3</v>
      </c>
      <c r="B144" s="116" t="s">
        <v>115</v>
      </c>
      <c r="C144" s="113">
        <v>30775207</v>
      </c>
      <c r="D144" s="113">
        <v>45275291</v>
      </c>
      <c r="E144" s="113">
        <f t="shared" si="20"/>
        <v>14500084</v>
      </c>
      <c r="F144" s="114">
        <f t="shared" si="21"/>
        <v>0.47116121753462131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313189</v>
      </c>
      <c r="D146" s="113">
        <v>495028</v>
      </c>
      <c r="E146" s="113">
        <f t="shared" si="20"/>
        <v>181839</v>
      </c>
      <c r="F146" s="114">
        <f t="shared" si="21"/>
        <v>0.58060468279537281</v>
      </c>
    </row>
    <row r="147" spans="1:6" x14ac:dyDescent="0.2">
      <c r="A147" s="115">
        <v>6</v>
      </c>
      <c r="B147" s="116" t="s">
        <v>118</v>
      </c>
      <c r="C147" s="113">
        <v>26854530</v>
      </c>
      <c r="D147" s="113">
        <v>41223040</v>
      </c>
      <c r="E147" s="113">
        <f t="shared" si="20"/>
        <v>14368510</v>
      </c>
      <c r="F147" s="114">
        <f t="shared" si="21"/>
        <v>0.53504976627779377</v>
      </c>
    </row>
    <row r="148" spans="1:6" x14ac:dyDescent="0.2">
      <c r="A148" s="115">
        <v>7</v>
      </c>
      <c r="B148" s="116" t="s">
        <v>119</v>
      </c>
      <c r="C148" s="113">
        <v>22144330</v>
      </c>
      <c r="D148" s="113">
        <v>29619790</v>
      </c>
      <c r="E148" s="113">
        <f t="shared" si="20"/>
        <v>7475460</v>
      </c>
      <c r="F148" s="114">
        <f t="shared" si="21"/>
        <v>0.33757896490885025</v>
      </c>
    </row>
    <row r="149" spans="1:6" x14ac:dyDescent="0.2">
      <c r="A149" s="115">
        <v>8</v>
      </c>
      <c r="B149" s="116" t="s">
        <v>120</v>
      </c>
      <c r="C149" s="113">
        <v>2083143</v>
      </c>
      <c r="D149" s="113">
        <v>2953269</v>
      </c>
      <c r="E149" s="113">
        <f t="shared" si="20"/>
        <v>870126</v>
      </c>
      <c r="F149" s="114">
        <f t="shared" si="21"/>
        <v>0.41769864094783699</v>
      </c>
    </row>
    <row r="150" spans="1:6" x14ac:dyDescent="0.2">
      <c r="A150" s="115">
        <v>9</v>
      </c>
      <c r="B150" s="116" t="s">
        <v>121</v>
      </c>
      <c r="C150" s="113">
        <v>10943235</v>
      </c>
      <c r="D150" s="113">
        <v>13524960</v>
      </c>
      <c r="E150" s="113">
        <f t="shared" si="20"/>
        <v>2581725</v>
      </c>
      <c r="F150" s="114">
        <f t="shared" si="21"/>
        <v>0.2359197257483733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761933</v>
      </c>
      <c r="D152" s="113">
        <v>956325</v>
      </c>
      <c r="E152" s="113">
        <f t="shared" si="20"/>
        <v>194392</v>
      </c>
      <c r="F152" s="114">
        <f t="shared" si="21"/>
        <v>0.25513004424273528</v>
      </c>
    </row>
    <row r="153" spans="1:6" ht="33.75" customHeight="1" x14ac:dyDescent="0.25">
      <c r="A153" s="117"/>
      <c r="B153" s="118" t="s">
        <v>146</v>
      </c>
      <c r="C153" s="119">
        <f>SUM(C142:C152)</f>
        <v>120612725</v>
      </c>
      <c r="D153" s="119">
        <f>SUM(D142:D152)</f>
        <v>173068473</v>
      </c>
      <c r="E153" s="119">
        <f t="shared" si="20"/>
        <v>52455748</v>
      </c>
      <c r="F153" s="120">
        <f t="shared" si="21"/>
        <v>0.43491056188308491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4138510</v>
      </c>
      <c r="D155" s="113">
        <v>7240404</v>
      </c>
      <c r="E155" s="113">
        <f t="shared" ref="E155:E166" si="22">D155-C155</f>
        <v>3101894</v>
      </c>
      <c r="F155" s="114">
        <f t="shared" ref="F155:F166" si="23">IF(C155=0,0,E155/C155)</f>
        <v>0.74951951306146414</v>
      </c>
    </row>
    <row r="156" spans="1:6" x14ac:dyDescent="0.2">
      <c r="A156" s="115">
        <v>2</v>
      </c>
      <c r="B156" s="116" t="s">
        <v>114</v>
      </c>
      <c r="C156" s="113">
        <v>994825</v>
      </c>
      <c r="D156" s="113">
        <v>1625434</v>
      </c>
      <c r="E156" s="113">
        <f t="shared" si="22"/>
        <v>630609</v>
      </c>
      <c r="F156" s="114">
        <f t="shared" si="23"/>
        <v>0.63388937752871111</v>
      </c>
    </row>
    <row r="157" spans="1:6" x14ac:dyDescent="0.2">
      <c r="A157" s="115">
        <v>3</v>
      </c>
      <c r="B157" s="116" t="s">
        <v>115</v>
      </c>
      <c r="C157" s="113">
        <v>5945319</v>
      </c>
      <c r="D157" s="113">
        <v>7339060</v>
      </c>
      <c r="E157" s="113">
        <f t="shared" si="22"/>
        <v>1393741</v>
      </c>
      <c r="F157" s="114">
        <f t="shared" si="23"/>
        <v>0.23442661360979958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102413</v>
      </c>
      <c r="D159" s="113">
        <v>161874</v>
      </c>
      <c r="E159" s="113">
        <f t="shared" si="22"/>
        <v>59461</v>
      </c>
      <c r="F159" s="114">
        <f t="shared" si="23"/>
        <v>0.58060011912550169</v>
      </c>
    </row>
    <row r="160" spans="1:6" x14ac:dyDescent="0.2">
      <c r="A160" s="115">
        <v>6</v>
      </c>
      <c r="B160" s="116" t="s">
        <v>118</v>
      </c>
      <c r="C160" s="113">
        <v>16114006</v>
      </c>
      <c r="D160" s="113">
        <v>24891697</v>
      </c>
      <c r="E160" s="113">
        <f t="shared" si="22"/>
        <v>8777691</v>
      </c>
      <c r="F160" s="114">
        <f t="shared" si="23"/>
        <v>0.54472432243105784</v>
      </c>
    </row>
    <row r="161" spans="1:6" x14ac:dyDescent="0.2">
      <c r="A161" s="115">
        <v>7</v>
      </c>
      <c r="B161" s="116" t="s">
        <v>119</v>
      </c>
      <c r="C161" s="113">
        <v>12906027</v>
      </c>
      <c r="D161" s="113">
        <v>16895615</v>
      </c>
      <c r="E161" s="113">
        <f t="shared" si="22"/>
        <v>3989588</v>
      </c>
      <c r="F161" s="114">
        <f t="shared" si="23"/>
        <v>0.3091259610722959</v>
      </c>
    </row>
    <row r="162" spans="1:6" x14ac:dyDescent="0.2">
      <c r="A162" s="115">
        <v>8</v>
      </c>
      <c r="B162" s="116" t="s">
        <v>120</v>
      </c>
      <c r="C162" s="113">
        <v>1433118</v>
      </c>
      <c r="D162" s="113">
        <v>2031731</v>
      </c>
      <c r="E162" s="113">
        <f t="shared" si="22"/>
        <v>598613</v>
      </c>
      <c r="F162" s="114">
        <f t="shared" si="23"/>
        <v>0.41769972884298434</v>
      </c>
    </row>
    <row r="163" spans="1:6" x14ac:dyDescent="0.2">
      <c r="A163" s="115">
        <v>9</v>
      </c>
      <c r="B163" s="116" t="s">
        <v>121</v>
      </c>
      <c r="C163" s="113">
        <v>1546707</v>
      </c>
      <c r="D163" s="113">
        <v>1930053</v>
      </c>
      <c r="E163" s="113">
        <f t="shared" si="22"/>
        <v>383346</v>
      </c>
      <c r="F163" s="114">
        <f t="shared" si="23"/>
        <v>0.24784655400150124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110296</v>
      </c>
      <c r="D165" s="113">
        <v>148832</v>
      </c>
      <c r="E165" s="113">
        <f t="shared" si="22"/>
        <v>38536</v>
      </c>
      <c r="F165" s="114">
        <f t="shared" si="23"/>
        <v>0.34938710379342858</v>
      </c>
    </row>
    <row r="166" spans="1:6" ht="33.75" customHeight="1" x14ac:dyDescent="0.25">
      <c r="A166" s="117"/>
      <c r="B166" s="118" t="s">
        <v>148</v>
      </c>
      <c r="C166" s="119">
        <f>SUM(C155:C165)</f>
        <v>43291221</v>
      </c>
      <c r="D166" s="119">
        <f>SUM(D155:D165)</f>
        <v>62264700</v>
      </c>
      <c r="E166" s="119">
        <f t="shared" si="22"/>
        <v>18973479</v>
      </c>
      <c r="F166" s="120">
        <f t="shared" si="23"/>
        <v>0.43827544157278447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8854</v>
      </c>
      <c r="D168" s="133">
        <v>11320</v>
      </c>
      <c r="E168" s="133">
        <f t="shared" ref="E168:E179" si="24">D168-C168</f>
        <v>2466</v>
      </c>
      <c r="F168" s="114">
        <f t="shared" ref="F168:F179" si="25">IF(C168=0,0,E168/C168)</f>
        <v>0.27851818387169641</v>
      </c>
    </row>
    <row r="169" spans="1:6" x14ac:dyDescent="0.2">
      <c r="A169" s="115">
        <v>2</v>
      </c>
      <c r="B169" s="116" t="s">
        <v>114</v>
      </c>
      <c r="C169" s="133">
        <v>1348</v>
      </c>
      <c r="D169" s="133">
        <v>1933</v>
      </c>
      <c r="E169" s="133">
        <f t="shared" si="24"/>
        <v>585</v>
      </c>
      <c r="F169" s="114">
        <f t="shared" si="25"/>
        <v>0.43397626112759646</v>
      </c>
    </row>
    <row r="170" spans="1:6" x14ac:dyDescent="0.2">
      <c r="A170" s="115">
        <v>3</v>
      </c>
      <c r="B170" s="116" t="s">
        <v>115</v>
      </c>
      <c r="C170" s="133">
        <v>17326</v>
      </c>
      <c r="D170" s="133">
        <v>22394</v>
      </c>
      <c r="E170" s="133">
        <f t="shared" si="24"/>
        <v>5068</v>
      </c>
      <c r="F170" s="114">
        <f t="shared" si="25"/>
        <v>0.29250836892531457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181</v>
      </c>
      <c r="D172" s="133">
        <v>197</v>
      </c>
      <c r="E172" s="133">
        <f t="shared" si="24"/>
        <v>16</v>
      </c>
      <c r="F172" s="114">
        <f t="shared" si="25"/>
        <v>8.8397790055248615E-2</v>
      </c>
    </row>
    <row r="173" spans="1:6" x14ac:dyDescent="0.2">
      <c r="A173" s="115">
        <v>6</v>
      </c>
      <c r="B173" s="116" t="s">
        <v>118</v>
      </c>
      <c r="C173" s="133">
        <v>11063</v>
      </c>
      <c r="D173" s="133">
        <v>15163</v>
      </c>
      <c r="E173" s="133">
        <f t="shared" si="24"/>
        <v>4100</v>
      </c>
      <c r="F173" s="114">
        <f t="shared" si="25"/>
        <v>0.37060471843080539</v>
      </c>
    </row>
    <row r="174" spans="1:6" x14ac:dyDescent="0.2">
      <c r="A174" s="115">
        <v>7</v>
      </c>
      <c r="B174" s="116" t="s">
        <v>119</v>
      </c>
      <c r="C174" s="133">
        <v>9333</v>
      </c>
      <c r="D174" s="133">
        <v>11166</v>
      </c>
      <c r="E174" s="133">
        <f t="shared" si="24"/>
        <v>1833</v>
      </c>
      <c r="F174" s="114">
        <f t="shared" si="25"/>
        <v>0.19639987142397944</v>
      </c>
    </row>
    <row r="175" spans="1:6" x14ac:dyDescent="0.2">
      <c r="A175" s="115">
        <v>8</v>
      </c>
      <c r="B175" s="116" t="s">
        <v>120</v>
      </c>
      <c r="C175" s="133">
        <v>1139</v>
      </c>
      <c r="D175" s="133">
        <v>1411</v>
      </c>
      <c r="E175" s="133">
        <f t="shared" si="24"/>
        <v>272</v>
      </c>
      <c r="F175" s="114">
        <f t="shared" si="25"/>
        <v>0.23880597014925373</v>
      </c>
    </row>
    <row r="176" spans="1:6" x14ac:dyDescent="0.2">
      <c r="A176" s="115">
        <v>9</v>
      </c>
      <c r="B176" s="116" t="s">
        <v>121</v>
      </c>
      <c r="C176" s="133">
        <v>5145</v>
      </c>
      <c r="D176" s="133">
        <v>5905</v>
      </c>
      <c r="E176" s="133">
        <f t="shared" si="24"/>
        <v>760</v>
      </c>
      <c r="F176" s="114">
        <f t="shared" si="25"/>
        <v>0.1477162293488824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388</v>
      </c>
      <c r="D178" s="133">
        <v>444</v>
      </c>
      <c r="E178" s="133">
        <f t="shared" si="24"/>
        <v>56</v>
      </c>
      <c r="F178" s="114">
        <f t="shared" si="25"/>
        <v>0.14432989690721648</v>
      </c>
    </row>
    <row r="179" spans="1:6" ht="33.75" customHeight="1" x14ac:dyDescent="0.25">
      <c r="A179" s="117"/>
      <c r="B179" s="118" t="s">
        <v>150</v>
      </c>
      <c r="C179" s="134">
        <f>SUM(C168:C178)</f>
        <v>54777</v>
      </c>
      <c r="D179" s="134">
        <f>SUM(D168:D178)</f>
        <v>69933</v>
      </c>
      <c r="E179" s="134">
        <f t="shared" si="24"/>
        <v>15156</v>
      </c>
      <c r="F179" s="120">
        <f t="shared" si="25"/>
        <v>0.27668547017908979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FILING&amp;RDANBURY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61078519</v>
      </c>
      <c r="D15" s="157">
        <v>74150000</v>
      </c>
      <c r="E15" s="157">
        <f>+D15-C15</f>
        <v>13071481</v>
      </c>
      <c r="F15" s="161">
        <f>IF(C15=0,0,E15/C15)</f>
        <v>0.21401109938503912</v>
      </c>
    </row>
    <row r="16" spans="1:6" ht="15" customHeight="1" x14ac:dyDescent="0.2">
      <c r="A16" s="147">
        <v>2</v>
      </c>
      <c r="B16" s="160" t="s">
        <v>157</v>
      </c>
      <c r="C16" s="157">
        <v>8610701</v>
      </c>
      <c r="D16" s="157">
        <v>9523000</v>
      </c>
      <c r="E16" s="157">
        <f>+D16-C16</f>
        <v>912299</v>
      </c>
      <c r="F16" s="161">
        <f>IF(C16=0,0,E16/C16)</f>
        <v>0.10594944592780542</v>
      </c>
    </row>
    <row r="17" spans="1:6" ht="15" customHeight="1" x14ac:dyDescent="0.2">
      <c r="A17" s="147">
        <v>3</v>
      </c>
      <c r="B17" s="160" t="s">
        <v>158</v>
      </c>
      <c r="C17" s="157">
        <v>121938706</v>
      </c>
      <c r="D17" s="157">
        <v>138094000</v>
      </c>
      <c r="E17" s="157">
        <f>+D17-C17</f>
        <v>16155294</v>
      </c>
      <c r="F17" s="161">
        <f>IF(C17=0,0,E17/C17)</f>
        <v>0.13248700539761346</v>
      </c>
    </row>
    <row r="18" spans="1:6" ht="15.75" customHeight="1" x14ac:dyDescent="0.25">
      <c r="A18" s="147"/>
      <c r="B18" s="162" t="s">
        <v>159</v>
      </c>
      <c r="C18" s="158">
        <f>SUM(C15:C17)</f>
        <v>191627926</v>
      </c>
      <c r="D18" s="158">
        <f>SUM(D15:D17)</f>
        <v>221767000</v>
      </c>
      <c r="E18" s="158">
        <f>+D18-C18</f>
        <v>30139074</v>
      </c>
      <c r="F18" s="159">
        <f>IF(C18=0,0,E18/C18)</f>
        <v>0.15727913268758126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14791328</v>
      </c>
      <c r="D21" s="157">
        <v>18911000</v>
      </c>
      <c r="E21" s="157">
        <f>+D21-C21</f>
        <v>4119672</v>
      </c>
      <c r="F21" s="161">
        <f>IF(C21=0,0,E21/C21)</f>
        <v>0.27851941353744575</v>
      </c>
    </row>
    <row r="22" spans="1:6" ht="15" customHeight="1" x14ac:dyDescent="0.2">
      <c r="A22" s="147">
        <v>2</v>
      </c>
      <c r="B22" s="160" t="s">
        <v>162</v>
      </c>
      <c r="C22" s="157">
        <v>2085245</v>
      </c>
      <c r="D22" s="157">
        <v>2429000</v>
      </c>
      <c r="E22" s="157">
        <f>+D22-C22</f>
        <v>343755</v>
      </c>
      <c r="F22" s="161">
        <f>IF(C22=0,0,E22/C22)</f>
        <v>0.16485113260072556</v>
      </c>
    </row>
    <row r="23" spans="1:6" ht="15" customHeight="1" x14ac:dyDescent="0.2">
      <c r="A23" s="147">
        <v>3</v>
      </c>
      <c r="B23" s="160" t="s">
        <v>163</v>
      </c>
      <c r="C23" s="157">
        <v>29529785</v>
      </c>
      <c r="D23" s="157">
        <v>35220000</v>
      </c>
      <c r="E23" s="157">
        <f>+D23-C23</f>
        <v>5690215</v>
      </c>
      <c r="F23" s="161">
        <f>IF(C23=0,0,E23/C23)</f>
        <v>0.1926940883585844</v>
      </c>
    </row>
    <row r="24" spans="1:6" ht="15.75" customHeight="1" x14ac:dyDescent="0.25">
      <c r="A24" s="147"/>
      <c r="B24" s="162" t="s">
        <v>164</v>
      </c>
      <c r="C24" s="158">
        <f>SUM(C21:C23)</f>
        <v>46406358</v>
      </c>
      <c r="D24" s="158">
        <f>SUM(D21:D23)</f>
        <v>56560000</v>
      </c>
      <c r="E24" s="158">
        <f>+D24-C24</f>
        <v>10153642</v>
      </c>
      <c r="F24" s="159">
        <f>IF(C24=0,0,E24/C24)</f>
        <v>0.21879851032481368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882261</v>
      </c>
      <c r="D27" s="157">
        <v>2408282</v>
      </c>
      <c r="E27" s="157">
        <f>+D27-C27</f>
        <v>1526021</v>
      </c>
      <c r="F27" s="161">
        <f>IF(C27=0,0,E27/C27)</f>
        <v>1.7296706983534351</v>
      </c>
    </row>
    <row r="28" spans="1:6" ht="15" customHeight="1" x14ac:dyDescent="0.2">
      <c r="A28" s="147">
        <v>2</v>
      </c>
      <c r="B28" s="160" t="s">
        <v>167</v>
      </c>
      <c r="C28" s="157">
        <v>61072454</v>
      </c>
      <c r="D28" s="157">
        <v>74824000</v>
      </c>
      <c r="E28" s="157">
        <f>+D28-C28</f>
        <v>13751546</v>
      </c>
      <c r="F28" s="161">
        <f>IF(C28=0,0,E28/C28)</f>
        <v>0.22516773273921498</v>
      </c>
    </row>
    <row r="29" spans="1:6" ht="15" customHeight="1" x14ac:dyDescent="0.2">
      <c r="A29" s="147">
        <v>3</v>
      </c>
      <c r="B29" s="160" t="s">
        <v>168</v>
      </c>
      <c r="C29" s="157">
        <v>902798</v>
      </c>
      <c r="D29" s="157">
        <v>1536849</v>
      </c>
      <c r="E29" s="157">
        <f>+D29-C29</f>
        <v>634051</v>
      </c>
      <c r="F29" s="161">
        <f>IF(C29=0,0,E29/C29)</f>
        <v>0.70231768346850565</v>
      </c>
    </row>
    <row r="30" spans="1:6" ht="15.75" customHeight="1" x14ac:dyDescent="0.25">
      <c r="A30" s="147"/>
      <c r="B30" s="162" t="s">
        <v>169</v>
      </c>
      <c r="C30" s="158">
        <f>SUM(C27:C29)</f>
        <v>62857513</v>
      </c>
      <c r="D30" s="158">
        <f>SUM(D27:D29)</f>
        <v>78769131</v>
      </c>
      <c r="E30" s="158">
        <f>+D30-C30</f>
        <v>15911618</v>
      </c>
      <c r="F30" s="159">
        <f>IF(C30=0,0,E30/C30)</f>
        <v>0.25313788663576303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48323324</v>
      </c>
      <c r="D33" s="157">
        <v>53846000</v>
      </c>
      <c r="E33" s="157">
        <f>+D33-C33</f>
        <v>5522676</v>
      </c>
      <c r="F33" s="161">
        <f>IF(C33=0,0,E33/C33)</f>
        <v>0.11428592950269729</v>
      </c>
    </row>
    <row r="34" spans="1:6" ht="15" customHeight="1" x14ac:dyDescent="0.2">
      <c r="A34" s="147">
        <v>2</v>
      </c>
      <c r="B34" s="160" t="s">
        <v>173</v>
      </c>
      <c r="C34" s="157">
        <v>28412785</v>
      </c>
      <c r="D34" s="157">
        <v>34845000</v>
      </c>
      <c r="E34" s="157">
        <f>+D34-C34</f>
        <v>6432215</v>
      </c>
      <c r="F34" s="161">
        <f>IF(C34=0,0,E34/C34)</f>
        <v>0.22638453076669535</v>
      </c>
    </row>
    <row r="35" spans="1:6" ht="15.75" customHeight="1" x14ac:dyDescent="0.25">
      <c r="A35" s="147"/>
      <c r="B35" s="162" t="s">
        <v>174</v>
      </c>
      <c r="C35" s="158">
        <f>SUM(C33:C34)</f>
        <v>76736109</v>
      </c>
      <c r="D35" s="158">
        <f>SUM(D33:D34)</f>
        <v>88691000</v>
      </c>
      <c r="E35" s="158">
        <f>+D35-C35</f>
        <v>11954891</v>
      </c>
      <c r="F35" s="159">
        <f>IF(C35=0,0,E35/C35)</f>
        <v>0.15579224899193156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12651458</v>
      </c>
      <c r="D38" s="157">
        <v>20236000</v>
      </c>
      <c r="E38" s="157">
        <f>+D38-C38</f>
        <v>7584542</v>
      </c>
      <c r="F38" s="161">
        <f>IF(C38=0,0,E38/C38)</f>
        <v>0.59949944109208597</v>
      </c>
    </row>
    <row r="39" spans="1:6" ht="15" customHeight="1" x14ac:dyDescent="0.2">
      <c r="A39" s="147">
        <v>2</v>
      </c>
      <c r="B39" s="160" t="s">
        <v>178</v>
      </c>
      <c r="C39" s="157">
        <v>18780906</v>
      </c>
      <c r="D39" s="157">
        <v>24678000</v>
      </c>
      <c r="E39" s="157">
        <f>+D39-C39</f>
        <v>5897094</v>
      </c>
      <c r="F39" s="161">
        <f>IF(C39=0,0,E39/C39)</f>
        <v>0.31399411721670933</v>
      </c>
    </row>
    <row r="40" spans="1:6" ht="15" customHeight="1" x14ac:dyDescent="0.2">
      <c r="A40" s="147">
        <v>3</v>
      </c>
      <c r="B40" s="160" t="s">
        <v>179</v>
      </c>
      <c r="C40" s="157">
        <v>249803</v>
      </c>
      <c r="D40" s="157">
        <v>460000</v>
      </c>
      <c r="E40" s="157">
        <f>+D40-C40</f>
        <v>210197</v>
      </c>
      <c r="F40" s="161">
        <f>IF(C40=0,0,E40/C40)</f>
        <v>0.84145106343798914</v>
      </c>
    </row>
    <row r="41" spans="1:6" ht="15.75" customHeight="1" x14ac:dyDescent="0.25">
      <c r="A41" s="147"/>
      <c r="B41" s="162" t="s">
        <v>180</v>
      </c>
      <c r="C41" s="158">
        <f>SUM(C38:C40)</f>
        <v>31682167</v>
      </c>
      <c r="D41" s="158">
        <f>SUM(D38:D40)</f>
        <v>45374000</v>
      </c>
      <c r="E41" s="158">
        <f>+D41-C41</f>
        <v>13691833</v>
      </c>
      <c r="F41" s="159">
        <f>IF(C41=0,0,E41/C41)</f>
        <v>0.43216213714169238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4557028</v>
      </c>
      <c r="D47" s="157">
        <v>7442000</v>
      </c>
      <c r="E47" s="157">
        <f>+D47-C47</f>
        <v>2884972</v>
      </c>
      <c r="F47" s="161">
        <f>IF(C47=0,0,E47/C47)</f>
        <v>0.63308191215853837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7495741</v>
      </c>
      <c r="D50" s="157">
        <v>10110000</v>
      </c>
      <c r="E50" s="157">
        <f>+D50-C50</f>
        <v>2614259</v>
      </c>
      <c r="F50" s="161">
        <f>IF(C50=0,0,E50/C50)</f>
        <v>0.34876591920665351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613113</v>
      </c>
      <c r="D53" s="157">
        <v>627571</v>
      </c>
      <c r="E53" s="157">
        <f t="shared" ref="E53:E59" si="0">+D53-C53</f>
        <v>14458</v>
      </c>
      <c r="F53" s="161">
        <f t="shared" ref="F53:F59" si="1">IF(C53=0,0,E53/C53)</f>
        <v>2.3581297411733235E-2</v>
      </c>
    </row>
    <row r="54" spans="1:6" ht="15" customHeight="1" x14ac:dyDescent="0.2">
      <c r="A54" s="147">
        <v>2</v>
      </c>
      <c r="B54" s="160" t="s">
        <v>189</v>
      </c>
      <c r="C54" s="157">
        <v>147991</v>
      </c>
      <c r="D54" s="157">
        <v>264812</v>
      </c>
      <c r="E54" s="157">
        <f t="shared" si="0"/>
        <v>116821</v>
      </c>
      <c r="F54" s="161">
        <f t="shared" si="1"/>
        <v>0.78937908386320788</v>
      </c>
    </row>
    <row r="55" spans="1:6" ht="15" customHeight="1" x14ac:dyDescent="0.2">
      <c r="A55" s="147">
        <v>3</v>
      </c>
      <c r="B55" s="160" t="s">
        <v>190</v>
      </c>
      <c r="C55" s="157">
        <v>2348248</v>
      </c>
      <c r="D55" s="157">
        <v>3407315</v>
      </c>
      <c r="E55" s="157">
        <f t="shared" si="0"/>
        <v>1059067</v>
      </c>
      <c r="F55" s="161">
        <f t="shared" si="1"/>
        <v>0.45100304567490318</v>
      </c>
    </row>
    <row r="56" spans="1:6" ht="15" customHeight="1" x14ac:dyDescent="0.2">
      <c r="A56" s="147">
        <v>4</v>
      </c>
      <c r="B56" s="160" t="s">
        <v>191</v>
      </c>
      <c r="C56" s="157">
        <v>1557846</v>
      </c>
      <c r="D56" s="157">
        <v>2197131</v>
      </c>
      <c r="E56" s="157">
        <f t="shared" si="0"/>
        <v>639285</v>
      </c>
      <c r="F56" s="161">
        <f t="shared" si="1"/>
        <v>0.41036469586852614</v>
      </c>
    </row>
    <row r="57" spans="1:6" ht="15" customHeight="1" x14ac:dyDescent="0.2">
      <c r="A57" s="147">
        <v>5</v>
      </c>
      <c r="B57" s="160" t="s">
        <v>192</v>
      </c>
      <c r="C57" s="157">
        <v>848158</v>
      </c>
      <c r="D57" s="157">
        <v>1106457</v>
      </c>
      <c r="E57" s="157">
        <f t="shared" si="0"/>
        <v>258299</v>
      </c>
      <c r="F57" s="161">
        <f t="shared" si="1"/>
        <v>0.30454113502437047</v>
      </c>
    </row>
    <row r="58" spans="1:6" ht="15" customHeight="1" x14ac:dyDescent="0.2">
      <c r="A58" s="147">
        <v>6</v>
      </c>
      <c r="B58" s="160" t="s">
        <v>193</v>
      </c>
      <c r="C58" s="157">
        <v>35971</v>
      </c>
      <c r="D58" s="157">
        <v>40355</v>
      </c>
      <c r="E58" s="157">
        <f t="shared" si="0"/>
        <v>4384</v>
      </c>
      <c r="F58" s="161">
        <f t="shared" si="1"/>
        <v>0.12187595563092492</v>
      </c>
    </row>
    <row r="59" spans="1:6" ht="15.75" customHeight="1" x14ac:dyDescent="0.25">
      <c r="A59" s="147"/>
      <c r="B59" s="162" t="s">
        <v>194</v>
      </c>
      <c r="C59" s="158">
        <f>SUM(C53:C58)</f>
        <v>5551327</v>
      </c>
      <c r="D59" s="158">
        <f>SUM(D53:D58)</f>
        <v>7643641</v>
      </c>
      <c r="E59" s="158">
        <f t="shared" si="0"/>
        <v>2092314</v>
      </c>
      <c r="F59" s="159">
        <f t="shared" si="1"/>
        <v>0.37690339625102248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315391</v>
      </c>
      <c r="D62" s="157">
        <v>430717</v>
      </c>
      <c r="E62" s="157">
        <f t="shared" ref="E62:E90" si="2">+D62-C62</f>
        <v>115326</v>
      </c>
      <c r="F62" s="161">
        <f t="shared" ref="F62:F90" si="3">IF(C62=0,0,E62/C62)</f>
        <v>0.36566040248453507</v>
      </c>
    </row>
    <row r="63" spans="1:6" ht="15" customHeight="1" x14ac:dyDescent="0.2">
      <c r="A63" s="147">
        <v>2</v>
      </c>
      <c r="B63" s="160" t="s">
        <v>198</v>
      </c>
      <c r="C63" s="157">
        <v>1797527</v>
      </c>
      <c r="D63" s="157">
        <v>2612832</v>
      </c>
      <c r="E63" s="157">
        <f t="shared" si="2"/>
        <v>815305</v>
      </c>
      <c r="F63" s="161">
        <f t="shared" si="3"/>
        <v>0.4535703775242319</v>
      </c>
    </row>
    <row r="64" spans="1:6" ht="15" customHeight="1" x14ac:dyDescent="0.2">
      <c r="A64" s="147">
        <v>3</v>
      </c>
      <c r="B64" s="160" t="s">
        <v>199</v>
      </c>
      <c r="C64" s="157">
        <v>3908677</v>
      </c>
      <c r="D64" s="157">
        <v>4329398</v>
      </c>
      <c r="E64" s="157">
        <f t="shared" si="2"/>
        <v>420721</v>
      </c>
      <c r="F64" s="161">
        <f t="shared" si="3"/>
        <v>0.10763769940570685</v>
      </c>
    </row>
    <row r="65" spans="1:6" ht="15" customHeight="1" x14ac:dyDescent="0.2">
      <c r="A65" s="147">
        <v>4</v>
      </c>
      <c r="B65" s="160" t="s">
        <v>200</v>
      </c>
      <c r="C65" s="157">
        <v>2856041</v>
      </c>
      <c r="D65" s="157">
        <v>2924673</v>
      </c>
      <c r="E65" s="157">
        <f t="shared" si="2"/>
        <v>68632</v>
      </c>
      <c r="F65" s="161">
        <f t="shared" si="3"/>
        <v>2.4030467349733426E-2</v>
      </c>
    </row>
    <row r="66" spans="1:6" ht="15" customHeight="1" x14ac:dyDescent="0.2">
      <c r="A66" s="147">
        <v>5</v>
      </c>
      <c r="B66" s="160" t="s">
        <v>201</v>
      </c>
      <c r="C66" s="157">
        <v>8070816</v>
      </c>
      <c r="D66" s="157">
        <v>8481707</v>
      </c>
      <c r="E66" s="157">
        <f t="shared" si="2"/>
        <v>410891</v>
      </c>
      <c r="F66" s="161">
        <f t="shared" si="3"/>
        <v>5.0910713365290447E-2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9840746</v>
      </c>
      <c r="D68" s="157">
        <v>11214653</v>
      </c>
      <c r="E68" s="157">
        <f t="shared" si="2"/>
        <v>1373907</v>
      </c>
      <c r="F68" s="161">
        <f t="shared" si="3"/>
        <v>0.13961411055625256</v>
      </c>
    </row>
    <row r="69" spans="1:6" ht="15" customHeight="1" x14ac:dyDescent="0.2">
      <c r="A69" s="147">
        <v>8</v>
      </c>
      <c r="B69" s="160" t="s">
        <v>204</v>
      </c>
      <c r="C69" s="157">
        <v>1084449</v>
      </c>
      <c r="D69" s="157">
        <v>833232</v>
      </c>
      <c r="E69" s="157">
        <f t="shared" si="2"/>
        <v>-251217</v>
      </c>
      <c r="F69" s="161">
        <f t="shared" si="3"/>
        <v>-0.23165404735492401</v>
      </c>
    </row>
    <row r="70" spans="1:6" ht="15" customHeight="1" x14ac:dyDescent="0.2">
      <c r="A70" s="147">
        <v>9</v>
      </c>
      <c r="B70" s="160" t="s">
        <v>205</v>
      </c>
      <c r="C70" s="157">
        <v>730366</v>
      </c>
      <c r="D70" s="157">
        <v>912320</v>
      </c>
      <c r="E70" s="157">
        <f t="shared" si="2"/>
        <v>181954</v>
      </c>
      <c r="F70" s="161">
        <f t="shared" si="3"/>
        <v>0.24912714994947738</v>
      </c>
    </row>
    <row r="71" spans="1:6" ht="15" customHeight="1" x14ac:dyDescent="0.2">
      <c r="A71" s="147">
        <v>10</v>
      </c>
      <c r="B71" s="160" t="s">
        <v>206</v>
      </c>
      <c r="C71" s="157">
        <v>454789</v>
      </c>
      <c r="D71" s="157">
        <v>441374</v>
      </c>
      <c r="E71" s="157">
        <f t="shared" si="2"/>
        <v>-13415</v>
      </c>
      <c r="F71" s="161">
        <f t="shared" si="3"/>
        <v>-2.9497195402703232E-2</v>
      </c>
    </row>
    <row r="72" spans="1:6" ht="15" customHeight="1" x14ac:dyDescent="0.2">
      <c r="A72" s="147">
        <v>11</v>
      </c>
      <c r="B72" s="160" t="s">
        <v>207</v>
      </c>
      <c r="C72" s="157">
        <v>244372</v>
      </c>
      <c r="D72" s="157">
        <v>296646</v>
      </c>
      <c r="E72" s="157">
        <f t="shared" si="2"/>
        <v>52274</v>
      </c>
      <c r="F72" s="161">
        <f t="shared" si="3"/>
        <v>0.2139115774311296</v>
      </c>
    </row>
    <row r="73" spans="1:6" ht="15" customHeight="1" x14ac:dyDescent="0.2">
      <c r="A73" s="147">
        <v>12</v>
      </c>
      <c r="B73" s="160" t="s">
        <v>208</v>
      </c>
      <c r="C73" s="157">
        <v>940741</v>
      </c>
      <c r="D73" s="157">
        <v>2488597</v>
      </c>
      <c r="E73" s="157">
        <f t="shared" si="2"/>
        <v>1547856</v>
      </c>
      <c r="F73" s="161">
        <f t="shared" si="3"/>
        <v>1.6453582867122831</v>
      </c>
    </row>
    <row r="74" spans="1:6" ht="15" customHeight="1" x14ac:dyDescent="0.2">
      <c r="A74" s="147">
        <v>13</v>
      </c>
      <c r="B74" s="160" t="s">
        <v>209</v>
      </c>
      <c r="C74" s="157">
        <v>288984</v>
      </c>
      <c r="D74" s="157">
        <v>218772</v>
      </c>
      <c r="E74" s="157">
        <f t="shared" si="2"/>
        <v>-70212</v>
      </c>
      <c r="F74" s="161">
        <f t="shared" si="3"/>
        <v>-0.24296154804418238</v>
      </c>
    </row>
    <row r="75" spans="1:6" ht="15" customHeight="1" x14ac:dyDescent="0.2">
      <c r="A75" s="147">
        <v>14</v>
      </c>
      <c r="B75" s="160" t="s">
        <v>210</v>
      </c>
      <c r="C75" s="157">
        <v>767034</v>
      </c>
      <c r="D75" s="157">
        <v>775837</v>
      </c>
      <c r="E75" s="157">
        <f t="shared" si="2"/>
        <v>8803</v>
      </c>
      <c r="F75" s="161">
        <f t="shared" si="3"/>
        <v>1.1476675088718361E-2</v>
      </c>
    </row>
    <row r="76" spans="1:6" ht="15" customHeight="1" x14ac:dyDescent="0.2">
      <c r="A76" s="147">
        <v>15</v>
      </c>
      <c r="B76" s="160" t="s">
        <v>211</v>
      </c>
      <c r="C76" s="157">
        <v>1335419</v>
      </c>
      <c r="D76" s="157">
        <v>1986271</v>
      </c>
      <c r="E76" s="157">
        <f t="shared" si="2"/>
        <v>650852</v>
      </c>
      <c r="F76" s="161">
        <f t="shared" si="3"/>
        <v>0.48737662112041241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11673124</v>
      </c>
      <c r="D78" s="157">
        <v>12020439</v>
      </c>
      <c r="E78" s="157">
        <f t="shared" si="2"/>
        <v>347315</v>
      </c>
      <c r="F78" s="161">
        <f t="shared" si="3"/>
        <v>2.9753389067056941E-2</v>
      </c>
    </row>
    <row r="79" spans="1:6" ht="15" customHeight="1" x14ac:dyDescent="0.2">
      <c r="A79" s="147">
        <v>18</v>
      </c>
      <c r="B79" s="160" t="s">
        <v>214</v>
      </c>
      <c r="C79" s="157">
        <v>366101</v>
      </c>
      <c r="D79" s="157">
        <v>370476</v>
      </c>
      <c r="E79" s="157">
        <f t="shared" si="2"/>
        <v>4375</v>
      </c>
      <c r="F79" s="161">
        <f t="shared" si="3"/>
        <v>1.1950254164834294E-2</v>
      </c>
    </row>
    <row r="80" spans="1:6" ht="15" customHeight="1" x14ac:dyDescent="0.2">
      <c r="A80" s="147">
        <v>19</v>
      </c>
      <c r="B80" s="160" t="s">
        <v>215</v>
      </c>
      <c r="C80" s="157">
        <v>6301087</v>
      </c>
      <c r="D80" s="157">
        <v>6798809</v>
      </c>
      <c r="E80" s="157">
        <f t="shared" si="2"/>
        <v>497722</v>
      </c>
      <c r="F80" s="161">
        <f t="shared" si="3"/>
        <v>7.8989863177575545E-2</v>
      </c>
    </row>
    <row r="81" spans="1:6" ht="15" customHeight="1" x14ac:dyDescent="0.2">
      <c r="A81" s="147">
        <v>20</v>
      </c>
      <c r="B81" s="160" t="s">
        <v>216</v>
      </c>
      <c r="C81" s="157">
        <v>4370688</v>
      </c>
      <c r="D81" s="157">
        <v>4268500</v>
      </c>
      <c r="E81" s="157">
        <f t="shared" si="2"/>
        <v>-102188</v>
      </c>
      <c r="F81" s="161">
        <f t="shared" si="3"/>
        <v>-2.3380300767293388E-2</v>
      </c>
    </row>
    <row r="82" spans="1:6" ht="15" customHeight="1" x14ac:dyDescent="0.2">
      <c r="A82" s="147">
        <v>21</v>
      </c>
      <c r="B82" s="160" t="s">
        <v>217</v>
      </c>
      <c r="C82" s="157">
        <v>2607958</v>
      </c>
      <c r="D82" s="157">
        <v>3747934</v>
      </c>
      <c r="E82" s="157">
        <f t="shared" si="2"/>
        <v>1139976</v>
      </c>
      <c r="F82" s="161">
        <f t="shared" si="3"/>
        <v>0.43711440138223084</v>
      </c>
    </row>
    <row r="83" spans="1:6" ht="15" customHeight="1" x14ac:dyDescent="0.2">
      <c r="A83" s="147">
        <v>22</v>
      </c>
      <c r="B83" s="160" t="s">
        <v>218</v>
      </c>
      <c r="C83" s="157">
        <v>1073077</v>
      </c>
      <c r="D83" s="157">
        <v>3439503</v>
      </c>
      <c r="E83" s="157">
        <f t="shared" si="2"/>
        <v>2366426</v>
      </c>
      <c r="F83" s="161">
        <f t="shared" si="3"/>
        <v>2.2052713831346678</v>
      </c>
    </row>
    <row r="84" spans="1:6" ht="15" customHeight="1" x14ac:dyDescent="0.2">
      <c r="A84" s="147">
        <v>23</v>
      </c>
      <c r="B84" s="160" t="s">
        <v>219</v>
      </c>
      <c r="C84" s="157">
        <v>1505200</v>
      </c>
      <c r="D84" s="157">
        <v>1637504</v>
      </c>
      <c r="E84" s="157">
        <f t="shared" si="2"/>
        <v>132304</v>
      </c>
      <c r="F84" s="161">
        <f t="shared" si="3"/>
        <v>8.7897953760297631E-2</v>
      </c>
    </row>
    <row r="85" spans="1:6" ht="15" customHeight="1" x14ac:dyDescent="0.2">
      <c r="A85" s="147">
        <v>24</v>
      </c>
      <c r="B85" s="160" t="s">
        <v>220</v>
      </c>
      <c r="C85" s="157">
        <v>262395</v>
      </c>
      <c r="D85" s="157">
        <v>265792</v>
      </c>
      <c r="E85" s="157">
        <f t="shared" si="2"/>
        <v>3397</v>
      </c>
      <c r="F85" s="161">
        <f t="shared" si="3"/>
        <v>1.2946130833285696E-2</v>
      </c>
    </row>
    <row r="86" spans="1:6" ht="15" customHeight="1" x14ac:dyDescent="0.2">
      <c r="A86" s="147">
        <v>25</v>
      </c>
      <c r="B86" s="160" t="s">
        <v>221</v>
      </c>
      <c r="C86" s="157">
        <v>378458</v>
      </c>
      <c r="D86" s="157">
        <v>410266</v>
      </c>
      <c r="E86" s="157">
        <f t="shared" si="2"/>
        <v>31808</v>
      </c>
      <c r="F86" s="161">
        <f t="shared" si="3"/>
        <v>8.4046314254157664E-2</v>
      </c>
    </row>
    <row r="87" spans="1:6" ht="15" customHeight="1" x14ac:dyDescent="0.2">
      <c r="A87" s="147">
        <v>26</v>
      </c>
      <c r="B87" s="160" t="s">
        <v>222</v>
      </c>
      <c r="C87" s="157">
        <v>208057</v>
      </c>
      <c r="D87" s="157">
        <v>148630</v>
      </c>
      <c r="E87" s="157">
        <f t="shared" si="2"/>
        <v>-59427</v>
      </c>
      <c r="F87" s="161">
        <f t="shared" si="3"/>
        <v>-0.28562845758614225</v>
      </c>
    </row>
    <row r="88" spans="1:6" ht="15" customHeight="1" x14ac:dyDescent="0.2">
      <c r="A88" s="147">
        <v>27</v>
      </c>
      <c r="B88" s="160" t="s">
        <v>223</v>
      </c>
      <c r="C88" s="157">
        <v>13913062</v>
      </c>
      <c r="D88" s="157">
        <v>12493302</v>
      </c>
      <c r="E88" s="157">
        <f t="shared" si="2"/>
        <v>-1419760</v>
      </c>
      <c r="F88" s="161">
        <f t="shared" si="3"/>
        <v>-0.10204511415244179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24433044</v>
      </c>
      <c r="E89" s="157">
        <f t="shared" si="2"/>
        <v>24433044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75294559</v>
      </c>
      <c r="D90" s="158">
        <f>SUM(D62:D89)</f>
        <v>107981228</v>
      </c>
      <c r="E90" s="158">
        <f t="shared" si="2"/>
        <v>32686669</v>
      </c>
      <c r="F90" s="159">
        <f t="shared" si="3"/>
        <v>0.43411727798286193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502208728</v>
      </c>
      <c r="D95" s="158">
        <f>+D93+D90+D59+D50+D47+D44+D41+D35+D30+D24+D18</f>
        <v>624338000</v>
      </c>
      <c r="E95" s="158">
        <f>+D95-C95</f>
        <v>122129272</v>
      </c>
      <c r="F95" s="159">
        <f>IF(C95=0,0,E95/C95)</f>
        <v>0.24318428810739426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66594519</v>
      </c>
      <c r="D103" s="157">
        <v>80110951</v>
      </c>
      <c r="E103" s="157">
        <f t="shared" ref="E103:E121" si="4">D103-C103</f>
        <v>13516432</v>
      </c>
      <c r="F103" s="161">
        <f t="shared" ref="F103:F121" si="5">IF(C103=0,0,E103/C103)</f>
        <v>0.20296613299361768</v>
      </c>
    </row>
    <row r="104" spans="1:6" ht="15" customHeight="1" x14ac:dyDescent="0.2">
      <c r="A104" s="147">
        <v>2</v>
      </c>
      <c r="B104" s="169" t="s">
        <v>234</v>
      </c>
      <c r="C104" s="157">
        <v>1122131</v>
      </c>
      <c r="D104" s="157">
        <v>1372603</v>
      </c>
      <c r="E104" s="157">
        <f t="shared" si="4"/>
        <v>250472</v>
      </c>
      <c r="F104" s="161">
        <f t="shared" si="5"/>
        <v>0.22321101546967334</v>
      </c>
    </row>
    <row r="105" spans="1:6" ht="15" customHeight="1" x14ac:dyDescent="0.2">
      <c r="A105" s="147">
        <v>3</v>
      </c>
      <c r="B105" s="169" t="s">
        <v>235</v>
      </c>
      <c r="C105" s="157">
        <v>5045770</v>
      </c>
      <c r="D105" s="157">
        <v>7073540</v>
      </c>
      <c r="E105" s="157">
        <f t="shared" si="4"/>
        <v>2027770</v>
      </c>
      <c r="F105" s="161">
        <f t="shared" si="5"/>
        <v>0.40187523410698467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31632970</v>
      </c>
      <c r="D107" s="157">
        <v>37415069</v>
      </c>
      <c r="E107" s="157">
        <f t="shared" si="4"/>
        <v>5782099</v>
      </c>
      <c r="F107" s="161">
        <f t="shared" si="5"/>
        <v>0.18278710472017012</v>
      </c>
    </row>
    <row r="108" spans="1:6" ht="15" customHeight="1" x14ac:dyDescent="0.2">
      <c r="A108" s="147">
        <v>6</v>
      </c>
      <c r="B108" s="169" t="s">
        <v>238</v>
      </c>
      <c r="C108" s="157">
        <v>2589645</v>
      </c>
      <c r="D108" s="157">
        <v>3068795</v>
      </c>
      <c r="E108" s="157">
        <f t="shared" si="4"/>
        <v>479150</v>
      </c>
      <c r="F108" s="161">
        <f t="shared" si="5"/>
        <v>0.18502536061892652</v>
      </c>
    </row>
    <row r="109" spans="1:6" ht="15" customHeight="1" x14ac:dyDescent="0.2">
      <c r="A109" s="147">
        <v>7</v>
      </c>
      <c r="B109" s="169" t="s">
        <v>239</v>
      </c>
      <c r="C109" s="157">
        <v>3535172</v>
      </c>
      <c r="D109" s="157">
        <v>4058476</v>
      </c>
      <c r="E109" s="157">
        <f t="shared" si="4"/>
        <v>523304</v>
      </c>
      <c r="F109" s="161">
        <f t="shared" si="5"/>
        <v>0.14802787530564285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1749332</v>
      </c>
      <c r="D111" s="157">
        <v>2185869</v>
      </c>
      <c r="E111" s="157">
        <f t="shared" si="4"/>
        <v>436537</v>
      </c>
      <c r="F111" s="161">
        <f t="shared" si="5"/>
        <v>0.24954496916537283</v>
      </c>
    </row>
    <row r="112" spans="1:6" ht="15" customHeight="1" x14ac:dyDescent="0.2">
      <c r="A112" s="147">
        <v>10</v>
      </c>
      <c r="B112" s="169" t="s">
        <v>242</v>
      </c>
      <c r="C112" s="157">
        <v>5755299</v>
      </c>
      <c r="D112" s="157">
        <v>7239483</v>
      </c>
      <c r="E112" s="157">
        <f t="shared" si="4"/>
        <v>1484184</v>
      </c>
      <c r="F112" s="161">
        <f t="shared" si="5"/>
        <v>0.25788130208352339</v>
      </c>
    </row>
    <row r="113" spans="1:6" ht="15" customHeight="1" x14ac:dyDescent="0.2">
      <c r="A113" s="147">
        <v>11</v>
      </c>
      <c r="B113" s="169" t="s">
        <v>243</v>
      </c>
      <c r="C113" s="157">
        <v>5070123</v>
      </c>
      <c r="D113" s="157">
        <v>6930491</v>
      </c>
      <c r="E113" s="157">
        <f t="shared" si="4"/>
        <v>1860368</v>
      </c>
      <c r="F113" s="161">
        <f t="shared" si="5"/>
        <v>0.36692758735833431</v>
      </c>
    </row>
    <row r="114" spans="1:6" ht="15" customHeight="1" x14ac:dyDescent="0.2">
      <c r="A114" s="147">
        <v>12</v>
      </c>
      <c r="B114" s="169" t="s">
        <v>244</v>
      </c>
      <c r="C114" s="157">
        <v>77043</v>
      </c>
      <c r="D114" s="157">
        <v>252614</v>
      </c>
      <c r="E114" s="157">
        <f t="shared" si="4"/>
        <v>175571</v>
      </c>
      <c r="F114" s="161">
        <f t="shared" si="5"/>
        <v>2.2788702412938231</v>
      </c>
    </row>
    <row r="115" spans="1:6" ht="15" customHeight="1" x14ac:dyDescent="0.2">
      <c r="A115" s="147">
        <v>13</v>
      </c>
      <c r="B115" s="169" t="s">
        <v>245</v>
      </c>
      <c r="C115" s="157">
        <v>9825789</v>
      </c>
      <c r="D115" s="157">
        <v>15568283</v>
      </c>
      <c r="E115" s="157">
        <f t="shared" si="4"/>
        <v>5742494</v>
      </c>
      <c r="F115" s="161">
        <f t="shared" si="5"/>
        <v>0.58443082789585654</v>
      </c>
    </row>
    <row r="116" spans="1:6" ht="15" customHeight="1" x14ac:dyDescent="0.2">
      <c r="A116" s="147">
        <v>14</v>
      </c>
      <c r="B116" s="169" t="s">
        <v>246</v>
      </c>
      <c r="C116" s="157">
        <v>7042175</v>
      </c>
      <c r="D116" s="157">
        <v>8988004</v>
      </c>
      <c r="E116" s="157">
        <f t="shared" si="4"/>
        <v>1945829</v>
      </c>
      <c r="F116" s="161">
        <f t="shared" si="5"/>
        <v>0.27631079886540733</v>
      </c>
    </row>
    <row r="117" spans="1:6" ht="15" customHeight="1" x14ac:dyDescent="0.2">
      <c r="A117" s="147">
        <v>15</v>
      </c>
      <c r="B117" s="169" t="s">
        <v>203</v>
      </c>
      <c r="C117" s="157">
        <v>3145257</v>
      </c>
      <c r="D117" s="157">
        <v>5038487</v>
      </c>
      <c r="E117" s="157">
        <f t="shared" si="4"/>
        <v>1893230</v>
      </c>
      <c r="F117" s="161">
        <f t="shared" si="5"/>
        <v>0.60193173403636013</v>
      </c>
    </row>
    <row r="118" spans="1:6" ht="15" customHeight="1" x14ac:dyDescent="0.2">
      <c r="A118" s="147">
        <v>16</v>
      </c>
      <c r="B118" s="169" t="s">
        <v>247</v>
      </c>
      <c r="C118" s="157">
        <v>3340776</v>
      </c>
      <c r="D118" s="157">
        <v>4038023</v>
      </c>
      <c r="E118" s="157">
        <f t="shared" si="4"/>
        <v>697247</v>
      </c>
      <c r="F118" s="161">
        <f t="shared" si="5"/>
        <v>0.20870809656199638</v>
      </c>
    </row>
    <row r="119" spans="1:6" ht="15" customHeight="1" x14ac:dyDescent="0.2">
      <c r="A119" s="147">
        <v>17</v>
      </c>
      <c r="B119" s="169" t="s">
        <v>248</v>
      </c>
      <c r="C119" s="157">
        <v>11478010</v>
      </c>
      <c r="D119" s="157">
        <v>12558376</v>
      </c>
      <c r="E119" s="157">
        <f t="shared" si="4"/>
        <v>1080366</v>
      </c>
      <c r="F119" s="161">
        <f t="shared" si="5"/>
        <v>9.412485265302957E-2</v>
      </c>
    </row>
    <row r="120" spans="1:6" ht="15" customHeight="1" x14ac:dyDescent="0.2">
      <c r="A120" s="147">
        <v>18</v>
      </c>
      <c r="B120" s="169" t="s">
        <v>249</v>
      </c>
      <c r="C120" s="157">
        <v>220415</v>
      </c>
      <c r="D120" s="157">
        <v>270000</v>
      </c>
      <c r="E120" s="157">
        <f t="shared" si="4"/>
        <v>49585</v>
      </c>
      <c r="F120" s="161">
        <f t="shared" si="5"/>
        <v>0.22496200349341017</v>
      </c>
    </row>
    <row r="121" spans="1:6" ht="15.75" customHeight="1" x14ac:dyDescent="0.25">
      <c r="A121" s="147"/>
      <c r="B121" s="165" t="s">
        <v>250</v>
      </c>
      <c r="C121" s="158">
        <f>SUM(C103:C120)</f>
        <v>158224426</v>
      </c>
      <c r="D121" s="158">
        <f>SUM(D103:D120)</f>
        <v>196169064</v>
      </c>
      <c r="E121" s="158">
        <f t="shared" si="4"/>
        <v>37944638</v>
      </c>
      <c r="F121" s="159">
        <f t="shared" si="5"/>
        <v>0.23981529880854174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14954642</v>
      </c>
      <c r="D125" s="157">
        <v>14683409</v>
      </c>
      <c r="E125" s="157">
        <f t="shared" si="6"/>
        <v>-271233</v>
      </c>
      <c r="F125" s="161">
        <f t="shared" si="7"/>
        <v>-1.8137044002791911E-2</v>
      </c>
    </row>
    <row r="126" spans="1:6" ht="15" customHeight="1" x14ac:dyDescent="0.2">
      <c r="A126" s="147">
        <v>3</v>
      </c>
      <c r="B126" s="169" t="s">
        <v>254</v>
      </c>
      <c r="C126" s="157">
        <v>6762892</v>
      </c>
      <c r="D126" s="157">
        <v>8533968</v>
      </c>
      <c r="E126" s="157">
        <f t="shared" si="6"/>
        <v>1771076</v>
      </c>
      <c r="F126" s="161">
        <f t="shared" si="7"/>
        <v>0.26188145544834962</v>
      </c>
    </row>
    <row r="127" spans="1:6" ht="15" customHeight="1" x14ac:dyDescent="0.2">
      <c r="A127" s="147">
        <v>4</v>
      </c>
      <c r="B127" s="169" t="s">
        <v>255</v>
      </c>
      <c r="C127" s="157">
        <v>2082356</v>
      </c>
      <c r="D127" s="157">
        <v>2599652</v>
      </c>
      <c r="E127" s="157">
        <f t="shared" si="6"/>
        <v>517296</v>
      </c>
      <c r="F127" s="161">
        <f t="shared" si="7"/>
        <v>0.24841861814214283</v>
      </c>
    </row>
    <row r="128" spans="1:6" ht="15" customHeight="1" x14ac:dyDescent="0.2">
      <c r="A128" s="147">
        <v>5</v>
      </c>
      <c r="B128" s="169" t="s">
        <v>256</v>
      </c>
      <c r="C128" s="157">
        <v>3655827</v>
      </c>
      <c r="D128" s="157">
        <v>4918017</v>
      </c>
      <c r="E128" s="157">
        <f t="shared" si="6"/>
        <v>1262190</v>
      </c>
      <c r="F128" s="161">
        <f t="shared" si="7"/>
        <v>0.34525430224132597</v>
      </c>
    </row>
    <row r="129" spans="1:6" ht="15" customHeight="1" x14ac:dyDescent="0.2">
      <c r="A129" s="147">
        <v>6</v>
      </c>
      <c r="B129" s="169" t="s">
        <v>257</v>
      </c>
      <c r="C129" s="157">
        <v>45678</v>
      </c>
      <c r="D129" s="157">
        <v>0</v>
      </c>
      <c r="E129" s="157">
        <f t="shared" si="6"/>
        <v>-45678</v>
      </c>
      <c r="F129" s="161">
        <f t="shared" si="7"/>
        <v>-1</v>
      </c>
    </row>
    <row r="130" spans="1:6" ht="15.75" customHeight="1" x14ac:dyDescent="0.25">
      <c r="A130" s="147"/>
      <c r="B130" s="165" t="s">
        <v>258</v>
      </c>
      <c r="C130" s="158">
        <f>SUM(C124:C129)</f>
        <v>27501395</v>
      </c>
      <c r="D130" s="158">
        <f>SUM(D124:D129)</f>
        <v>30735046</v>
      </c>
      <c r="E130" s="158">
        <f t="shared" si="6"/>
        <v>3233651</v>
      </c>
      <c r="F130" s="159">
        <f t="shared" si="7"/>
        <v>0.11758134450997849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47399739</v>
      </c>
      <c r="D133" s="157">
        <v>53458393</v>
      </c>
      <c r="E133" s="157">
        <f t="shared" ref="E133:E167" si="8">D133-C133</f>
        <v>6058654</v>
      </c>
      <c r="F133" s="161">
        <f t="shared" ref="F133:F167" si="9">IF(C133=0,0,E133/C133)</f>
        <v>0.12782040846258669</v>
      </c>
    </row>
    <row r="134" spans="1:6" ht="15" customHeight="1" x14ac:dyDescent="0.2">
      <c r="A134" s="147">
        <v>2</v>
      </c>
      <c r="B134" s="169" t="s">
        <v>261</v>
      </c>
      <c r="C134" s="157">
        <v>3508568</v>
      </c>
      <c r="D134" s="157">
        <v>3864778</v>
      </c>
      <c r="E134" s="157">
        <f t="shared" si="8"/>
        <v>356210</v>
      </c>
      <c r="F134" s="161">
        <f t="shared" si="9"/>
        <v>0.10152575067662932</v>
      </c>
    </row>
    <row r="135" spans="1:6" ht="15" customHeight="1" x14ac:dyDescent="0.2">
      <c r="A135" s="147">
        <v>3</v>
      </c>
      <c r="B135" s="169" t="s">
        <v>262</v>
      </c>
      <c r="C135" s="157">
        <v>3565343</v>
      </c>
      <c r="D135" s="157">
        <v>6318696</v>
      </c>
      <c r="E135" s="157">
        <f t="shared" si="8"/>
        <v>2753353</v>
      </c>
      <c r="F135" s="161">
        <f t="shared" si="9"/>
        <v>0.77225473117172738</v>
      </c>
    </row>
    <row r="136" spans="1:6" ht="15" customHeight="1" x14ac:dyDescent="0.2">
      <c r="A136" s="147">
        <v>4</v>
      </c>
      <c r="B136" s="169" t="s">
        <v>263</v>
      </c>
      <c r="C136" s="157">
        <v>5444193</v>
      </c>
      <c r="D136" s="157">
        <v>5648422</v>
      </c>
      <c r="E136" s="157">
        <f t="shared" si="8"/>
        <v>204229</v>
      </c>
      <c r="F136" s="161">
        <f t="shared" si="9"/>
        <v>3.7513181476115931E-2</v>
      </c>
    </row>
    <row r="137" spans="1:6" ht="15" customHeight="1" x14ac:dyDescent="0.2">
      <c r="A137" s="147">
        <v>5</v>
      </c>
      <c r="B137" s="169" t="s">
        <v>264</v>
      </c>
      <c r="C137" s="157">
        <v>8609731</v>
      </c>
      <c r="D137" s="157">
        <v>11286889</v>
      </c>
      <c r="E137" s="157">
        <f t="shared" si="8"/>
        <v>2677158</v>
      </c>
      <c r="F137" s="161">
        <f t="shared" si="9"/>
        <v>0.31094560329469062</v>
      </c>
    </row>
    <row r="138" spans="1:6" ht="15" customHeight="1" x14ac:dyDescent="0.2">
      <c r="A138" s="147">
        <v>6</v>
      </c>
      <c r="B138" s="169" t="s">
        <v>265</v>
      </c>
      <c r="C138" s="157">
        <v>1393408</v>
      </c>
      <c r="D138" s="157">
        <v>1368737</v>
      </c>
      <c r="E138" s="157">
        <f t="shared" si="8"/>
        <v>-24671</v>
      </c>
      <c r="F138" s="161">
        <f t="shared" si="9"/>
        <v>-1.7705510518096639E-2</v>
      </c>
    </row>
    <row r="139" spans="1:6" ht="15" customHeight="1" x14ac:dyDescent="0.2">
      <c r="A139" s="147">
        <v>7</v>
      </c>
      <c r="B139" s="169" t="s">
        <v>266</v>
      </c>
      <c r="C139" s="157">
        <v>4705392</v>
      </c>
      <c r="D139" s="157">
        <v>6025702</v>
      </c>
      <c r="E139" s="157">
        <f t="shared" si="8"/>
        <v>1320310</v>
      </c>
      <c r="F139" s="161">
        <f t="shared" si="9"/>
        <v>0.28059511301077572</v>
      </c>
    </row>
    <row r="140" spans="1:6" ht="15" customHeight="1" x14ac:dyDescent="0.2">
      <c r="A140" s="147">
        <v>8</v>
      </c>
      <c r="B140" s="169" t="s">
        <v>267</v>
      </c>
      <c r="C140" s="157">
        <v>2348806</v>
      </c>
      <c r="D140" s="157">
        <v>2299630</v>
      </c>
      <c r="E140" s="157">
        <f t="shared" si="8"/>
        <v>-49176</v>
      </c>
      <c r="F140" s="161">
        <f t="shared" si="9"/>
        <v>-2.0936595018915993E-2</v>
      </c>
    </row>
    <row r="141" spans="1:6" ht="15" customHeight="1" x14ac:dyDescent="0.2">
      <c r="A141" s="147">
        <v>9</v>
      </c>
      <c r="B141" s="169" t="s">
        <v>268</v>
      </c>
      <c r="C141" s="157">
        <v>2070417</v>
      </c>
      <c r="D141" s="157">
        <v>2565024</v>
      </c>
      <c r="E141" s="157">
        <f t="shared" si="8"/>
        <v>494607</v>
      </c>
      <c r="F141" s="161">
        <f t="shared" si="9"/>
        <v>0.238892454998196</v>
      </c>
    </row>
    <row r="142" spans="1:6" ht="15" customHeight="1" x14ac:dyDescent="0.2">
      <c r="A142" s="147">
        <v>10</v>
      </c>
      <c r="B142" s="169" t="s">
        <v>269</v>
      </c>
      <c r="C142" s="157">
        <v>23846975</v>
      </c>
      <c r="D142" s="157">
        <v>26530787</v>
      </c>
      <c r="E142" s="157">
        <f t="shared" si="8"/>
        <v>2683812</v>
      </c>
      <c r="F142" s="161">
        <f t="shared" si="9"/>
        <v>0.11254307936331548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17643785</v>
      </c>
      <c r="D144" s="157">
        <v>16049717</v>
      </c>
      <c r="E144" s="157">
        <f t="shared" si="8"/>
        <v>-1594068</v>
      </c>
      <c r="F144" s="161">
        <f t="shared" si="9"/>
        <v>-9.0347280926399862E-2</v>
      </c>
    </row>
    <row r="145" spans="1:6" ht="15" customHeight="1" x14ac:dyDescent="0.2">
      <c r="A145" s="147">
        <v>13</v>
      </c>
      <c r="B145" s="169" t="s">
        <v>272</v>
      </c>
      <c r="C145" s="157">
        <v>187797</v>
      </c>
      <c r="D145" s="157">
        <v>198550</v>
      </c>
      <c r="E145" s="157">
        <f t="shared" si="8"/>
        <v>10753</v>
      </c>
      <c r="F145" s="161">
        <f t="shared" si="9"/>
        <v>5.7258635654456672E-2</v>
      </c>
    </row>
    <row r="146" spans="1:6" ht="15" customHeight="1" x14ac:dyDescent="0.2">
      <c r="A146" s="147">
        <v>14</v>
      </c>
      <c r="B146" s="169" t="s">
        <v>273</v>
      </c>
      <c r="C146" s="157">
        <v>25660</v>
      </c>
      <c r="D146" s="157">
        <v>78921</v>
      </c>
      <c r="E146" s="157">
        <f t="shared" si="8"/>
        <v>53261</v>
      </c>
      <c r="F146" s="161">
        <f t="shared" si="9"/>
        <v>2.0756430241621202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3418877</v>
      </c>
      <c r="D150" s="157">
        <v>4710201</v>
      </c>
      <c r="E150" s="157">
        <f t="shared" si="8"/>
        <v>1291324</v>
      </c>
      <c r="F150" s="161">
        <f t="shared" si="9"/>
        <v>0.37770414086262827</v>
      </c>
    </row>
    <row r="151" spans="1:6" ht="15" customHeight="1" x14ac:dyDescent="0.2">
      <c r="A151" s="147">
        <v>19</v>
      </c>
      <c r="B151" s="169" t="s">
        <v>278</v>
      </c>
      <c r="C151" s="157">
        <v>2323293</v>
      </c>
      <c r="D151" s="157">
        <v>1647636</v>
      </c>
      <c r="E151" s="157">
        <f t="shared" si="8"/>
        <v>-675657</v>
      </c>
      <c r="F151" s="161">
        <f t="shared" si="9"/>
        <v>-0.29081867848781878</v>
      </c>
    </row>
    <row r="152" spans="1:6" ht="15" customHeight="1" x14ac:dyDescent="0.2">
      <c r="A152" s="147">
        <v>20</v>
      </c>
      <c r="B152" s="169" t="s">
        <v>279</v>
      </c>
      <c r="C152" s="157">
        <v>23964841</v>
      </c>
      <c r="D152" s="157">
        <v>30400909</v>
      </c>
      <c r="E152" s="157">
        <f t="shared" si="8"/>
        <v>6436068</v>
      </c>
      <c r="F152" s="161">
        <f t="shared" si="9"/>
        <v>0.26856293350746618</v>
      </c>
    </row>
    <row r="153" spans="1:6" ht="15" customHeight="1" x14ac:dyDescent="0.2">
      <c r="A153" s="147">
        <v>21</v>
      </c>
      <c r="B153" s="169" t="s">
        <v>280</v>
      </c>
      <c r="C153" s="157">
        <v>206155</v>
      </c>
      <c r="D153" s="157">
        <v>220325</v>
      </c>
      <c r="E153" s="157">
        <f t="shared" si="8"/>
        <v>14170</v>
      </c>
      <c r="F153" s="161">
        <f t="shared" si="9"/>
        <v>6.8734689917780312E-2</v>
      </c>
    </row>
    <row r="154" spans="1:6" ht="15" customHeight="1" x14ac:dyDescent="0.2">
      <c r="A154" s="147">
        <v>22</v>
      </c>
      <c r="B154" s="169" t="s">
        <v>281</v>
      </c>
      <c r="C154" s="157">
        <v>2765003</v>
      </c>
      <c r="D154" s="157">
        <v>4048549</v>
      </c>
      <c r="E154" s="157">
        <f t="shared" si="8"/>
        <v>1283546</v>
      </c>
      <c r="F154" s="161">
        <f t="shared" si="9"/>
        <v>0.46421143123533681</v>
      </c>
    </row>
    <row r="155" spans="1:6" ht="15" customHeight="1" x14ac:dyDescent="0.2">
      <c r="A155" s="147">
        <v>23</v>
      </c>
      <c r="B155" s="169" t="s">
        <v>282</v>
      </c>
      <c r="C155" s="157">
        <v>1047946</v>
      </c>
      <c r="D155" s="157">
        <v>747357</v>
      </c>
      <c r="E155" s="157">
        <f t="shared" si="8"/>
        <v>-300589</v>
      </c>
      <c r="F155" s="161">
        <f t="shared" si="9"/>
        <v>-0.28683634462081059</v>
      </c>
    </row>
    <row r="156" spans="1:6" ht="15" customHeight="1" x14ac:dyDescent="0.2">
      <c r="A156" s="147">
        <v>24</v>
      </c>
      <c r="B156" s="169" t="s">
        <v>283</v>
      </c>
      <c r="C156" s="157">
        <v>26813965</v>
      </c>
      <c r="D156" s="157">
        <v>39264999</v>
      </c>
      <c r="E156" s="157">
        <f t="shared" si="8"/>
        <v>12451034</v>
      </c>
      <c r="F156" s="161">
        <f t="shared" si="9"/>
        <v>0.46434885702282375</v>
      </c>
    </row>
    <row r="157" spans="1:6" ht="15" customHeight="1" x14ac:dyDescent="0.2">
      <c r="A157" s="147">
        <v>25</v>
      </c>
      <c r="B157" s="169" t="s">
        <v>284</v>
      </c>
      <c r="C157" s="157">
        <v>1728129</v>
      </c>
      <c r="D157" s="157">
        <v>2599653</v>
      </c>
      <c r="E157" s="157">
        <f t="shared" si="8"/>
        <v>871524</v>
      </c>
      <c r="F157" s="161">
        <f t="shared" si="9"/>
        <v>0.50431651803771593</v>
      </c>
    </row>
    <row r="158" spans="1:6" ht="15" customHeight="1" x14ac:dyDescent="0.2">
      <c r="A158" s="147">
        <v>26</v>
      </c>
      <c r="B158" s="169" t="s">
        <v>285</v>
      </c>
      <c r="C158" s="157">
        <v>932676</v>
      </c>
      <c r="D158" s="157">
        <v>936400</v>
      </c>
      <c r="E158" s="157">
        <f t="shared" si="8"/>
        <v>3724</v>
      </c>
      <c r="F158" s="161">
        <f t="shared" si="9"/>
        <v>3.9928120805081289E-3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5083048</v>
      </c>
      <c r="D160" s="157">
        <v>7100365</v>
      </c>
      <c r="E160" s="157">
        <f t="shared" si="8"/>
        <v>2017317</v>
      </c>
      <c r="F160" s="161">
        <f t="shared" si="9"/>
        <v>0.39687152275563797</v>
      </c>
    </row>
    <row r="161" spans="1:6" ht="15" customHeight="1" x14ac:dyDescent="0.2">
      <c r="A161" s="147">
        <v>29</v>
      </c>
      <c r="B161" s="169" t="s">
        <v>288</v>
      </c>
      <c r="C161" s="157">
        <v>1220266</v>
      </c>
      <c r="D161" s="157">
        <v>1285579</v>
      </c>
      <c r="E161" s="157">
        <f t="shared" si="8"/>
        <v>65313</v>
      </c>
      <c r="F161" s="161">
        <f t="shared" si="9"/>
        <v>5.3523576007198433E-2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604243</v>
      </c>
      <c r="D163" s="157">
        <v>724791</v>
      </c>
      <c r="E163" s="157">
        <f t="shared" si="8"/>
        <v>120548</v>
      </c>
      <c r="F163" s="161">
        <f t="shared" si="9"/>
        <v>0.19950251802668795</v>
      </c>
    </row>
    <row r="164" spans="1:6" ht="15" customHeight="1" x14ac:dyDescent="0.2">
      <c r="A164" s="147">
        <v>32</v>
      </c>
      <c r="B164" s="169" t="s">
        <v>291</v>
      </c>
      <c r="C164" s="157">
        <v>7480749</v>
      </c>
      <c r="D164" s="157">
        <v>8567088</v>
      </c>
      <c r="E164" s="157">
        <f t="shared" si="8"/>
        <v>1086339</v>
      </c>
      <c r="F164" s="161">
        <f t="shared" si="9"/>
        <v>0.14521794542230998</v>
      </c>
    </row>
    <row r="165" spans="1:6" ht="15" customHeight="1" x14ac:dyDescent="0.2">
      <c r="A165" s="147">
        <v>33</v>
      </c>
      <c r="B165" s="169" t="s">
        <v>292</v>
      </c>
      <c r="C165" s="157">
        <v>1758507</v>
      </c>
      <c r="D165" s="157">
        <v>1692373</v>
      </c>
      <c r="E165" s="157">
        <f t="shared" si="8"/>
        <v>-66134</v>
      </c>
      <c r="F165" s="161">
        <f t="shared" si="9"/>
        <v>-3.7608039092252687E-2</v>
      </c>
    </row>
    <row r="166" spans="1:6" ht="15" customHeight="1" x14ac:dyDescent="0.2">
      <c r="A166" s="147">
        <v>34</v>
      </c>
      <c r="B166" s="169" t="s">
        <v>293</v>
      </c>
      <c r="C166" s="157">
        <v>9530434</v>
      </c>
      <c r="D166" s="157">
        <v>5945312</v>
      </c>
      <c r="E166" s="157">
        <f t="shared" si="8"/>
        <v>-3585122</v>
      </c>
      <c r="F166" s="161">
        <f t="shared" si="9"/>
        <v>-0.37617615315315128</v>
      </c>
    </row>
    <row r="167" spans="1:6" ht="15.75" customHeight="1" x14ac:dyDescent="0.25">
      <c r="A167" s="147"/>
      <c r="B167" s="165" t="s">
        <v>294</v>
      </c>
      <c r="C167" s="158">
        <f>SUM(C133:C166)</f>
        <v>209627946</v>
      </c>
      <c r="D167" s="158">
        <f>SUM(D133:D166)</f>
        <v>245585783</v>
      </c>
      <c r="E167" s="158">
        <f t="shared" si="8"/>
        <v>35957837</v>
      </c>
      <c r="F167" s="159">
        <f t="shared" si="9"/>
        <v>0.1715316954925466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51895079</v>
      </c>
      <c r="D170" s="157">
        <v>61943188</v>
      </c>
      <c r="E170" s="157">
        <f t="shared" ref="E170:E183" si="10">D170-C170</f>
        <v>10048109</v>
      </c>
      <c r="F170" s="161">
        <f t="shared" ref="F170:F183" si="11">IF(C170=0,0,E170/C170)</f>
        <v>0.19362354183910194</v>
      </c>
    </row>
    <row r="171" spans="1:6" ht="15" customHeight="1" x14ac:dyDescent="0.2">
      <c r="A171" s="147">
        <v>2</v>
      </c>
      <c r="B171" s="169" t="s">
        <v>297</v>
      </c>
      <c r="C171" s="157">
        <v>7049203</v>
      </c>
      <c r="D171" s="157">
        <v>8941962</v>
      </c>
      <c r="E171" s="157">
        <f t="shared" si="10"/>
        <v>1892759</v>
      </c>
      <c r="F171" s="161">
        <f t="shared" si="11"/>
        <v>0.26850680850019498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4747827</v>
      </c>
      <c r="D173" s="157">
        <v>5105273</v>
      </c>
      <c r="E173" s="157">
        <f t="shared" si="10"/>
        <v>357446</v>
      </c>
      <c r="F173" s="161">
        <f t="shared" si="11"/>
        <v>7.5286230943124088E-2</v>
      </c>
    </row>
    <row r="174" spans="1:6" ht="15" customHeight="1" x14ac:dyDescent="0.2">
      <c r="A174" s="147">
        <v>5</v>
      </c>
      <c r="B174" s="169" t="s">
        <v>300</v>
      </c>
      <c r="C174" s="157">
        <v>2394498</v>
      </c>
      <c r="D174" s="157">
        <v>2124024</v>
      </c>
      <c r="E174" s="157">
        <f t="shared" si="10"/>
        <v>-270474</v>
      </c>
      <c r="F174" s="161">
        <f t="shared" si="11"/>
        <v>-0.11295645266774079</v>
      </c>
    </row>
    <row r="175" spans="1:6" ht="15" customHeight="1" x14ac:dyDescent="0.2">
      <c r="A175" s="147">
        <v>6</v>
      </c>
      <c r="B175" s="169" t="s">
        <v>301</v>
      </c>
      <c r="C175" s="157">
        <v>4729048</v>
      </c>
      <c r="D175" s="157">
        <v>4824329</v>
      </c>
      <c r="E175" s="157">
        <f t="shared" si="10"/>
        <v>95281</v>
      </c>
      <c r="F175" s="161">
        <f t="shared" si="11"/>
        <v>2.0148029793734385E-2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4362411</v>
      </c>
      <c r="D177" s="157">
        <v>4677109</v>
      </c>
      <c r="E177" s="157">
        <f t="shared" si="10"/>
        <v>314698</v>
      </c>
      <c r="F177" s="161">
        <f t="shared" si="11"/>
        <v>7.2138549072978217E-2</v>
      </c>
    </row>
    <row r="178" spans="1:6" ht="15" customHeight="1" x14ac:dyDescent="0.2">
      <c r="A178" s="147">
        <v>9</v>
      </c>
      <c r="B178" s="169" t="s">
        <v>304</v>
      </c>
      <c r="C178" s="157">
        <v>3237581</v>
      </c>
      <c r="D178" s="157">
        <v>3280088</v>
      </c>
      <c r="E178" s="157">
        <f t="shared" si="10"/>
        <v>42507</v>
      </c>
      <c r="F178" s="161">
        <f t="shared" si="11"/>
        <v>1.3129246804944802E-2</v>
      </c>
    </row>
    <row r="179" spans="1:6" ht="15" customHeight="1" x14ac:dyDescent="0.2">
      <c r="A179" s="147">
        <v>10</v>
      </c>
      <c r="B179" s="169" t="s">
        <v>305</v>
      </c>
      <c r="C179" s="157">
        <v>8521406</v>
      </c>
      <c r="D179" s="157">
        <v>9237493</v>
      </c>
      <c r="E179" s="157">
        <f t="shared" si="10"/>
        <v>716087</v>
      </c>
      <c r="F179" s="161">
        <f t="shared" si="11"/>
        <v>8.4033902386531051E-2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7533896</v>
      </c>
      <c r="D181" s="157">
        <v>5916386</v>
      </c>
      <c r="E181" s="157">
        <f t="shared" si="10"/>
        <v>-1617510</v>
      </c>
      <c r="F181" s="161">
        <f t="shared" si="11"/>
        <v>-0.21469768098736697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94470949</v>
      </c>
      <c r="D183" s="158">
        <f>SUM(D170:D182)</f>
        <v>106049852</v>
      </c>
      <c r="E183" s="158">
        <f t="shared" si="10"/>
        <v>11578903</v>
      </c>
      <c r="F183" s="159">
        <f t="shared" si="11"/>
        <v>0.1225657529914302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12384012</v>
      </c>
      <c r="D186" s="157">
        <v>45798255</v>
      </c>
      <c r="E186" s="157">
        <f>D186-C186</f>
        <v>33414243</v>
      </c>
      <c r="F186" s="161">
        <f>IF(C186=0,0,E186/C186)</f>
        <v>2.6981759223101527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502208728</v>
      </c>
      <c r="D188" s="158">
        <f>+D186+D183+D167+D130+D121</f>
        <v>624338000</v>
      </c>
      <c r="E188" s="158">
        <f>D188-C188</f>
        <v>122129272</v>
      </c>
      <c r="F188" s="159">
        <f>IF(C188=0,0,E188/C188)</f>
        <v>0.24318428810739426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FILING&amp;RDANBURY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501863239</v>
      </c>
      <c r="D11" s="183">
        <v>506353775</v>
      </c>
      <c r="E11" s="76">
        <v>592876000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13159391</v>
      </c>
      <c r="D12" s="185">
        <v>15495383</v>
      </c>
      <c r="E12" s="185">
        <v>16591000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515022630</v>
      </c>
      <c r="D13" s="76">
        <f>+D11+D12</f>
        <v>521849158</v>
      </c>
      <c r="E13" s="76">
        <f>+E11+E12</f>
        <v>609467000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486568594</v>
      </c>
      <c r="D14" s="185">
        <v>502208728</v>
      </c>
      <c r="E14" s="185">
        <v>624338000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28454036</v>
      </c>
      <c r="D15" s="76">
        <f>+D13-D14</f>
        <v>19640430</v>
      </c>
      <c r="E15" s="76">
        <f>+E13-E14</f>
        <v>-14871000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10187487</v>
      </c>
      <c r="D16" s="185">
        <v>31445240</v>
      </c>
      <c r="E16" s="185">
        <v>9265000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38641523</v>
      </c>
      <c r="D17" s="76">
        <f>D15+D16</f>
        <v>51085670</v>
      </c>
      <c r="E17" s="76">
        <f>E15+E16</f>
        <v>-5606000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5.4176481143450632E-2</v>
      </c>
      <c r="D20" s="189">
        <f>IF(+D27=0,0,+D24/+D27)</f>
        <v>3.5497250778237593E-2</v>
      </c>
      <c r="E20" s="189">
        <f>IF(+E27=0,0,+E24/+E27)</f>
        <v>-2.4034638583425458E-2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1.9396974030490732E-2</v>
      </c>
      <c r="D21" s="189">
        <f>IF(D27=0,0,+D26/D27)</f>
        <v>5.6832746027549695E-2</v>
      </c>
      <c r="E21" s="189">
        <f>IF(E27=0,0,+E26/E27)</f>
        <v>1.4974172986042422E-2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7.3573455173941371E-2</v>
      </c>
      <c r="D22" s="189">
        <f>IF(D27=0,0,+D28/D27)</f>
        <v>9.2329996805787282E-2</v>
      </c>
      <c r="E22" s="189">
        <f>IF(E27=0,0,+E28/E27)</f>
        <v>-9.0604655973830356E-3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28454036</v>
      </c>
      <c r="D24" s="76">
        <f>+D15</f>
        <v>19640430</v>
      </c>
      <c r="E24" s="76">
        <f>+E15</f>
        <v>-14871000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515022630</v>
      </c>
      <c r="D25" s="76">
        <f>+D13</f>
        <v>521849158</v>
      </c>
      <c r="E25" s="76">
        <f>+E13</f>
        <v>609467000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10187487</v>
      </c>
      <c r="D26" s="76">
        <f>+D16</f>
        <v>31445240</v>
      </c>
      <c r="E26" s="76">
        <f>+E16</f>
        <v>9265000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525210117</v>
      </c>
      <c r="D27" s="76">
        <f>+D25+D26</f>
        <v>553294398</v>
      </c>
      <c r="E27" s="76">
        <f>+E25+E26</f>
        <v>618732000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38641523</v>
      </c>
      <c r="D28" s="76">
        <f>+D17</f>
        <v>51085670</v>
      </c>
      <c r="E28" s="76">
        <f>+E17</f>
        <v>-5606000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400930008</v>
      </c>
      <c r="D31" s="76">
        <v>412096873</v>
      </c>
      <c r="E31" s="76">
        <v>406110000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486647111</v>
      </c>
      <c r="D32" s="76">
        <v>489293538</v>
      </c>
      <c r="E32" s="76">
        <v>476736000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42026012</v>
      </c>
      <c r="D33" s="76">
        <f>+D32-C32</f>
        <v>2646427</v>
      </c>
      <c r="E33" s="76">
        <f>+E32-D32</f>
        <v>-12557538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1.0945</v>
      </c>
      <c r="D34" s="193">
        <f>IF(C32=0,0,+D33/C32)</f>
        <v>5.4380822164173904E-3</v>
      </c>
      <c r="E34" s="193">
        <f>IF(D32=0,0,+E33/D32)</f>
        <v>-2.5664630788563573E-2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0.39014394239457728</v>
      </c>
      <c r="D38" s="195">
        <f>IF((D40+D41)=0,0,+D39/(D40+D41))</f>
        <v>0.38424379467098391</v>
      </c>
      <c r="E38" s="195">
        <f>IF((E40+E41)=0,0,+E39/(E40+E41))</f>
        <v>0.39998112829253973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486568594</v>
      </c>
      <c r="D39" s="76">
        <v>502208728</v>
      </c>
      <c r="E39" s="196">
        <v>624338000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1231890672</v>
      </c>
      <c r="D40" s="76">
        <v>1291510052</v>
      </c>
      <c r="E40" s="196">
        <v>1544327256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15260805</v>
      </c>
      <c r="D41" s="76">
        <v>15495383</v>
      </c>
      <c r="E41" s="196">
        <v>16591387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1.5185389276461059</v>
      </c>
      <c r="D43" s="197">
        <f>IF(D38=0,0,IF((D46-D47)=0,0,((+D44-D45)/(D46-D47)/D38)))</f>
        <v>1.5348272539024674</v>
      </c>
      <c r="E43" s="197">
        <f>IF(E38=0,0,IF((E46-E47)=0,0,((+E44-E45)/(E46-E47)/E38)))</f>
        <v>1.4109590772155616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303141114</v>
      </c>
      <c r="D44" s="76">
        <v>305487429</v>
      </c>
      <c r="E44" s="196">
        <v>331438914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9056420</v>
      </c>
      <c r="D45" s="76">
        <v>9161068</v>
      </c>
      <c r="E45" s="196">
        <v>10127415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530833006</v>
      </c>
      <c r="D46" s="76">
        <v>534946896</v>
      </c>
      <c r="E46" s="196">
        <v>611529552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34444606</v>
      </c>
      <c r="D47" s="76">
        <v>32484086</v>
      </c>
      <c r="E47" s="76">
        <v>42188697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0.83338127236987325</v>
      </c>
      <c r="D49" s="198">
        <f>IF(D38=0,0,IF(D51=0,0,(D50/D51)/D38))</f>
        <v>0.82110958594770023</v>
      </c>
      <c r="E49" s="198">
        <f>IF(E38=0,0,IF(E51=0,0,(E50/E51)/E38))</f>
        <v>0.77125790258052551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175171391</v>
      </c>
      <c r="D50" s="199">
        <v>182401310</v>
      </c>
      <c r="E50" s="199">
        <v>221632373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538759044</v>
      </c>
      <c r="D51" s="199">
        <v>578122628</v>
      </c>
      <c r="E51" s="199">
        <v>718445896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0.56485786990320552</v>
      </c>
      <c r="D53" s="198">
        <f>IF(D38=0,0,IF(D55=0,0,(D54/D55)/D38))</f>
        <v>0.50657483545490556</v>
      </c>
      <c r="E53" s="198">
        <f>IF(E38=0,0,IF(E55=0,0,(E54/E55)/E38))</f>
        <v>0.50955439833276017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35080650</v>
      </c>
      <c r="D54" s="199">
        <v>33894822</v>
      </c>
      <c r="E54" s="199">
        <v>42358047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159185527</v>
      </c>
      <c r="D55" s="199">
        <v>174133722</v>
      </c>
      <c r="E55" s="199">
        <v>207828868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11728671.446865531</v>
      </c>
      <c r="D57" s="88">
        <f>+D60*D38</f>
        <v>10653214.154115668</v>
      </c>
      <c r="E57" s="88">
        <f>+E60*E38</f>
        <v>14970995.646049185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12948351</v>
      </c>
      <c r="D58" s="199">
        <v>12601255</v>
      </c>
      <c r="E58" s="199">
        <v>16274798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17114070</v>
      </c>
      <c r="D59" s="199">
        <v>15123888</v>
      </c>
      <c r="E59" s="199">
        <v>21154457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30062421</v>
      </c>
      <c r="D60" s="76">
        <v>27725143</v>
      </c>
      <c r="E60" s="201">
        <v>37429255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2.4104867415395765E-2</v>
      </c>
      <c r="D62" s="202">
        <f>IF(D63=0,0,+D57/D63)</f>
        <v>2.1212722041970701E-2</v>
      </c>
      <c r="E62" s="202">
        <f>IF(E63=0,0,+E57/E63)</f>
        <v>2.3978991581561887E-2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486568594</v>
      </c>
      <c r="D63" s="199">
        <v>502208728</v>
      </c>
      <c r="E63" s="199">
        <v>624338000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1.8183505699171416</v>
      </c>
      <c r="D67" s="203">
        <f>IF(D69=0,0,D68/D69)</f>
        <v>1.5368262310467879</v>
      </c>
      <c r="E67" s="203">
        <f>IF(E69=0,0,E68/E69)</f>
        <v>1.2704480065762433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142453384</v>
      </c>
      <c r="D68" s="204">
        <v>137232555</v>
      </c>
      <c r="E68" s="204">
        <v>123640000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78342090</v>
      </c>
      <c r="D69" s="204">
        <v>89296078</v>
      </c>
      <c r="E69" s="204">
        <v>97320000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46.825724455735013</v>
      </c>
      <c r="D71" s="203">
        <f>IF((D77/365)=0,0,+D74/(D77/365))</f>
        <v>36.156263801226729</v>
      </c>
      <c r="E71" s="203">
        <f>IF((E77/365)=0,0,+E74/(E77/365))</f>
        <v>13.291491353521117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58568767</v>
      </c>
      <c r="D72" s="183">
        <v>46609541</v>
      </c>
      <c r="E72" s="183">
        <v>21083000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58568767</v>
      </c>
      <c r="D74" s="204">
        <f>+D72+D73</f>
        <v>46609541</v>
      </c>
      <c r="E74" s="204">
        <f>+E72+E73</f>
        <v>21083000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486568594</v>
      </c>
      <c r="D75" s="204">
        <f>+D14</f>
        <v>502208728</v>
      </c>
      <c r="E75" s="204">
        <f>+E14</f>
        <v>624338000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30033213</v>
      </c>
      <c r="D76" s="204">
        <v>31682167</v>
      </c>
      <c r="E76" s="204">
        <v>45374000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456535381</v>
      </c>
      <c r="D77" s="204">
        <f>+D75-D76</f>
        <v>470526561</v>
      </c>
      <c r="E77" s="204">
        <f>+E75-E76</f>
        <v>578964000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35.48806072245511</v>
      </c>
      <c r="D79" s="203">
        <f>IF((D84/365)=0,0,+D83/(D84/365))</f>
        <v>35.276812195189024</v>
      </c>
      <c r="E79" s="203">
        <f>IF((E84/365)=0,0,+E83/(E84/365))</f>
        <v>36.141941991242689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57504970</v>
      </c>
      <c r="D80" s="212">
        <v>63595267</v>
      </c>
      <c r="E80" s="212">
        <v>76938000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8710030</v>
      </c>
      <c r="D82" s="212">
        <v>14656782</v>
      </c>
      <c r="E82" s="212">
        <v>18232000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48794940</v>
      </c>
      <c r="D83" s="212">
        <f>+D80+D81-D82</f>
        <v>48938485</v>
      </c>
      <c r="E83" s="212">
        <f>+E80+E81-E82</f>
        <v>58706000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501863239</v>
      </c>
      <c r="D84" s="204">
        <f>+D11</f>
        <v>506353775</v>
      </c>
      <c r="E84" s="204">
        <f>+E11</f>
        <v>592876000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62.634494586959519</v>
      </c>
      <c r="D86" s="203">
        <f>IF((D90/365)=0,0,+D87/(D90/365))</f>
        <v>69.269348792405367</v>
      </c>
      <c r="E86" s="203">
        <f>IF((E90/365)=0,0,+E87/(E90/365))</f>
        <v>61.354073828424561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78342090</v>
      </c>
      <c r="D87" s="76">
        <f>+D69</f>
        <v>89296078</v>
      </c>
      <c r="E87" s="76">
        <f>+E69</f>
        <v>97320000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486568594</v>
      </c>
      <c r="D88" s="76">
        <f t="shared" si="0"/>
        <v>502208728</v>
      </c>
      <c r="E88" s="76">
        <f t="shared" si="0"/>
        <v>624338000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30033213</v>
      </c>
      <c r="D89" s="201">
        <f t="shared" si="0"/>
        <v>31682167</v>
      </c>
      <c r="E89" s="201">
        <f t="shared" si="0"/>
        <v>45374000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456535381</v>
      </c>
      <c r="D90" s="76">
        <f>+D88-D89</f>
        <v>470526561</v>
      </c>
      <c r="E90" s="76">
        <f>+E88-E89</f>
        <v>578964000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58.649731885193333</v>
      </c>
      <c r="D94" s="214">
        <f>IF(D96=0,0,(D95/D96)*100)</f>
        <v>58.338104719268166</v>
      </c>
      <c r="E94" s="214">
        <f>IF(E96=0,0,(E95/E96)*100)</f>
        <v>56.929955290611019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486647111</v>
      </c>
      <c r="D95" s="76">
        <f>+D32</f>
        <v>489293538</v>
      </c>
      <c r="E95" s="76">
        <f>+E32</f>
        <v>476736000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829751638</v>
      </c>
      <c r="D96" s="76">
        <v>838720319</v>
      </c>
      <c r="E96" s="76">
        <v>837408000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21.127951767723374</v>
      </c>
      <c r="D98" s="214">
        <f>IF(D104=0,0,(D101/D104)*100)</f>
        <v>25.000020388371102</v>
      </c>
      <c r="E98" s="214">
        <f>IF(E104=0,0,(E101/E104)*100)</f>
        <v>11.676208931559941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38641523</v>
      </c>
      <c r="D99" s="76">
        <f>+D28</f>
        <v>51085670</v>
      </c>
      <c r="E99" s="76">
        <f>+E28</f>
        <v>-5606000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30033213</v>
      </c>
      <c r="D100" s="201">
        <f>+D76</f>
        <v>31682167</v>
      </c>
      <c r="E100" s="201">
        <f>+E76</f>
        <v>45374000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68674736</v>
      </c>
      <c r="D101" s="76">
        <f>+D99+D100</f>
        <v>82767837</v>
      </c>
      <c r="E101" s="76">
        <f>+E99+E100</f>
        <v>39768000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78342090</v>
      </c>
      <c r="D102" s="204">
        <f>+D69</f>
        <v>89296078</v>
      </c>
      <c r="E102" s="204">
        <f>+E69</f>
        <v>97320000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246700000</v>
      </c>
      <c r="D103" s="216">
        <v>241775000</v>
      </c>
      <c r="E103" s="216">
        <v>243270000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325042090</v>
      </c>
      <c r="D104" s="204">
        <f>+D102+D103</f>
        <v>331071078</v>
      </c>
      <c r="E104" s="204">
        <f>+E102+E103</f>
        <v>340590000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33.640277066558184</v>
      </c>
      <c r="D106" s="214">
        <f>IF(D109=0,0,(D107/D109)*100)</f>
        <v>33.07145464930403</v>
      </c>
      <c r="E106" s="214">
        <f>IF(E109=0,0,(E107/E109)*100)</f>
        <v>33.787218439846335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246700000</v>
      </c>
      <c r="D107" s="204">
        <f>+D103</f>
        <v>241775000</v>
      </c>
      <c r="E107" s="204">
        <f>+E103</f>
        <v>243270000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486647111</v>
      </c>
      <c r="D108" s="204">
        <f>+D32</f>
        <v>489293538</v>
      </c>
      <c r="E108" s="204">
        <f>+E32</f>
        <v>476736000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733347111</v>
      </c>
      <c r="D109" s="204">
        <f>+D107+D108</f>
        <v>731068538</v>
      </c>
      <c r="E109" s="204">
        <f>+E107+E108</f>
        <v>720006000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13.117376534333635</v>
      </c>
      <c r="D111" s="214">
        <f>IF((+D113+D115)=0,0,((+D112+D113+D114)/(+D113+D115)))</f>
        <v>11.741903486177543</v>
      </c>
      <c r="E111" s="214">
        <f>IF((+E113+E115)=0,0,((+E112+E113+E114)/(+E113+E115)))</f>
        <v>0.35557999231748377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38641523</v>
      </c>
      <c r="D112" s="76">
        <f>+D17</f>
        <v>51085670</v>
      </c>
      <c r="E112" s="76">
        <f>+E17</f>
        <v>-5606000</v>
      </c>
    </row>
    <row r="113" spans="1:8" ht="24" customHeight="1" x14ac:dyDescent="0.2">
      <c r="A113" s="85">
        <v>17</v>
      </c>
      <c r="B113" s="75" t="s">
        <v>88</v>
      </c>
      <c r="C113" s="218">
        <v>3984131</v>
      </c>
      <c r="D113" s="76">
        <v>4557028</v>
      </c>
      <c r="E113" s="76">
        <v>7442000</v>
      </c>
    </row>
    <row r="114" spans="1:8" ht="24" customHeight="1" x14ac:dyDescent="0.2">
      <c r="A114" s="85">
        <v>18</v>
      </c>
      <c r="B114" s="75" t="s">
        <v>374</v>
      </c>
      <c r="C114" s="218">
        <v>30033213</v>
      </c>
      <c r="D114" s="76">
        <v>31682167</v>
      </c>
      <c r="E114" s="76">
        <v>45374000</v>
      </c>
    </row>
    <row r="115" spans="1:8" ht="24" customHeight="1" x14ac:dyDescent="0.2">
      <c r="A115" s="85">
        <v>19</v>
      </c>
      <c r="B115" s="75" t="s">
        <v>104</v>
      </c>
      <c r="C115" s="218">
        <v>1555000</v>
      </c>
      <c r="D115" s="76">
        <v>2880000</v>
      </c>
      <c r="E115" s="76">
        <v>125327000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10.931261966543506</v>
      </c>
      <c r="D119" s="214">
        <f>IF(+D121=0,0,(+D120)/(+D121))</f>
        <v>11.251372167819202</v>
      </c>
      <c r="E119" s="214">
        <f>IF(+E121=0,0,(+E120)/(+E121))</f>
        <v>9.9673381231542297</v>
      </c>
    </row>
    <row r="120" spans="1:8" ht="24" customHeight="1" x14ac:dyDescent="0.2">
      <c r="A120" s="85">
        <v>21</v>
      </c>
      <c r="B120" s="75" t="s">
        <v>378</v>
      </c>
      <c r="C120" s="218">
        <v>328300919</v>
      </c>
      <c r="D120" s="218">
        <v>356467852</v>
      </c>
      <c r="E120" s="218">
        <v>452258000</v>
      </c>
    </row>
    <row r="121" spans="1:8" ht="24" customHeight="1" x14ac:dyDescent="0.2">
      <c r="A121" s="85">
        <v>22</v>
      </c>
      <c r="B121" s="75" t="s">
        <v>374</v>
      </c>
      <c r="C121" s="218">
        <v>30033213</v>
      </c>
      <c r="D121" s="218">
        <v>31682167</v>
      </c>
      <c r="E121" s="218">
        <v>45374000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91003</v>
      </c>
      <c r="D124" s="218">
        <v>92169</v>
      </c>
      <c r="E124" s="218">
        <v>103461</v>
      </c>
    </row>
    <row r="125" spans="1:8" ht="24" customHeight="1" x14ac:dyDescent="0.2">
      <c r="A125" s="85">
        <v>2</v>
      </c>
      <c r="B125" s="75" t="s">
        <v>381</v>
      </c>
      <c r="C125" s="218">
        <v>18562</v>
      </c>
      <c r="D125" s="218">
        <v>18290</v>
      </c>
      <c r="E125" s="218">
        <v>20558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4.9026505764465034</v>
      </c>
      <c r="D126" s="219">
        <f>IF(D125=0,0,D124/D125)</f>
        <v>5.0393110989611811</v>
      </c>
      <c r="E126" s="219">
        <f>IF(E125=0,0,E124/E125)</f>
        <v>5.0326393618056233</v>
      </c>
    </row>
    <row r="127" spans="1:8" ht="24" customHeight="1" x14ac:dyDescent="0.2">
      <c r="A127" s="85">
        <v>4</v>
      </c>
      <c r="B127" s="75" t="s">
        <v>383</v>
      </c>
      <c r="C127" s="218">
        <v>267</v>
      </c>
      <c r="D127" s="218">
        <v>273</v>
      </c>
      <c r="E127" s="218">
        <v>296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371</v>
      </c>
      <c r="E128" s="218">
        <v>456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371</v>
      </c>
      <c r="D129" s="218">
        <v>371</v>
      </c>
      <c r="E129" s="218">
        <v>456</v>
      </c>
    </row>
    <row r="130" spans="1:7" ht="24" customHeight="1" x14ac:dyDescent="0.2">
      <c r="A130" s="85">
        <v>7</v>
      </c>
      <c r="B130" s="75" t="s">
        <v>386</v>
      </c>
      <c r="C130" s="193">
        <v>0.93369999999999997</v>
      </c>
      <c r="D130" s="193">
        <v>0.92490000000000006</v>
      </c>
      <c r="E130" s="193">
        <v>0.95760000000000001</v>
      </c>
    </row>
    <row r="131" spans="1:7" ht="24" customHeight="1" x14ac:dyDescent="0.2">
      <c r="A131" s="85">
        <v>8</v>
      </c>
      <c r="B131" s="75" t="s">
        <v>387</v>
      </c>
      <c r="C131" s="193">
        <v>0.67200000000000004</v>
      </c>
      <c r="D131" s="193">
        <v>0.68059999999999998</v>
      </c>
      <c r="E131" s="193">
        <v>0.62160000000000004</v>
      </c>
    </row>
    <row r="132" spans="1:7" ht="24" customHeight="1" x14ac:dyDescent="0.2">
      <c r="A132" s="85">
        <v>9</v>
      </c>
      <c r="B132" s="75" t="s">
        <v>388</v>
      </c>
      <c r="C132" s="219">
        <v>2361.9</v>
      </c>
      <c r="D132" s="219">
        <v>2351.1</v>
      </c>
      <c r="E132" s="219">
        <v>2718.9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0.40294842008512261</v>
      </c>
      <c r="D135" s="227">
        <f>IF(D149=0,0,D143/D149)</f>
        <v>0.38905063822143598</v>
      </c>
      <c r="E135" s="227">
        <f>IF(E149=0,0,E143/E149)</f>
        <v>0.36866593708555256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0.43734322878288667</v>
      </c>
      <c r="D136" s="227">
        <f>IF(D149=0,0,D144/D149)</f>
        <v>0.44763308431454624</v>
      </c>
      <c r="E136" s="227">
        <f>IF(E149=0,0,E144/E149)</f>
        <v>0.46521609536366298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0.12922049871646402</v>
      </c>
      <c r="D137" s="227">
        <f>IF(D149=0,0,D145/D149)</f>
        <v>0.13482955222093773</v>
      </c>
      <c r="E137" s="227">
        <f>IF(E149=0,0,E145/E149)</f>
        <v>0.13457566535366516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1.3783788112002198E-3</v>
      </c>
      <c r="D138" s="227">
        <f>IF(D149=0,0,D146/D149)</f>
        <v>2.1603471035160013E-3</v>
      </c>
      <c r="E138" s="227">
        <f>IF(E149=0,0,E146/E149)</f>
        <v>3.1409871069451615E-3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2.7960765336487586E-2</v>
      </c>
      <c r="D139" s="227">
        <f>IF(D149=0,0,D147/D149)</f>
        <v>2.5152019490437539E-2</v>
      </c>
      <c r="E139" s="227">
        <f>IF(E149=0,0,E147/E149)</f>
        <v>2.7318495374661703E-2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1.148708267838885E-3</v>
      </c>
      <c r="D140" s="227">
        <f>IF(D149=0,0,D148/D149)</f>
        <v>1.1743586491264877E-3</v>
      </c>
      <c r="E140" s="227">
        <f>IF(E149=0,0,E148/E149)</f>
        <v>1.0828197155124224E-3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496388400</v>
      </c>
      <c r="D143" s="229">
        <f>+D46-D147</f>
        <v>502462810</v>
      </c>
      <c r="E143" s="229">
        <f>+E46-E147</f>
        <v>569340855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538759044</v>
      </c>
      <c r="D144" s="229">
        <f>+D51</f>
        <v>578122628</v>
      </c>
      <c r="E144" s="229">
        <f>+E51</f>
        <v>718445896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159185527</v>
      </c>
      <c r="D145" s="229">
        <f>+D55</f>
        <v>174133722</v>
      </c>
      <c r="E145" s="229">
        <f>+E55</f>
        <v>207828868</v>
      </c>
    </row>
    <row r="146" spans="1:7" ht="20.100000000000001" customHeight="1" x14ac:dyDescent="0.2">
      <c r="A146" s="226">
        <v>11</v>
      </c>
      <c r="B146" s="224" t="s">
        <v>400</v>
      </c>
      <c r="C146" s="228">
        <v>1698012</v>
      </c>
      <c r="D146" s="229">
        <v>2790110</v>
      </c>
      <c r="E146" s="229">
        <v>4850712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34444606</v>
      </c>
      <c r="D147" s="229">
        <f>+D47</f>
        <v>32484086</v>
      </c>
      <c r="E147" s="229">
        <f>+E47</f>
        <v>42188697</v>
      </c>
    </row>
    <row r="148" spans="1:7" ht="20.100000000000001" customHeight="1" x14ac:dyDescent="0.2">
      <c r="A148" s="226">
        <v>13</v>
      </c>
      <c r="B148" s="224" t="s">
        <v>402</v>
      </c>
      <c r="C148" s="230">
        <v>1415083</v>
      </c>
      <c r="D148" s="229">
        <v>1516696</v>
      </c>
      <c r="E148" s="229">
        <v>1672228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1231890672</v>
      </c>
      <c r="D149" s="229">
        <f>SUM(D143:D148)</f>
        <v>1291510052</v>
      </c>
      <c r="E149" s="229">
        <f>SUM(E143:E148)</f>
        <v>1544327256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0.57160900068828924</v>
      </c>
      <c r="D152" s="227">
        <f>IF(D166=0,0,D160/D166)</f>
        <v>0.56679805960528329</v>
      </c>
      <c r="E152" s="227">
        <f>IF(E166=0,0,E160/E166)</f>
        <v>0.53835116128393412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0.34047859613764048</v>
      </c>
      <c r="D153" s="227">
        <f>IF(D166=0,0,D161/D166)</f>
        <v>0.34888799035149543</v>
      </c>
      <c r="E153" s="227">
        <f>IF(E166=0,0,E161/E166)</f>
        <v>0.37134072622363273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6.8185851556067836E-2</v>
      </c>
      <c r="D154" s="227">
        <f>IF(D166=0,0,D162/D166)</f>
        <v>6.4832299345337241E-2</v>
      </c>
      <c r="E154" s="227">
        <f>IF(E166=0,0,E162/E166)</f>
        <v>7.0970083122264674E-2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1.3847283024438976E-3</v>
      </c>
      <c r="D155" s="227">
        <f>IF(D166=0,0,D163/D166)</f>
        <v>1.1420548286584077E-3</v>
      </c>
      <c r="E155" s="227">
        <f>IF(E166=0,0,E163/E166)</f>
        <v>1.5605325146265262E-3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1.7602858263726696E-2</v>
      </c>
      <c r="D156" s="227">
        <f>IF(D166=0,0,D164/D166)</f>
        <v>1.7522827023519694E-2</v>
      </c>
      <c r="E156" s="227">
        <f>IF(E166=0,0,E164/E166)</f>
        <v>1.6968286672038257E-2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7.3896505183190049E-4</v>
      </c>
      <c r="D157" s="227">
        <f>IF(D166=0,0,D165/D166)</f>
        <v>8.1676884570600463E-4</v>
      </c>
      <c r="E157" s="227">
        <f>IF(E166=0,0,E165/E166)</f>
        <v>8.0921018350365431E-4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294084694</v>
      </c>
      <c r="D160" s="229">
        <f>+D44-D164</f>
        <v>296326361</v>
      </c>
      <c r="E160" s="229">
        <f>+E44-E164</f>
        <v>321311499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175171391</v>
      </c>
      <c r="D161" s="229">
        <f>+D50</f>
        <v>182401310</v>
      </c>
      <c r="E161" s="229">
        <f>+E50</f>
        <v>221632373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35080650</v>
      </c>
      <c r="D162" s="229">
        <f>+D54</f>
        <v>33894822</v>
      </c>
      <c r="E162" s="229">
        <f>+E54</f>
        <v>42358047</v>
      </c>
    </row>
    <row r="163" spans="1:6" ht="20.100000000000001" customHeight="1" x14ac:dyDescent="0.2">
      <c r="A163" s="226">
        <v>11</v>
      </c>
      <c r="B163" s="224" t="s">
        <v>415</v>
      </c>
      <c r="C163" s="228">
        <v>712423</v>
      </c>
      <c r="D163" s="229">
        <v>597075</v>
      </c>
      <c r="E163" s="229">
        <v>931394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9056420</v>
      </c>
      <c r="D164" s="229">
        <f>+D45</f>
        <v>9161068</v>
      </c>
      <c r="E164" s="229">
        <f>+E45</f>
        <v>10127415</v>
      </c>
    </row>
    <row r="165" spans="1:6" ht="20.100000000000001" customHeight="1" x14ac:dyDescent="0.2">
      <c r="A165" s="226">
        <v>13</v>
      </c>
      <c r="B165" s="224" t="s">
        <v>417</v>
      </c>
      <c r="C165" s="230">
        <v>380187</v>
      </c>
      <c r="D165" s="229">
        <v>427013</v>
      </c>
      <c r="E165" s="229">
        <v>482972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514485765</v>
      </c>
      <c r="D166" s="229">
        <f>SUM(D160:D165)</f>
        <v>522807649</v>
      </c>
      <c r="E166" s="229">
        <f>SUM(E160:E165)</f>
        <v>596843700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6808</v>
      </c>
      <c r="D169" s="218">
        <v>6516</v>
      </c>
      <c r="E169" s="218">
        <v>6907</v>
      </c>
    </row>
    <row r="170" spans="1:6" ht="20.100000000000001" customHeight="1" x14ac:dyDescent="0.2">
      <c r="A170" s="226">
        <v>2</v>
      </c>
      <c r="B170" s="224" t="s">
        <v>420</v>
      </c>
      <c r="C170" s="218">
        <v>8369</v>
      </c>
      <c r="D170" s="218">
        <v>8445</v>
      </c>
      <c r="E170" s="218">
        <v>10031</v>
      </c>
    </row>
    <row r="171" spans="1:6" ht="20.100000000000001" customHeight="1" x14ac:dyDescent="0.2">
      <c r="A171" s="226">
        <v>3</v>
      </c>
      <c r="B171" s="224" t="s">
        <v>421</v>
      </c>
      <c r="C171" s="218">
        <v>3350</v>
      </c>
      <c r="D171" s="218">
        <v>3295</v>
      </c>
      <c r="E171" s="218">
        <v>3594</v>
      </c>
    </row>
    <row r="172" spans="1:6" ht="20.100000000000001" customHeight="1" x14ac:dyDescent="0.2">
      <c r="A172" s="226">
        <v>4</v>
      </c>
      <c r="B172" s="224" t="s">
        <v>422</v>
      </c>
      <c r="C172" s="218">
        <v>3321</v>
      </c>
      <c r="D172" s="218">
        <v>3241</v>
      </c>
      <c r="E172" s="218">
        <v>3528</v>
      </c>
    </row>
    <row r="173" spans="1:6" ht="20.100000000000001" customHeight="1" x14ac:dyDescent="0.2">
      <c r="A173" s="226">
        <v>5</v>
      </c>
      <c r="B173" s="224" t="s">
        <v>423</v>
      </c>
      <c r="C173" s="218">
        <v>29</v>
      </c>
      <c r="D173" s="218">
        <v>54</v>
      </c>
      <c r="E173" s="218">
        <v>66</v>
      </c>
    </row>
    <row r="174" spans="1:6" ht="20.100000000000001" customHeight="1" x14ac:dyDescent="0.2">
      <c r="A174" s="226">
        <v>6</v>
      </c>
      <c r="B174" s="224" t="s">
        <v>424</v>
      </c>
      <c r="C174" s="218">
        <v>35</v>
      </c>
      <c r="D174" s="218">
        <v>34</v>
      </c>
      <c r="E174" s="218">
        <v>26</v>
      </c>
    </row>
    <row r="175" spans="1:6" ht="20.100000000000001" customHeight="1" x14ac:dyDescent="0.2">
      <c r="A175" s="226">
        <v>7</v>
      </c>
      <c r="B175" s="224" t="s">
        <v>425</v>
      </c>
      <c r="C175" s="218">
        <v>156</v>
      </c>
      <c r="D175" s="218">
        <v>175</v>
      </c>
      <c r="E175" s="218">
        <v>306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18562</v>
      </c>
      <c r="D176" s="218">
        <f>+D169+D170+D171+D174</f>
        <v>18290</v>
      </c>
      <c r="E176" s="218">
        <f>+E169+E170+E171+E174</f>
        <v>20558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1.2166999999999999</v>
      </c>
      <c r="D179" s="231">
        <v>1.2868299999999999</v>
      </c>
      <c r="E179" s="231">
        <v>1.2779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1.5411600000000001</v>
      </c>
      <c r="D180" s="231">
        <v>1.5812900000000001</v>
      </c>
      <c r="E180" s="231">
        <v>1.5479000000000001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1.0354779999999999</v>
      </c>
      <c r="D181" s="231">
        <v>1.0599719999999999</v>
      </c>
      <c r="E181" s="231">
        <v>1.082803</v>
      </c>
    </row>
    <row r="182" spans="1:6" ht="20.100000000000001" customHeight="1" x14ac:dyDescent="0.2">
      <c r="A182" s="226">
        <v>4</v>
      </c>
      <c r="B182" s="224" t="s">
        <v>422</v>
      </c>
      <c r="C182" s="231">
        <v>1.034</v>
      </c>
      <c r="D182" s="231">
        <v>1.0599000000000001</v>
      </c>
      <c r="E182" s="231">
        <v>1.0754999999999999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1.2048000000000001</v>
      </c>
      <c r="D183" s="231">
        <v>1.0643</v>
      </c>
      <c r="E183" s="231">
        <v>1.4732000000000001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0.87509999999999999</v>
      </c>
      <c r="D184" s="231">
        <v>0.71519999999999995</v>
      </c>
      <c r="E184" s="231">
        <v>0.64139999999999997</v>
      </c>
    </row>
    <row r="185" spans="1:6" ht="20.100000000000001" customHeight="1" x14ac:dyDescent="0.2">
      <c r="A185" s="226">
        <v>7</v>
      </c>
      <c r="B185" s="224" t="s">
        <v>425</v>
      </c>
      <c r="C185" s="231">
        <v>1.2056</v>
      </c>
      <c r="D185" s="231">
        <v>1.0898000000000001</v>
      </c>
      <c r="E185" s="231">
        <v>1.2467999999999999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1.3296380000000001</v>
      </c>
      <c r="D186" s="231">
        <v>1.3808579999999999</v>
      </c>
      <c r="E186" s="231">
        <v>1.37473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11548</v>
      </c>
      <c r="D189" s="218">
        <v>11281</v>
      </c>
      <c r="E189" s="218">
        <v>13654</v>
      </c>
    </row>
    <row r="190" spans="1:6" ht="20.100000000000001" customHeight="1" x14ac:dyDescent="0.2">
      <c r="A190" s="226">
        <v>2</v>
      </c>
      <c r="B190" s="224" t="s">
        <v>433</v>
      </c>
      <c r="C190" s="218">
        <v>58017</v>
      </c>
      <c r="D190" s="218">
        <v>54777</v>
      </c>
      <c r="E190" s="218">
        <v>69933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69565</v>
      </c>
      <c r="D191" s="218">
        <f>+D190+D189</f>
        <v>66058</v>
      </c>
      <c r="E191" s="218">
        <f>+E190+E189</f>
        <v>83587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FILING&amp;RDANBURY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114771</v>
      </c>
      <c r="D14" s="258">
        <v>200763</v>
      </c>
      <c r="E14" s="258">
        <f t="shared" ref="E14:E24" si="0">D14-C14</f>
        <v>85992</v>
      </c>
      <c r="F14" s="259">
        <f t="shared" ref="F14:F24" si="1">IF(C14=0,0,E14/C14)</f>
        <v>0.74924850354183548</v>
      </c>
    </row>
    <row r="15" spans="1:7" ht="20.25" customHeight="1" x14ac:dyDescent="0.3">
      <c r="A15" s="256">
        <v>2</v>
      </c>
      <c r="B15" s="257" t="s">
        <v>442</v>
      </c>
      <c r="C15" s="258">
        <v>14119</v>
      </c>
      <c r="D15" s="258">
        <v>118936</v>
      </c>
      <c r="E15" s="258">
        <f t="shared" si="0"/>
        <v>104817</v>
      </c>
      <c r="F15" s="259">
        <f t="shared" si="1"/>
        <v>7.4238260500035409</v>
      </c>
    </row>
    <row r="16" spans="1:7" ht="20.25" customHeight="1" x14ac:dyDescent="0.3">
      <c r="A16" s="256">
        <v>3</v>
      </c>
      <c r="B16" s="257" t="s">
        <v>443</v>
      </c>
      <c r="C16" s="258">
        <v>76046</v>
      </c>
      <c r="D16" s="258">
        <v>33660</v>
      </c>
      <c r="E16" s="258">
        <f t="shared" si="0"/>
        <v>-42386</v>
      </c>
      <c r="F16" s="259">
        <f t="shared" si="1"/>
        <v>-0.55737316887147248</v>
      </c>
    </row>
    <row r="17" spans="1:6" ht="20.25" customHeight="1" x14ac:dyDescent="0.3">
      <c r="A17" s="256">
        <v>4</v>
      </c>
      <c r="B17" s="257" t="s">
        <v>444</v>
      </c>
      <c r="C17" s="258">
        <v>37151</v>
      </c>
      <c r="D17" s="258">
        <v>17545</v>
      </c>
      <c r="E17" s="258">
        <f t="shared" si="0"/>
        <v>-19606</v>
      </c>
      <c r="F17" s="259">
        <f t="shared" si="1"/>
        <v>-0.52773814971333211</v>
      </c>
    </row>
    <row r="18" spans="1:6" ht="20.25" customHeight="1" x14ac:dyDescent="0.3">
      <c r="A18" s="256">
        <v>5</v>
      </c>
      <c r="B18" s="257" t="s">
        <v>381</v>
      </c>
      <c r="C18" s="260">
        <v>3</v>
      </c>
      <c r="D18" s="260">
        <v>4</v>
      </c>
      <c r="E18" s="260">
        <f t="shared" si="0"/>
        <v>1</v>
      </c>
      <c r="F18" s="259">
        <f t="shared" si="1"/>
        <v>0.33333333333333331</v>
      </c>
    </row>
    <row r="19" spans="1:6" ht="20.25" customHeight="1" x14ac:dyDescent="0.3">
      <c r="A19" s="256">
        <v>6</v>
      </c>
      <c r="B19" s="257" t="s">
        <v>380</v>
      </c>
      <c r="C19" s="260">
        <v>6</v>
      </c>
      <c r="D19" s="260">
        <v>33</v>
      </c>
      <c r="E19" s="260">
        <f t="shared" si="0"/>
        <v>27</v>
      </c>
      <c r="F19" s="259">
        <f t="shared" si="1"/>
        <v>4.5</v>
      </c>
    </row>
    <row r="20" spans="1:6" ht="20.25" customHeight="1" x14ac:dyDescent="0.3">
      <c r="A20" s="256">
        <v>7</v>
      </c>
      <c r="B20" s="257" t="s">
        <v>445</v>
      </c>
      <c r="C20" s="260">
        <v>7</v>
      </c>
      <c r="D20" s="260">
        <v>6</v>
      </c>
      <c r="E20" s="260">
        <f t="shared" si="0"/>
        <v>-1</v>
      </c>
      <c r="F20" s="259">
        <f t="shared" si="1"/>
        <v>-0.14285714285714285</v>
      </c>
    </row>
    <row r="21" spans="1:6" ht="20.25" customHeight="1" x14ac:dyDescent="0.3">
      <c r="A21" s="256">
        <v>8</v>
      </c>
      <c r="B21" s="257" t="s">
        <v>446</v>
      </c>
      <c r="C21" s="260">
        <v>3</v>
      </c>
      <c r="D21" s="260">
        <v>6</v>
      </c>
      <c r="E21" s="260">
        <f t="shared" si="0"/>
        <v>3</v>
      </c>
      <c r="F21" s="259">
        <f t="shared" si="1"/>
        <v>1</v>
      </c>
    </row>
    <row r="22" spans="1:6" ht="20.25" customHeight="1" x14ac:dyDescent="0.3">
      <c r="A22" s="256">
        <v>9</v>
      </c>
      <c r="B22" s="257" t="s">
        <v>447</v>
      </c>
      <c r="C22" s="260">
        <v>1</v>
      </c>
      <c r="D22" s="260">
        <v>4</v>
      </c>
      <c r="E22" s="260">
        <f t="shared" si="0"/>
        <v>3</v>
      </c>
      <c r="F22" s="259">
        <f t="shared" si="1"/>
        <v>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190817</v>
      </c>
      <c r="D23" s="263">
        <f>+D14+D16</f>
        <v>234423</v>
      </c>
      <c r="E23" s="263">
        <f t="shared" si="0"/>
        <v>43606</v>
      </c>
      <c r="F23" s="264">
        <f t="shared" si="1"/>
        <v>0.22852261590948394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51270</v>
      </c>
      <c r="D24" s="263">
        <f>+D15+D17</f>
        <v>136481</v>
      </c>
      <c r="E24" s="263">
        <f t="shared" si="0"/>
        <v>85211</v>
      </c>
      <c r="F24" s="264">
        <f t="shared" si="1"/>
        <v>1.66200507119173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5723534</v>
      </c>
      <c r="D40" s="258">
        <v>9647750</v>
      </c>
      <c r="E40" s="258">
        <f t="shared" ref="E40:E50" si="4">D40-C40</f>
        <v>3924216</v>
      </c>
      <c r="F40" s="259">
        <f t="shared" ref="F40:F50" si="5">IF(C40=0,0,E40/C40)</f>
        <v>0.68562814512851677</v>
      </c>
    </row>
    <row r="41" spans="1:6" ht="20.25" customHeight="1" x14ac:dyDescent="0.3">
      <c r="A41" s="256">
        <v>2</v>
      </c>
      <c r="B41" s="257" t="s">
        <v>442</v>
      </c>
      <c r="C41" s="258">
        <v>1636936</v>
      </c>
      <c r="D41" s="258">
        <v>2880492</v>
      </c>
      <c r="E41" s="258">
        <f t="shared" si="4"/>
        <v>1243556</v>
      </c>
      <c r="F41" s="259">
        <f t="shared" si="5"/>
        <v>0.75968516789905038</v>
      </c>
    </row>
    <row r="42" spans="1:6" ht="20.25" customHeight="1" x14ac:dyDescent="0.3">
      <c r="A42" s="256">
        <v>3</v>
      </c>
      <c r="B42" s="257" t="s">
        <v>443</v>
      </c>
      <c r="C42" s="258">
        <v>5459889</v>
      </c>
      <c r="D42" s="258">
        <v>8898678</v>
      </c>
      <c r="E42" s="258">
        <f t="shared" si="4"/>
        <v>3438789</v>
      </c>
      <c r="F42" s="259">
        <f t="shared" si="5"/>
        <v>0.6298276393531077</v>
      </c>
    </row>
    <row r="43" spans="1:6" ht="20.25" customHeight="1" x14ac:dyDescent="0.3">
      <c r="A43" s="256">
        <v>4</v>
      </c>
      <c r="B43" s="257" t="s">
        <v>444</v>
      </c>
      <c r="C43" s="258">
        <v>1539899</v>
      </c>
      <c r="D43" s="258">
        <v>3509321</v>
      </c>
      <c r="E43" s="258">
        <f t="shared" si="4"/>
        <v>1969422</v>
      </c>
      <c r="F43" s="259">
        <f t="shared" si="5"/>
        <v>1.2789293323782924</v>
      </c>
    </row>
    <row r="44" spans="1:6" ht="20.25" customHeight="1" x14ac:dyDescent="0.3">
      <c r="A44" s="256">
        <v>5</v>
      </c>
      <c r="B44" s="257" t="s">
        <v>381</v>
      </c>
      <c r="C44" s="260">
        <v>147</v>
      </c>
      <c r="D44" s="260">
        <v>249</v>
      </c>
      <c r="E44" s="260">
        <f t="shared" si="4"/>
        <v>102</v>
      </c>
      <c r="F44" s="259">
        <f t="shared" si="5"/>
        <v>0.69387755102040816</v>
      </c>
    </row>
    <row r="45" spans="1:6" ht="20.25" customHeight="1" x14ac:dyDescent="0.3">
      <c r="A45" s="256">
        <v>6</v>
      </c>
      <c r="B45" s="257" t="s">
        <v>380</v>
      </c>
      <c r="C45" s="260">
        <v>786</v>
      </c>
      <c r="D45" s="260">
        <v>1332</v>
      </c>
      <c r="E45" s="260">
        <f t="shared" si="4"/>
        <v>546</v>
      </c>
      <c r="F45" s="259">
        <f t="shared" si="5"/>
        <v>0.69465648854961837</v>
      </c>
    </row>
    <row r="46" spans="1:6" ht="20.25" customHeight="1" x14ac:dyDescent="0.3">
      <c r="A46" s="256">
        <v>7</v>
      </c>
      <c r="B46" s="257" t="s">
        <v>445</v>
      </c>
      <c r="C46" s="260">
        <v>1217</v>
      </c>
      <c r="D46" s="260">
        <v>1849</v>
      </c>
      <c r="E46" s="260">
        <f t="shared" si="4"/>
        <v>632</v>
      </c>
      <c r="F46" s="259">
        <f t="shared" si="5"/>
        <v>0.51930977814297452</v>
      </c>
    </row>
    <row r="47" spans="1:6" ht="20.25" customHeight="1" x14ac:dyDescent="0.3">
      <c r="A47" s="256">
        <v>8</v>
      </c>
      <c r="B47" s="257" t="s">
        <v>446</v>
      </c>
      <c r="C47" s="260">
        <v>205</v>
      </c>
      <c r="D47" s="260">
        <v>340</v>
      </c>
      <c r="E47" s="260">
        <f t="shared" si="4"/>
        <v>135</v>
      </c>
      <c r="F47" s="259">
        <f t="shared" si="5"/>
        <v>0.65853658536585369</v>
      </c>
    </row>
    <row r="48" spans="1:6" ht="20.25" customHeight="1" x14ac:dyDescent="0.3">
      <c r="A48" s="256">
        <v>9</v>
      </c>
      <c r="B48" s="257" t="s">
        <v>447</v>
      </c>
      <c r="C48" s="260">
        <v>112</v>
      </c>
      <c r="D48" s="260">
        <v>196</v>
      </c>
      <c r="E48" s="260">
        <f t="shared" si="4"/>
        <v>84</v>
      </c>
      <c r="F48" s="259">
        <f t="shared" si="5"/>
        <v>0.75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11183423</v>
      </c>
      <c r="D49" s="263">
        <f>+D40+D42</f>
        <v>18546428</v>
      </c>
      <c r="E49" s="263">
        <f t="shared" si="4"/>
        <v>7363005</v>
      </c>
      <c r="F49" s="264">
        <f t="shared" si="5"/>
        <v>0.65838563023145957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3176835</v>
      </c>
      <c r="D50" s="263">
        <f>+D41+D43</f>
        <v>6389813</v>
      </c>
      <c r="E50" s="263">
        <f t="shared" si="4"/>
        <v>3212978</v>
      </c>
      <c r="F50" s="264">
        <f t="shared" si="5"/>
        <v>1.0113770466517777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2691351</v>
      </c>
      <c r="D66" s="258">
        <v>4412703</v>
      </c>
      <c r="E66" s="258">
        <f t="shared" ref="E66:E76" si="8">D66-C66</f>
        <v>1721352</v>
      </c>
      <c r="F66" s="259">
        <f t="shared" ref="F66:F76" si="9">IF(C66=0,0,E66/C66)</f>
        <v>0.63958658681086189</v>
      </c>
    </row>
    <row r="67" spans="1:6" ht="20.25" customHeight="1" x14ac:dyDescent="0.3">
      <c r="A67" s="256">
        <v>2</v>
      </c>
      <c r="B67" s="257" t="s">
        <v>442</v>
      </c>
      <c r="C67" s="258">
        <v>736252</v>
      </c>
      <c r="D67" s="258">
        <v>1158239</v>
      </c>
      <c r="E67" s="258">
        <f t="shared" si="8"/>
        <v>421987</v>
      </c>
      <c r="F67" s="259">
        <f t="shared" si="9"/>
        <v>0.57315565866035001</v>
      </c>
    </row>
    <row r="68" spans="1:6" ht="20.25" customHeight="1" x14ac:dyDescent="0.3">
      <c r="A68" s="256">
        <v>3</v>
      </c>
      <c r="B68" s="257" t="s">
        <v>443</v>
      </c>
      <c r="C68" s="258">
        <v>1796342</v>
      </c>
      <c r="D68" s="258">
        <v>2614461</v>
      </c>
      <c r="E68" s="258">
        <f t="shared" si="8"/>
        <v>818119</v>
      </c>
      <c r="F68" s="259">
        <f t="shared" si="9"/>
        <v>0.45543610292472148</v>
      </c>
    </row>
    <row r="69" spans="1:6" ht="20.25" customHeight="1" x14ac:dyDescent="0.3">
      <c r="A69" s="256">
        <v>4</v>
      </c>
      <c r="B69" s="257" t="s">
        <v>444</v>
      </c>
      <c r="C69" s="258">
        <v>569249</v>
      </c>
      <c r="D69" s="258">
        <v>742067</v>
      </c>
      <c r="E69" s="258">
        <f t="shared" si="8"/>
        <v>172818</v>
      </c>
      <c r="F69" s="259">
        <f t="shared" si="9"/>
        <v>0.30358946612115262</v>
      </c>
    </row>
    <row r="70" spans="1:6" ht="20.25" customHeight="1" x14ac:dyDescent="0.3">
      <c r="A70" s="256">
        <v>5</v>
      </c>
      <c r="B70" s="257" t="s">
        <v>381</v>
      </c>
      <c r="C70" s="260">
        <v>66</v>
      </c>
      <c r="D70" s="260">
        <v>113</v>
      </c>
      <c r="E70" s="260">
        <f t="shared" si="8"/>
        <v>47</v>
      </c>
      <c r="F70" s="259">
        <f t="shared" si="9"/>
        <v>0.71212121212121215</v>
      </c>
    </row>
    <row r="71" spans="1:6" ht="20.25" customHeight="1" x14ac:dyDescent="0.3">
      <c r="A71" s="256">
        <v>6</v>
      </c>
      <c r="B71" s="257" t="s">
        <v>380</v>
      </c>
      <c r="C71" s="260">
        <v>379</v>
      </c>
      <c r="D71" s="260">
        <v>749</v>
      </c>
      <c r="E71" s="260">
        <f t="shared" si="8"/>
        <v>370</v>
      </c>
      <c r="F71" s="259">
        <f t="shared" si="9"/>
        <v>0.9762532981530343</v>
      </c>
    </row>
    <row r="72" spans="1:6" ht="20.25" customHeight="1" x14ac:dyDescent="0.3">
      <c r="A72" s="256">
        <v>7</v>
      </c>
      <c r="B72" s="257" t="s">
        <v>445</v>
      </c>
      <c r="C72" s="260">
        <v>432</v>
      </c>
      <c r="D72" s="260">
        <v>471</v>
      </c>
      <c r="E72" s="260">
        <f t="shared" si="8"/>
        <v>39</v>
      </c>
      <c r="F72" s="259">
        <f t="shared" si="9"/>
        <v>9.0277777777777776E-2</v>
      </c>
    </row>
    <row r="73" spans="1:6" ht="20.25" customHeight="1" x14ac:dyDescent="0.3">
      <c r="A73" s="256">
        <v>8</v>
      </c>
      <c r="B73" s="257" t="s">
        <v>446</v>
      </c>
      <c r="C73" s="260">
        <v>110</v>
      </c>
      <c r="D73" s="260">
        <v>220</v>
      </c>
      <c r="E73" s="260">
        <f t="shared" si="8"/>
        <v>110</v>
      </c>
      <c r="F73" s="259">
        <f t="shared" si="9"/>
        <v>1</v>
      </c>
    </row>
    <row r="74" spans="1:6" ht="20.25" customHeight="1" x14ac:dyDescent="0.3">
      <c r="A74" s="256">
        <v>9</v>
      </c>
      <c r="B74" s="257" t="s">
        <v>447</v>
      </c>
      <c r="C74" s="260">
        <v>62</v>
      </c>
      <c r="D74" s="260">
        <v>101</v>
      </c>
      <c r="E74" s="260">
        <f t="shared" si="8"/>
        <v>39</v>
      </c>
      <c r="F74" s="259">
        <f t="shared" si="9"/>
        <v>0.62903225806451613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4487693</v>
      </c>
      <c r="D75" s="263">
        <f>+D66+D68</f>
        <v>7027164</v>
      </c>
      <c r="E75" s="263">
        <f t="shared" si="8"/>
        <v>2539471</v>
      </c>
      <c r="F75" s="264">
        <f t="shared" si="9"/>
        <v>0.56587449275162094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1305501</v>
      </c>
      <c r="D76" s="263">
        <f>+D67+D69</f>
        <v>1900306</v>
      </c>
      <c r="E76" s="263">
        <f t="shared" si="8"/>
        <v>594805</v>
      </c>
      <c r="F76" s="264">
        <f t="shared" si="9"/>
        <v>0.45561435801274758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15874033</v>
      </c>
      <c r="D118" s="258">
        <v>24117885</v>
      </c>
      <c r="E118" s="258">
        <f t="shared" ref="E118:E128" si="16">D118-C118</f>
        <v>8243852</v>
      </c>
      <c r="F118" s="259">
        <f t="shared" ref="F118:F128" si="17">IF(C118=0,0,E118/C118)</f>
        <v>0.51932939789151256</v>
      </c>
    </row>
    <row r="119" spans="1:6" ht="20.25" customHeight="1" x14ac:dyDescent="0.3">
      <c r="A119" s="256">
        <v>2</v>
      </c>
      <c r="B119" s="257" t="s">
        <v>442</v>
      </c>
      <c r="C119" s="258">
        <v>4781359</v>
      </c>
      <c r="D119" s="258">
        <v>6643219</v>
      </c>
      <c r="E119" s="258">
        <f t="shared" si="16"/>
        <v>1861860</v>
      </c>
      <c r="F119" s="259">
        <f t="shared" si="17"/>
        <v>0.38939975015471545</v>
      </c>
    </row>
    <row r="120" spans="1:6" ht="20.25" customHeight="1" x14ac:dyDescent="0.3">
      <c r="A120" s="256">
        <v>3</v>
      </c>
      <c r="B120" s="257" t="s">
        <v>443</v>
      </c>
      <c r="C120" s="258">
        <v>14996062</v>
      </c>
      <c r="D120" s="258">
        <v>20396055</v>
      </c>
      <c r="E120" s="258">
        <f t="shared" si="16"/>
        <v>5399993</v>
      </c>
      <c r="F120" s="259">
        <f t="shared" si="17"/>
        <v>0.36009407002985183</v>
      </c>
    </row>
    <row r="121" spans="1:6" ht="20.25" customHeight="1" x14ac:dyDescent="0.3">
      <c r="A121" s="256">
        <v>4</v>
      </c>
      <c r="B121" s="257" t="s">
        <v>444</v>
      </c>
      <c r="C121" s="258">
        <v>4462408</v>
      </c>
      <c r="D121" s="258">
        <v>5779497</v>
      </c>
      <c r="E121" s="258">
        <f t="shared" si="16"/>
        <v>1317089</v>
      </c>
      <c r="F121" s="259">
        <f t="shared" si="17"/>
        <v>0.29515207932578108</v>
      </c>
    </row>
    <row r="122" spans="1:6" ht="20.25" customHeight="1" x14ac:dyDescent="0.3">
      <c r="A122" s="256">
        <v>5</v>
      </c>
      <c r="B122" s="257" t="s">
        <v>381</v>
      </c>
      <c r="C122" s="260">
        <v>421</v>
      </c>
      <c r="D122" s="260">
        <v>505</v>
      </c>
      <c r="E122" s="260">
        <f t="shared" si="16"/>
        <v>84</v>
      </c>
      <c r="F122" s="259">
        <f t="shared" si="17"/>
        <v>0.1995249406175772</v>
      </c>
    </row>
    <row r="123" spans="1:6" ht="20.25" customHeight="1" x14ac:dyDescent="0.3">
      <c r="A123" s="256">
        <v>6</v>
      </c>
      <c r="B123" s="257" t="s">
        <v>380</v>
      </c>
      <c r="C123" s="260">
        <v>2194</v>
      </c>
      <c r="D123" s="260">
        <v>3276</v>
      </c>
      <c r="E123" s="260">
        <f t="shared" si="16"/>
        <v>1082</v>
      </c>
      <c r="F123" s="259">
        <f t="shared" si="17"/>
        <v>0.49316317228805834</v>
      </c>
    </row>
    <row r="124" spans="1:6" ht="20.25" customHeight="1" x14ac:dyDescent="0.3">
      <c r="A124" s="256">
        <v>7</v>
      </c>
      <c r="B124" s="257" t="s">
        <v>445</v>
      </c>
      <c r="C124" s="260">
        <v>3557</v>
      </c>
      <c r="D124" s="260">
        <v>4437</v>
      </c>
      <c r="E124" s="260">
        <f t="shared" si="16"/>
        <v>880</v>
      </c>
      <c r="F124" s="259">
        <f t="shared" si="17"/>
        <v>0.24739949395558056</v>
      </c>
    </row>
    <row r="125" spans="1:6" ht="20.25" customHeight="1" x14ac:dyDescent="0.3">
      <c r="A125" s="256">
        <v>8</v>
      </c>
      <c r="B125" s="257" t="s">
        <v>446</v>
      </c>
      <c r="C125" s="260">
        <v>471</v>
      </c>
      <c r="D125" s="260">
        <v>590</v>
      </c>
      <c r="E125" s="260">
        <f t="shared" si="16"/>
        <v>119</v>
      </c>
      <c r="F125" s="259">
        <f t="shared" si="17"/>
        <v>0.25265392781316348</v>
      </c>
    </row>
    <row r="126" spans="1:6" ht="20.25" customHeight="1" x14ac:dyDescent="0.3">
      <c r="A126" s="256">
        <v>9</v>
      </c>
      <c r="B126" s="257" t="s">
        <v>447</v>
      </c>
      <c r="C126" s="260">
        <v>314</v>
      </c>
      <c r="D126" s="260">
        <v>379</v>
      </c>
      <c r="E126" s="260">
        <f t="shared" si="16"/>
        <v>65</v>
      </c>
      <c r="F126" s="259">
        <f t="shared" si="17"/>
        <v>0.2070063694267516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30870095</v>
      </c>
      <c r="D127" s="263">
        <f>+D118+D120</f>
        <v>44513940</v>
      </c>
      <c r="E127" s="263">
        <f t="shared" si="16"/>
        <v>13643845</v>
      </c>
      <c r="F127" s="264">
        <f t="shared" si="17"/>
        <v>0.4419761260857798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9243767</v>
      </c>
      <c r="D128" s="263">
        <f>+D119+D121</f>
        <v>12422716</v>
      </c>
      <c r="E128" s="263">
        <f t="shared" si="16"/>
        <v>3178949</v>
      </c>
      <c r="F128" s="264">
        <f t="shared" si="17"/>
        <v>0.34390189627237466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16429903</v>
      </c>
      <c r="D144" s="258">
        <v>22670837</v>
      </c>
      <c r="E144" s="258">
        <f t="shared" ref="E144:E154" si="20">D144-C144</f>
        <v>6240934</v>
      </c>
      <c r="F144" s="259">
        <f t="shared" ref="F144:F154" si="21">IF(C144=0,0,E144/C144)</f>
        <v>0.37985215128780736</v>
      </c>
    </row>
    <row r="145" spans="1:6" ht="20.25" customHeight="1" x14ac:dyDescent="0.3">
      <c r="A145" s="256">
        <v>2</v>
      </c>
      <c r="B145" s="257" t="s">
        <v>442</v>
      </c>
      <c r="C145" s="258">
        <v>4979897</v>
      </c>
      <c r="D145" s="258">
        <v>6307211</v>
      </c>
      <c r="E145" s="258">
        <f t="shared" si="20"/>
        <v>1327314</v>
      </c>
      <c r="F145" s="259">
        <f t="shared" si="21"/>
        <v>0.26653442832251351</v>
      </c>
    </row>
    <row r="146" spans="1:6" ht="20.25" customHeight="1" x14ac:dyDescent="0.3">
      <c r="A146" s="256">
        <v>3</v>
      </c>
      <c r="B146" s="257" t="s">
        <v>443</v>
      </c>
      <c r="C146" s="258">
        <v>16393027</v>
      </c>
      <c r="D146" s="258">
        <v>21562032</v>
      </c>
      <c r="E146" s="258">
        <f t="shared" si="20"/>
        <v>5169005</v>
      </c>
      <c r="F146" s="259">
        <f t="shared" si="21"/>
        <v>0.31531729923948759</v>
      </c>
    </row>
    <row r="147" spans="1:6" ht="20.25" customHeight="1" x14ac:dyDescent="0.3">
      <c r="A147" s="256">
        <v>4</v>
      </c>
      <c r="B147" s="257" t="s">
        <v>444</v>
      </c>
      <c r="C147" s="258">
        <v>4937042</v>
      </c>
      <c r="D147" s="258">
        <v>4990947</v>
      </c>
      <c r="E147" s="258">
        <f t="shared" si="20"/>
        <v>53905</v>
      </c>
      <c r="F147" s="259">
        <f t="shared" si="21"/>
        <v>1.0918481147213251E-2</v>
      </c>
    </row>
    <row r="148" spans="1:6" ht="20.25" customHeight="1" x14ac:dyDescent="0.3">
      <c r="A148" s="256">
        <v>5</v>
      </c>
      <c r="B148" s="257" t="s">
        <v>381</v>
      </c>
      <c r="C148" s="260">
        <v>443</v>
      </c>
      <c r="D148" s="260">
        <v>551</v>
      </c>
      <c r="E148" s="260">
        <f t="shared" si="20"/>
        <v>108</v>
      </c>
      <c r="F148" s="259">
        <f t="shared" si="21"/>
        <v>0.24379232505643342</v>
      </c>
    </row>
    <row r="149" spans="1:6" ht="20.25" customHeight="1" x14ac:dyDescent="0.3">
      <c r="A149" s="256">
        <v>6</v>
      </c>
      <c r="B149" s="257" t="s">
        <v>380</v>
      </c>
      <c r="C149" s="260">
        <v>2295</v>
      </c>
      <c r="D149" s="260">
        <v>3126</v>
      </c>
      <c r="E149" s="260">
        <f t="shared" si="20"/>
        <v>831</v>
      </c>
      <c r="F149" s="259">
        <f t="shared" si="21"/>
        <v>0.36209150326797385</v>
      </c>
    </row>
    <row r="150" spans="1:6" ht="20.25" customHeight="1" x14ac:dyDescent="0.3">
      <c r="A150" s="256">
        <v>7</v>
      </c>
      <c r="B150" s="257" t="s">
        <v>445</v>
      </c>
      <c r="C150" s="260">
        <v>3696</v>
      </c>
      <c r="D150" s="260">
        <v>4659</v>
      </c>
      <c r="E150" s="260">
        <f t="shared" si="20"/>
        <v>963</v>
      </c>
      <c r="F150" s="259">
        <f t="shared" si="21"/>
        <v>0.26055194805194803</v>
      </c>
    </row>
    <row r="151" spans="1:6" ht="20.25" customHeight="1" x14ac:dyDescent="0.3">
      <c r="A151" s="256">
        <v>8</v>
      </c>
      <c r="B151" s="257" t="s">
        <v>446</v>
      </c>
      <c r="C151" s="260">
        <v>543</v>
      </c>
      <c r="D151" s="260">
        <v>745</v>
      </c>
      <c r="E151" s="260">
        <f t="shared" si="20"/>
        <v>202</v>
      </c>
      <c r="F151" s="259">
        <f t="shared" si="21"/>
        <v>0.3720073664825046</v>
      </c>
    </row>
    <row r="152" spans="1:6" ht="20.25" customHeight="1" x14ac:dyDescent="0.3">
      <c r="A152" s="256">
        <v>9</v>
      </c>
      <c r="B152" s="257" t="s">
        <v>447</v>
      </c>
      <c r="C152" s="260">
        <v>344</v>
      </c>
      <c r="D152" s="260">
        <v>440</v>
      </c>
      <c r="E152" s="260">
        <f t="shared" si="20"/>
        <v>96</v>
      </c>
      <c r="F152" s="259">
        <f t="shared" si="21"/>
        <v>0.27906976744186046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32822930</v>
      </c>
      <c r="D153" s="263">
        <f>+D144+D146</f>
        <v>44232869</v>
      </c>
      <c r="E153" s="263">
        <f t="shared" si="20"/>
        <v>11409939</v>
      </c>
      <c r="F153" s="264">
        <f t="shared" si="21"/>
        <v>0.34762097716443963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9916939</v>
      </c>
      <c r="D154" s="263">
        <f>+D145+D147</f>
        <v>11298158</v>
      </c>
      <c r="E154" s="263">
        <f t="shared" si="20"/>
        <v>1381219</v>
      </c>
      <c r="F154" s="264">
        <f t="shared" si="21"/>
        <v>0.13927876333614636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98869</v>
      </c>
      <c r="D183" s="258">
        <v>659478</v>
      </c>
      <c r="E183" s="258">
        <f t="shared" ref="E183:E193" si="26">D183-C183</f>
        <v>560609</v>
      </c>
      <c r="F183" s="259">
        <f t="shared" ref="F183:F193" si="27">IF(C183=0,0,E183/C183)</f>
        <v>5.6702201903528913</v>
      </c>
    </row>
    <row r="184" spans="1:6" ht="20.25" customHeight="1" x14ac:dyDescent="0.3">
      <c r="A184" s="256">
        <v>2</v>
      </c>
      <c r="B184" s="257" t="s">
        <v>442</v>
      </c>
      <c r="C184" s="258">
        <v>42487</v>
      </c>
      <c r="D184" s="258">
        <v>181112</v>
      </c>
      <c r="E184" s="258">
        <f t="shared" si="26"/>
        <v>138625</v>
      </c>
      <c r="F184" s="259">
        <f t="shared" si="27"/>
        <v>3.2627627274225057</v>
      </c>
    </row>
    <row r="185" spans="1:6" ht="20.25" customHeight="1" x14ac:dyDescent="0.3">
      <c r="A185" s="256">
        <v>3</v>
      </c>
      <c r="B185" s="257" t="s">
        <v>443</v>
      </c>
      <c r="C185" s="258">
        <v>250823</v>
      </c>
      <c r="D185" s="258">
        <v>478828</v>
      </c>
      <c r="E185" s="258">
        <f t="shared" si="26"/>
        <v>228005</v>
      </c>
      <c r="F185" s="259">
        <f t="shared" si="27"/>
        <v>0.9090274815308006</v>
      </c>
    </row>
    <row r="186" spans="1:6" ht="20.25" customHeight="1" x14ac:dyDescent="0.3">
      <c r="A186" s="256">
        <v>4</v>
      </c>
      <c r="B186" s="257" t="s">
        <v>444</v>
      </c>
      <c r="C186" s="258">
        <v>61467</v>
      </c>
      <c r="D186" s="258">
        <v>85312</v>
      </c>
      <c r="E186" s="258">
        <f t="shared" si="26"/>
        <v>23845</v>
      </c>
      <c r="F186" s="259">
        <f t="shared" si="27"/>
        <v>0.38793173572811429</v>
      </c>
    </row>
    <row r="187" spans="1:6" ht="20.25" customHeight="1" x14ac:dyDescent="0.3">
      <c r="A187" s="256">
        <v>5</v>
      </c>
      <c r="B187" s="257" t="s">
        <v>381</v>
      </c>
      <c r="C187" s="260">
        <v>3</v>
      </c>
      <c r="D187" s="260">
        <v>12</v>
      </c>
      <c r="E187" s="260">
        <f t="shared" si="26"/>
        <v>9</v>
      </c>
      <c r="F187" s="259">
        <f t="shared" si="27"/>
        <v>3</v>
      </c>
    </row>
    <row r="188" spans="1:6" ht="20.25" customHeight="1" x14ac:dyDescent="0.3">
      <c r="A188" s="256">
        <v>6</v>
      </c>
      <c r="B188" s="257" t="s">
        <v>380</v>
      </c>
      <c r="C188" s="260">
        <v>9</v>
      </c>
      <c r="D188" s="260">
        <v>67</v>
      </c>
      <c r="E188" s="260">
        <f t="shared" si="26"/>
        <v>58</v>
      </c>
      <c r="F188" s="259">
        <f t="shared" si="27"/>
        <v>6.4444444444444446</v>
      </c>
    </row>
    <row r="189" spans="1:6" ht="20.25" customHeight="1" x14ac:dyDescent="0.3">
      <c r="A189" s="256">
        <v>7</v>
      </c>
      <c r="B189" s="257" t="s">
        <v>445</v>
      </c>
      <c r="C189" s="260">
        <v>169</v>
      </c>
      <c r="D189" s="260">
        <v>113</v>
      </c>
      <c r="E189" s="260">
        <f t="shared" si="26"/>
        <v>-56</v>
      </c>
      <c r="F189" s="259">
        <f t="shared" si="27"/>
        <v>-0.33136094674556216</v>
      </c>
    </row>
    <row r="190" spans="1:6" ht="20.25" customHeight="1" x14ac:dyDescent="0.3">
      <c r="A190" s="256">
        <v>8</v>
      </c>
      <c r="B190" s="257" t="s">
        <v>446</v>
      </c>
      <c r="C190" s="260">
        <v>16</v>
      </c>
      <c r="D190" s="260">
        <v>32</v>
      </c>
      <c r="E190" s="260">
        <f t="shared" si="26"/>
        <v>16</v>
      </c>
      <c r="F190" s="259">
        <f t="shared" si="27"/>
        <v>1</v>
      </c>
    </row>
    <row r="191" spans="1:6" ht="20.25" customHeight="1" x14ac:dyDescent="0.3">
      <c r="A191" s="256">
        <v>9</v>
      </c>
      <c r="B191" s="257" t="s">
        <v>447</v>
      </c>
      <c r="C191" s="260">
        <v>3</v>
      </c>
      <c r="D191" s="260">
        <v>10</v>
      </c>
      <c r="E191" s="260">
        <f t="shared" si="26"/>
        <v>7</v>
      </c>
      <c r="F191" s="259">
        <f t="shared" si="27"/>
        <v>2.3333333333333335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349692</v>
      </c>
      <c r="D192" s="263">
        <f>+D183+D185</f>
        <v>1138306</v>
      </c>
      <c r="E192" s="263">
        <f t="shared" si="26"/>
        <v>788614</v>
      </c>
      <c r="F192" s="264">
        <f t="shared" si="27"/>
        <v>2.2551674044587808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103954</v>
      </c>
      <c r="D193" s="263">
        <f>+D184+D186</f>
        <v>266424</v>
      </c>
      <c r="E193" s="263">
        <f t="shared" si="26"/>
        <v>162470</v>
      </c>
      <c r="F193" s="264">
        <f t="shared" si="27"/>
        <v>1.5629028224022163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40932461</v>
      </c>
      <c r="D198" s="263">
        <f t="shared" si="28"/>
        <v>61709416</v>
      </c>
      <c r="E198" s="263">
        <f t="shared" ref="E198:E208" si="29">D198-C198</f>
        <v>20776955</v>
      </c>
      <c r="F198" s="273">
        <f t="shared" ref="F198:F208" si="30">IF(C198=0,0,E198/C198)</f>
        <v>0.50759115118927245</v>
      </c>
    </row>
    <row r="199" spans="1:9" ht="20.25" customHeight="1" x14ac:dyDescent="0.3">
      <c r="A199" s="271"/>
      <c r="B199" s="272" t="s">
        <v>466</v>
      </c>
      <c r="C199" s="263">
        <f t="shared" si="28"/>
        <v>12191050</v>
      </c>
      <c r="D199" s="263">
        <f t="shared" si="28"/>
        <v>17289209</v>
      </c>
      <c r="E199" s="263">
        <f t="shared" si="29"/>
        <v>5098159</v>
      </c>
      <c r="F199" s="273">
        <f t="shared" si="30"/>
        <v>0.41818867119731279</v>
      </c>
    </row>
    <row r="200" spans="1:9" ht="20.25" customHeight="1" x14ac:dyDescent="0.3">
      <c r="A200" s="271"/>
      <c r="B200" s="272" t="s">
        <v>467</v>
      </c>
      <c r="C200" s="263">
        <f t="shared" si="28"/>
        <v>38972189</v>
      </c>
      <c r="D200" s="263">
        <f t="shared" si="28"/>
        <v>53983714</v>
      </c>
      <c r="E200" s="263">
        <f t="shared" si="29"/>
        <v>15011525</v>
      </c>
      <c r="F200" s="273">
        <f t="shared" si="30"/>
        <v>0.38518557425655509</v>
      </c>
    </row>
    <row r="201" spans="1:9" ht="20.25" customHeight="1" x14ac:dyDescent="0.3">
      <c r="A201" s="271"/>
      <c r="B201" s="272" t="s">
        <v>468</v>
      </c>
      <c r="C201" s="263">
        <f t="shared" si="28"/>
        <v>11607216</v>
      </c>
      <c r="D201" s="263">
        <f t="shared" si="28"/>
        <v>15124689</v>
      </c>
      <c r="E201" s="263">
        <f t="shared" si="29"/>
        <v>3517473</v>
      </c>
      <c r="F201" s="273">
        <f t="shared" si="30"/>
        <v>0.30304191806200559</v>
      </c>
    </row>
    <row r="202" spans="1:9" ht="20.25" customHeight="1" x14ac:dyDescent="0.3">
      <c r="A202" s="271"/>
      <c r="B202" s="272" t="s">
        <v>138</v>
      </c>
      <c r="C202" s="274">
        <f t="shared" si="28"/>
        <v>1083</v>
      </c>
      <c r="D202" s="274">
        <f t="shared" si="28"/>
        <v>1434</v>
      </c>
      <c r="E202" s="274">
        <f t="shared" si="29"/>
        <v>351</v>
      </c>
      <c r="F202" s="273">
        <f t="shared" si="30"/>
        <v>0.32409972299168976</v>
      </c>
    </row>
    <row r="203" spans="1:9" ht="20.25" customHeight="1" x14ac:dyDescent="0.3">
      <c r="A203" s="271"/>
      <c r="B203" s="272" t="s">
        <v>140</v>
      </c>
      <c r="C203" s="274">
        <f t="shared" si="28"/>
        <v>5669</v>
      </c>
      <c r="D203" s="274">
        <f t="shared" si="28"/>
        <v>8583</v>
      </c>
      <c r="E203" s="274">
        <f t="shared" si="29"/>
        <v>2914</v>
      </c>
      <c r="F203" s="273">
        <f t="shared" si="30"/>
        <v>0.51402363732580703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9078</v>
      </c>
      <c r="D204" s="274">
        <f t="shared" si="28"/>
        <v>11535</v>
      </c>
      <c r="E204" s="274">
        <f t="shared" si="29"/>
        <v>2457</v>
      </c>
      <c r="F204" s="273">
        <f t="shared" si="30"/>
        <v>0.27065432914738929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1348</v>
      </c>
      <c r="D205" s="274">
        <f t="shared" si="28"/>
        <v>1933</v>
      </c>
      <c r="E205" s="274">
        <f t="shared" si="29"/>
        <v>585</v>
      </c>
      <c r="F205" s="273">
        <f t="shared" si="30"/>
        <v>0.43397626112759646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836</v>
      </c>
      <c r="D206" s="274">
        <f t="shared" si="28"/>
        <v>1130</v>
      </c>
      <c r="E206" s="274">
        <f t="shared" si="29"/>
        <v>294</v>
      </c>
      <c r="F206" s="273">
        <f t="shared" si="30"/>
        <v>0.35167464114832536</v>
      </c>
    </row>
    <row r="207" spans="1:9" ht="20.25" customHeight="1" x14ac:dyDescent="0.3">
      <c r="A207" s="271"/>
      <c r="B207" s="262" t="s">
        <v>471</v>
      </c>
      <c r="C207" s="263">
        <f>+C198+C200</f>
        <v>79904650</v>
      </c>
      <c r="D207" s="263">
        <f>+D198+D200</f>
        <v>115693130</v>
      </c>
      <c r="E207" s="263">
        <f t="shared" si="29"/>
        <v>35788480</v>
      </c>
      <c r="F207" s="273">
        <f t="shared" si="30"/>
        <v>0.44788982868956939</v>
      </c>
    </row>
    <row r="208" spans="1:9" ht="20.25" customHeight="1" x14ac:dyDescent="0.3">
      <c r="A208" s="271"/>
      <c r="B208" s="262" t="s">
        <v>472</v>
      </c>
      <c r="C208" s="263">
        <f>+C199+C201</f>
        <v>23798266</v>
      </c>
      <c r="D208" s="263">
        <f>+D199+D201</f>
        <v>32413898</v>
      </c>
      <c r="E208" s="263">
        <f t="shared" si="29"/>
        <v>8615632</v>
      </c>
      <c r="F208" s="273">
        <f t="shared" si="30"/>
        <v>0.36202772084319085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FILING&amp;RDANBURY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FILING&amp;RDANBURY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144314483</v>
      </c>
      <c r="D13" s="22">
        <v>89299000</v>
      </c>
      <c r="E13" s="22">
        <f t="shared" ref="E13:E22" si="0">D13-C13</f>
        <v>-55015483</v>
      </c>
      <c r="F13" s="306">
        <f t="shared" ref="F13:F22" si="1">IF(C13=0,0,E13/C13)</f>
        <v>-0.38121941648781016</v>
      </c>
    </row>
    <row r="14" spans="1:8" ht="24" customHeight="1" x14ac:dyDescent="0.2">
      <c r="A14" s="304">
        <v>2</v>
      </c>
      <c r="B14" s="305" t="s">
        <v>17</v>
      </c>
      <c r="C14" s="22">
        <v>14004464</v>
      </c>
      <c r="D14" s="22">
        <v>13983000</v>
      </c>
      <c r="E14" s="22">
        <f t="shared" si="0"/>
        <v>-21464</v>
      </c>
      <c r="F14" s="306">
        <f t="shared" si="1"/>
        <v>-1.5326541594165974E-3</v>
      </c>
    </row>
    <row r="15" spans="1:8" ht="35.1" customHeight="1" x14ac:dyDescent="0.2">
      <c r="A15" s="304">
        <v>3</v>
      </c>
      <c r="B15" s="305" t="s">
        <v>18</v>
      </c>
      <c r="C15" s="22">
        <v>128633349</v>
      </c>
      <c r="D15" s="22">
        <v>143408000</v>
      </c>
      <c r="E15" s="22">
        <f t="shared" si="0"/>
        <v>14774651</v>
      </c>
      <c r="F15" s="306">
        <f t="shared" si="1"/>
        <v>0.11485863592030089</v>
      </c>
    </row>
    <row r="16" spans="1:8" ht="35.1" customHeight="1" x14ac:dyDescent="0.2">
      <c r="A16" s="304">
        <v>4</v>
      </c>
      <c r="B16" s="305" t="s">
        <v>19</v>
      </c>
      <c r="C16" s="22">
        <v>9863637</v>
      </c>
      <c r="D16" s="22">
        <v>7368000</v>
      </c>
      <c r="E16" s="22">
        <f t="shared" si="0"/>
        <v>-2495637</v>
      </c>
      <c r="F16" s="306">
        <f t="shared" si="1"/>
        <v>-0.25301387307744599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14459240</v>
      </c>
      <c r="D19" s="22">
        <v>14880000</v>
      </c>
      <c r="E19" s="22">
        <f t="shared" si="0"/>
        <v>420760</v>
      </c>
      <c r="F19" s="306">
        <f t="shared" si="1"/>
        <v>2.9099731382838931E-2</v>
      </c>
    </row>
    <row r="20" spans="1:11" ht="24" customHeight="1" x14ac:dyDescent="0.2">
      <c r="A20" s="304">
        <v>8</v>
      </c>
      <c r="B20" s="305" t="s">
        <v>23</v>
      </c>
      <c r="C20" s="22">
        <v>30762442</v>
      </c>
      <c r="D20" s="22">
        <v>23102000</v>
      </c>
      <c r="E20" s="22">
        <f t="shared" si="0"/>
        <v>-7660442</v>
      </c>
      <c r="F20" s="306">
        <f t="shared" si="1"/>
        <v>-0.24901930737488265</v>
      </c>
    </row>
    <row r="21" spans="1:11" ht="24" customHeight="1" x14ac:dyDescent="0.2">
      <c r="A21" s="304">
        <v>9</v>
      </c>
      <c r="B21" s="305" t="s">
        <v>24</v>
      </c>
      <c r="C21" s="22">
        <v>16375353</v>
      </c>
      <c r="D21" s="22">
        <v>41268000</v>
      </c>
      <c r="E21" s="22">
        <f t="shared" si="0"/>
        <v>24892647</v>
      </c>
      <c r="F21" s="306">
        <f t="shared" si="1"/>
        <v>1.5201288790537828</v>
      </c>
    </row>
    <row r="22" spans="1:11" ht="24" customHeight="1" x14ac:dyDescent="0.25">
      <c r="A22" s="307"/>
      <c r="B22" s="308" t="s">
        <v>25</v>
      </c>
      <c r="C22" s="309">
        <f>SUM(C13:C21)</f>
        <v>358412968</v>
      </c>
      <c r="D22" s="309">
        <f>SUM(D13:D21)</f>
        <v>333308000</v>
      </c>
      <c r="E22" s="309">
        <f t="shared" si="0"/>
        <v>-25104968</v>
      </c>
      <c r="F22" s="310">
        <f t="shared" si="1"/>
        <v>-7.0044809316162915E-2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15765862</v>
      </c>
      <c r="D25" s="22">
        <v>14563000</v>
      </c>
      <c r="E25" s="22">
        <f>D25-C25</f>
        <v>-1202862</v>
      </c>
      <c r="F25" s="306">
        <f>IF(C25=0,0,E25/C25)</f>
        <v>-7.6295352578882147E-2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117033285</v>
      </c>
      <c r="D28" s="22">
        <v>132780000</v>
      </c>
      <c r="E28" s="22">
        <f>D28-C28</f>
        <v>15746715</v>
      </c>
      <c r="F28" s="306">
        <f>IF(C28=0,0,E28/C28)</f>
        <v>0.1345490302181982</v>
      </c>
    </row>
    <row r="29" spans="1:11" ht="35.1" customHeight="1" x14ac:dyDescent="0.25">
      <c r="A29" s="307"/>
      <c r="B29" s="308" t="s">
        <v>32</v>
      </c>
      <c r="C29" s="309">
        <f>SUM(C25:C28)</f>
        <v>132799147</v>
      </c>
      <c r="D29" s="309">
        <f>SUM(D25:D28)</f>
        <v>147343000</v>
      </c>
      <c r="E29" s="309">
        <f>D29-C29</f>
        <v>14543853</v>
      </c>
      <c r="F29" s="310">
        <f>IF(C29=0,0,E29/C29)</f>
        <v>0.10951766881454442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433150793</v>
      </c>
      <c r="D32" s="22">
        <v>416915000</v>
      </c>
      <c r="E32" s="22">
        <f>D32-C32</f>
        <v>-16235793</v>
      </c>
      <c r="F32" s="306">
        <f>IF(C32=0,0,E32/C32)</f>
        <v>-3.7483004215578104E-2</v>
      </c>
    </row>
    <row r="33" spans="1:8" ht="24" customHeight="1" x14ac:dyDescent="0.2">
      <c r="A33" s="304">
        <v>7</v>
      </c>
      <c r="B33" s="305" t="s">
        <v>35</v>
      </c>
      <c r="C33" s="22">
        <v>53835196</v>
      </c>
      <c r="D33" s="22">
        <v>34445000</v>
      </c>
      <c r="E33" s="22">
        <f>D33-C33</f>
        <v>-19390196</v>
      </c>
      <c r="F33" s="306">
        <f>IF(C33=0,0,E33/C33)</f>
        <v>-0.36017693703576376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1318420986</v>
      </c>
      <c r="D36" s="22">
        <v>1397769000</v>
      </c>
      <c r="E36" s="22">
        <f>D36-C36</f>
        <v>79348014</v>
      </c>
      <c r="F36" s="306">
        <f>IF(C36=0,0,E36/C36)</f>
        <v>6.0184125436850408E-2</v>
      </c>
    </row>
    <row r="37" spans="1:8" ht="24" customHeight="1" x14ac:dyDescent="0.2">
      <c r="A37" s="304">
        <v>2</v>
      </c>
      <c r="B37" s="305" t="s">
        <v>39</v>
      </c>
      <c r="C37" s="22">
        <v>775229849</v>
      </c>
      <c r="D37" s="22">
        <v>824711000</v>
      </c>
      <c r="E37" s="22">
        <f>D37-C37</f>
        <v>49481151</v>
      </c>
      <c r="F37" s="22">
        <f>IF(C37=0,0,E37/C37)</f>
        <v>6.3827716468641799E-2</v>
      </c>
    </row>
    <row r="38" spans="1:8" ht="24" customHeight="1" x14ac:dyDescent="0.25">
      <c r="A38" s="307"/>
      <c r="B38" s="308" t="s">
        <v>40</v>
      </c>
      <c r="C38" s="309">
        <f>C36-C37</f>
        <v>543191137</v>
      </c>
      <c r="D38" s="309">
        <f>D36-D37</f>
        <v>573058000</v>
      </c>
      <c r="E38" s="309">
        <f>D38-C38</f>
        <v>29866863</v>
      </c>
      <c r="F38" s="310">
        <f>IF(C38=0,0,E38/C38)</f>
        <v>5.4984076443058756E-2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108748595</v>
      </c>
      <c r="D40" s="22">
        <v>106873000</v>
      </c>
      <c r="E40" s="22">
        <f>D40-C40</f>
        <v>-1875595</v>
      </c>
      <c r="F40" s="306">
        <f>IF(C40=0,0,E40/C40)</f>
        <v>-1.7247073398971271E-2</v>
      </c>
    </row>
    <row r="41" spans="1:8" ht="24" customHeight="1" x14ac:dyDescent="0.25">
      <c r="A41" s="307"/>
      <c r="B41" s="308" t="s">
        <v>42</v>
      </c>
      <c r="C41" s="309">
        <f>+C38+C40</f>
        <v>651939732</v>
      </c>
      <c r="D41" s="309">
        <f>+D38+D40</f>
        <v>679931000</v>
      </c>
      <c r="E41" s="309">
        <f>D41-C41</f>
        <v>27991268</v>
      </c>
      <c r="F41" s="310">
        <f>IF(C41=0,0,E41/C41)</f>
        <v>4.2935361393190867E-2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1630137836</v>
      </c>
      <c r="D43" s="309">
        <f>D22+D29+D31+D32+D33+D41</f>
        <v>1611942000</v>
      </c>
      <c r="E43" s="309">
        <f>D43-C43</f>
        <v>-18195836</v>
      </c>
      <c r="F43" s="310">
        <f>IF(C43=0,0,E43/C43)</f>
        <v>-1.1162145677600235E-2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78566464</v>
      </c>
      <c r="D49" s="22">
        <v>69955000</v>
      </c>
      <c r="E49" s="22">
        <f t="shared" ref="E49:E56" si="2">D49-C49</f>
        <v>-8611464</v>
      </c>
      <c r="F49" s="306">
        <f t="shared" ref="F49:F56" si="3">IF(C49=0,0,E49/C49)</f>
        <v>-0.10960737650099665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69089102</v>
      </c>
      <c r="D50" s="22">
        <v>69290000</v>
      </c>
      <c r="E50" s="22">
        <f t="shared" si="2"/>
        <v>200898</v>
      </c>
      <c r="F50" s="306">
        <f t="shared" si="3"/>
        <v>2.9078102650690117E-3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53635921</v>
      </c>
      <c r="D51" s="22">
        <v>46275000</v>
      </c>
      <c r="E51" s="22">
        <f t="shared" si="2"/>
        <v>-7360921</v>
      </c>
      <c r="F51" s="306">
        <f t="shared" si="3"/>
        <v>-0.1372386427372059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11964141</v>
      </c>
      <c r="D53" s="22">
        <v>9227000</v>
      </c>
      <c r="E53" s="22">
        <f t="shared" si="2"/>
        <v>-2737141</v>
      </c>
      <c r="F53" s="306">
        <f t="shared" si="3"/>
        <v>-0.22877873137737176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213255628</v>
      </c>
      <c r="D56" s="309">
        <f>SUM(D49:D55)</f>
        <v>194747000</v>
      </c>
      <c r="E56" s="309">
        <f t="shared" si="2"/>
        <v>-18508628</v>
      </c>
      <c r="F56" s="310">
        <f t="shared" si="3"/>
        <v>-8.6790806758919398E-2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363726412</v>
      </c>
      <c r="D60" s="22">
        <v>354959000</v>
      </c>
      <c r="E60" s="22">
        <f>D60-C60</f>
        <v>-8767412</v>
      </c>
      <c r="F60" s="306">
        <f>IF(C60=0,0,E60/C60)</f>
        <v>-2.4104413951659909E-2</v>
      </c>
    </row>
    <row r="61" spans="1:6" ht="24" customHeight="1" x14ac:dyDescent="0.25">
      <c r="A61" s="307"/>
      <c r="B61" s="308" t="s">
        <v>58</v>
      </c>
      <c r="C61" s="309">
        <f>SUM(C59:C60)</f>
        <v>363726412</v>
      </c>
      <c r="D61" s="309">
        <f>SUM(D59:D60)</f>
        <v>354959000</v>
      </c>
      <c r="E61" s="309">
        <f>D61-C61</f>
        <v>-8767412</v>
      </c>
      <c r="F61" s="310">
        <f>IF(C61=0,0,E61/C61)</f>
        <v>-2.4104413951659909E-2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169569725</v>
      </c>
      <c r="D63" s="22">
        <v>227988000</v>
      </c>
      <c r="E63" s="22">
        <f>D63-C63</f>
        <v>58418275</v>
      </c>
      <c r="F63" s="306">
        <f>IF(C63=0,0,E63/C63)</f>
        <v>0.34450887385705203</v>
      </c>
    </row>
    <row r="64" spans="1:6" ht="24" customHeight="1" x14ac:dyDescent="0.2">
      <c r="A64" s="304">
        <v>4</v>
      </c>
      <c r="B64" s="305" t="s">
        <v>60</v>
      </c>
      <c r="C64" s="22">
        <v>86031950</v>
      </c>
      <c r="D64" s="22">
        <v>78958000</v>
      </c>
      <c r="E64" s="22">
        <f>D64-C64</f>
        <v>-7073950</v>
      </c>
      <c r="F64" s="306">
        <f>IF(C64=0,0,E64/C64)</f>
        <v>-8.2224685131512182E-2</v>
      </c>
    </row>
    <row r="65" spans="1:6" ht="24" customHeight="1" x14ac:dyDescent="0.25">
      <c r="A65" s="307"/>
      <c r="B65" s="308" t="s">
        <v>61</v>
      </c>
      <c r="C65" s="309">
        <f>SUM(C61:C64)</f>
        <v>619328087</v>
      </c>
      <c r="D65" s="309">
        <f>SUM(D61:D64)</f>
        <v>661905000</v>
      </c>
      <c r="E65" s="309">
        <f>D65-C65</f>
        <v>42576913</v>
      </c>
      <c r="F65" s="310">
        <f>IF(C65=0,0,E65/C65)</f>
        <v>6.8746943492004095E-2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661351254</v>
      </c>
      <c r="D70" s="22">
        <v>603321000</v>
      </c>
      <c r="E70" s="22">
        <f>D70-C70</f>
        <v>-58030254</v>
      </c>
      <c r="F70" s="306">
        <f>IF(C70=0,0,E70/C70)</f>
        <v>-8.7744982184610784E-2</v>
      </c>
    </row>
    <row r="71" spans="1:6" ht="24" customHeight="1" x14ac:dyDescent="0.2">
      <c r="A71" s="304">
        <v>2</v>
      </c>
      <c r="B71" s="305" t="s">
        <v>65</v>
      </c>
      <c r="C71" s="22">
        <v>92944545</v>
      </c>
      <c r="D71" s="22">
        <v>107926000</v>
      </c>
      <c r="E71" s="22">
        <f>D71-C71</f>
        <v>14981455</v>
      </c>
      <c r="F71" s="306">
        <f>IF(C71=0,0,E71/C71)</f>
        <v>0.16118702824356179</v>
      </c>
    </row>
    <row r="72" spans="1:6" ht="24" customHeight="1" x14ac:dyDescent="0.2">
      <c r="A72" s="304">
        <v>3</v>
      </c>
      <c r="B72" s="305" t="s">
        <v>66</v>
      </c>
      <c r="C72" s="22">
        <v>43258322</v>
      </c>
      <c r="D72" s="22">
        <v>44043000</v>
      </c>
      <c r="E72" s="22">
        <f>D72-C72</f>
        <v>784678</v>
      </c>
      <c r="F72" s="306">
        <f>IF(C72=0,0,E72/C72)</f>
        <v>1.8139353625413395E-2</v>
      </c>
    </row>
    <row r="73" spans="1:6" ht="24" customHeight="1" x14ac:dyDescent="0.25">
      <c r="A73" s="304"/>
      <c r="B73" s="308" t="s">
        <v>67</v>
      </c>
      <c r="C73" s="309">
        <f>SUM(C70:C72)</f>
        <v>797554121</v>
      </c>
      <c r="D73" s="309">
        <f>SUM(D70:D72)</f>
        <v>755290000</v>
      </c>
      <c r="E73" s="309">
        <f>D73-C73</f>
        <v>-42264121</v>
      </c>
      <c r="F73" s="310">
        <f>IF(C73=0,0,E73/C73)</f>
        <v>-5.2992166784879544E-2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1630137836</v>
      </c>
      <c r="D75" s="309">
        <f>D56+D65+D67+D73</f>
        <v>1611942000</v>
      </c>
      <c r="E75" s="309">
        <f>D75-C75</f>
        <v>-18195836</v>
      </c>
      <c r="F75" s="310">
        <f>IF(C75=0,0,E75/C75)</f>
        <v>-1.1162145677600235E-2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FILING&amp;RWESTERN CONNECTICUT HEALTH NETWORK 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7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2462700883</v>
      </c>
      <c r="D11" s="76">
        <v>2865780000</v>
      </c>
      <c r="E11" s="76">
        <f t="shared" ref="E11:E20" si="0">D11-C11</f>
        <v>403079117</v>
      </c>
      <c r="F11" s="77">
        <f t="shared" ref="F11:F20" si="1">IF(C11=0,0,E11/C11)</f>
        <v>0.16367359908889106</v>
      </c>
    </row>
    <row r="12" spans="1:7" ht="23.1" customHeight="1" x14ac:dyDescent="0.2">
      <c r="A12" s="74">
        <v>2</v>
      </c>
      <c r="B12" s="75" t="s">
        <v>72</v>
      </c>
      <c r="C12" s="76">
        <v>1433142811</v>
      </c>
      <c r="D12" s="76">
        <v>1669573000</v>
      </c>
      <c r="E12" s="76">
        <f t="shared" si="0"/>
        <v>236430189</v>
      </c>
      <c r="F12" s="77">
        <f t="shared" si="1"/>
        <v>0.16497322331403022</v>
      </c>
    </row>
    <row r="13" spans="1:7" ht="23.1" customHeight="1" x14ac:dyDescent="0.2">
      <c r="A13" s="74">
        <v>3</v>
      </c>
      <c r="B13" s="75" t="s">
        <v>73</v>
      </c>
      <c r="C13" s="76">
        <v>27520752</v>
      </c>
      <c r="D13" s="76">
        <v>33743000</v>
      </c>
      <c r="E13" s="76">
        <f t="shared" si="0"/>
        <v>6222248</v>
      </c>
      <c r="F13" s="77">
        <f t="shared" si="1"/>
        <v>0.22609294978567446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1002037320</v>
      </c>
      <c r="D15" s="79">
        <f>D11-D12-D13-D14</f>
        <v>1162464000</v>
      </c>
      <c r="E15" s="79">
        <f t="shared" si="0"/>
        <v>160426680</v>
      </c>
      <c r="F15" s="80">
        <f t="shared" si="1"/>
        <v>0.16010050404110698</v>
      </c>
    </row>
    <row r="16" spans="1:7" ht="23.1" customHeight="1" x14ac:dyDescent="0.2">
      <c r="A16" s="74">
        <v>5</v>
      </c>
      <c r="B16" s="75" t="s">
        <v>76</v>
      </c>
      <c r="C16" s="76">
        <v>40667790</v>
      </c>
      <c r="D16" s="76">
        <v>38642000</v>
      </c>
      <c r="E16" s="76">
        <f t="shared" si="0"/>
        <v>-2025790</v>
      </c>
      <c r="F16" s="77">
        <f t="shared" si="1"/>
        <v>-4.9813132211020072E-2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961369530</v>
      </c>
      <c r="D17" s="79">
        <f>D15-D16</f>
        <v>1123822000</v>
      </c>
      <c r="E17" s="79">
        <f t="shared" si="0"/>
        <v>162452470</v>
      </c>
      <c r="F17" s="80">
        <f t="shared" si="1"/>
        <v>0.16898025673853009</v>
      </c>
    </row>
    <row r="18" spans="1:7" ht="23.1" customHeight="1" x14ac:dyDescent="0.2">
      <c r="A18" s="74">
        <v>6</v>
      </c>
      <c r="B18" s="75" t="s">
        <v>78</v>
      </c>
      <c r="C18" s="76">
        <v>25099816</v>
      </c>
      <c r="D18" s="76">
        <v>25524000</v>
      </c>
      <c r="E18" s="76">
        <f t="shared" si="0"/>
        <v>424184</v>
      </c>
      <c r="F18" s="77">
        <f t="shared" si="1"/>
        <v>1.689988484377734E-2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7155684</v>
      </c>
      <c r="D19" s="76">
        <v>8093000</v>
      </c>
      <c r="E19" s="76">
        <f t="shared" si="0"/>
        <v>937316</v>
      </c>
      <c r="F19" s="77">
        <f t="shared" si="1"/>
        <v>0.13098901516612527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993625030</v>
      </c>
      <c r="D20" s="79">
        <f>SUM(D17:D19)</f>
        <v>1157439000</v>
      </c>
      <c r="E20" s="79">
        <f t="shared" si="0"/>
        <v>163813970</v>
      </c>
      <c r="F20" s="80">
        <f t="shared" si="1"/>
        <v>0.16486497929706945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469826938</v>
      </c>
      <c r="D23" s="76">
        <v>532907000</v>
      </c>
      <c r="E23" s="76">
        <f t="shared" ref="E23:E32" si="2">D23-C23</f>
        <v>63080062</v>
      </c>
      <c r="F23" s="77">
        <f t="shared" ref="F23:F32" si="3">IF(C23=0,0,E23/C23)</f>
        <v>0.13426233554960615</v>
      </c>
    </row>
    <row r="24" spans="1:7" ht="23.1" customHeight="1" x14ac:dyDescent="0.2">
      <c r="A24" s="74">
        <v>2</v>
      </c>
      <c r="B24" s="75" t="s">
        <v>83</v>
      </c>
      <c r="C24" s="76">
        <v>104721012</v>
      </c>
      <c r="D24" s="76">
        <v>127826000</v>
      </c>
      <c r="E24" s="76">
        <f t="shared" si="2"/>
        <v>23104988</v>
      </c>
      <c r="F24" s="77">
        <f t="shared" si="3"/>
        <v>0.22063373489935334</v>
      </c>
    </row>
    <row r="25" spans="1:7" ht="23.1" customHeight="1" x14ac:dyDescent="0.2">
      <c r="A25" s="74">
        <v>3</v>
      </c>
      <c r="B25" s="75" t="s">
        <v>84</v>
      </c>
      <c r="C25" s="76">
        <v>16270068</v>
      </c>
      <c r="D25" s="76">
        <v>24022000</v>
      </c>
      <c r="E25" s="76">
        <f t="shared" si="2"/>
        <v>7751932</v>
      </c>
      <c r="F25" s="77">
        <f t="shared" si="3"/>
        <v>0.4764535710606741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122783655</v>
      </c>
      <c r="D26" s="76">
        <v>152939000</v>
      </c>
      <c r="E26" s="76">
        <f t="shared" si="2"/>
        <v>30155345</v>
      </c>
      <c r="F26" s="77">
        <f t="shared" si="3"/>
        <v>0.24559738834945091</v>
      </c>
    </row>
    <row r="27" spans="1:7" ht="23.1" customHeight="1" x14ac:dyDescent="0.2">
      <c r="A27" s="74">
        <v>5</v>
      </c>
      <c r="B27" s="75" t="s">
        <v>86</v>
      </c>
      <c r="C27" s="76">
        <v>53445138</v>
      </c>
      <c r="D27" s="76">
        <v>68744000</v>
      </c>
      <c r="E27" s="76">
        <f t="shared" si="2"/>
        <v>15298862</v>
      </c>
      <c r="F27" s="77">
        <f t="shared" si="3"/>
        <v>0.28625357838911369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6326466</v>
      </c>
      <c r="D29" s="76">
        <v>9510000</v>
      </c>
      <c r="E29" s="76">
        <f t="shared" si="2"/>
        <v>3183534</v>
      </c>
      <c r="F29" s="77">
        <f t="shared" si="3"/>
        <v>0.50320890051412592</v>
      </c>
    </row>
    <row r="30" spans="1:7" ht="23.1" customHeight="1" x14ac:dyDescent="0.2">
      <c r="A30" s="74">
        <v>8</v>
      </c>
      <c r="B30" s="75" t="s">
        <v>89</v>
      </c>
      <c r="C30" s="76">
        <v>20861003</v>
      </c>
      <c r="D30" s="76">
        <v>9517000</v>
      </c>
      <c r="E30" s="76">
        <f t="shared" si="2"/>
        <v>-11344003</v>
      </c>
      <c r="F30" s="77">
        <f t="shared" si="3"/>
        <v>-0.54378991269019994</v>
      </c>
    </row>
    <row r="31" spans="1:7" ht="23.1" customHeight="1" x14ac:dyDescent="0.2">
      <c r="A31" s="74">
        <v>9</v>
      </c>
      <c r="B31" s="75" t="s">
        <v>90</v>
      </c>
      <c r="C31" s="76">
        <v>166941322</v>
      </c>
      <c r="D31" s="76">
        <v>219182000</v>
      </c>
      <c r="E31" s="76">
        <f t="shared" si="2"/>
        <v>52240678</v>
      </c>
      <c r="F31" s="77">
        <f t="shared" si="3"/>
        <v>0.31292838330344597</v>
      </c>
    </row>
    <row r="32" spans="1:7" ht="23.1" customHeight="1" x14ac:dyDescent="0.25">
      <c r="A32" s="71"/>
      <c r="B32" s="78" t="s">
        <v>91</v>
      </c>
      <c r="C32" s="79">
        <f>SUM(C23:C31)</f>
        <v>961175602</v>
      </c>
      <c r="D32" s="79">
        <f>SUM(D23:D31)</f>
        <v>1144647000</v>
      </c>
      <c r="E32" s="79">
        <f t="shared" si="2"/>
        <v>183471398</v>
      </c>
      <c r="F32" s="80">
        <f t="shared" si="3"/>
        <v>0.1908822879172499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32449428</v>
      </c>
      <c r="D34" s="79">
        <f>+D20-D32</f>
        <v>12792000</v>
      </c>
      <c r="E34" s="79">
        <f>D34-C34</f>
        <v>-19657428</v>
      </c>
      <c r="F34" s="80">
        <f>IF(C34=0,0,E34/C34)</f>
        <v>-0.60578657965866145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5772965</v>
      </c>
      <c r="D37" s="76">
        <v>9298000</v>
      </c>
      <c r="E37" s="76">
        <f>D37-C37</f>
        <v>3525035</v>
      </c>
      <c r="F37" s="77">
        <f>IF(C37=0,0,E37/C37)</f>
        <v>0.61061083862451959</v>
      </c>
    </row>
    <row r="38" spans="1:6" ht="23.1" customHeight="1" x14ac:dyDescent="0.2">
      <c r="A38" s="85">
        <v>2</v>
      </c>
      <c r="B38" s="75" t="s">
        <v>95</v>
      </c>
      <c r="C38" s="76">
        <v>5517373</v>
      </c>
      <c r="D38" s="76">
        <v>33105000</v>
      </c>
      <c r="E38" s="76">
        <f>D38-C38</f>
        <v>27587627</v>
      </c>
      <c r="F38" s="77">
        <f>IF(C38=0,0,E38/C38)</f>
        <v>5.0001381092052322</v>
      </c>
    </row>
    <row r="39" spans="1:6" ht="23.1" customHeight="1" x14ac:dyDescent="0.2">
      <c r="A39" s="85">
        <v>3</v>
      </c>
      <c r="B39" s="75" t="s">
        <v>96</v>
      </c>
      <c r="C39" s="76">
        <v>306593216</v>
      </c>
      <c r="D39" s="76">
        <v>-21845000</v>
      </c>
      <c r="E39" s="76">
        <f>D39-C39</f>
        <v>-328438216</v>
      </c>
      <c r="F39" s="77">
        <f>IF(C39=0,0,E39/C39)</f>
        <v>-1.0712507611388244</v>
      </c>
    </row>
    <row r="40" spans="1:6" ht="23.1" customHeight="1" x14ac:dyDescent="0.25">
      <c r="A40" s="83"/>
      <c r="B40" s="78" t="s">
        <v>97</v>
      </c>
      <c r="C40" s="79">
        <f>SUM(C37:C39)</f>
        <v>317883554</v>
      </c>
      <c r="D40" s="79">
        <f>SUM(D37:D39)</f>
        <v>20558000</v>
      </c>
      <c r="E40" s="79">
        <f>D40-C40</f>
        <v>-297325554</v>
      </c>
      <c r="F40" s="80">
        <f>IF(C40=0,0,E40/C40)</f>
        <v>-0.9353285197006449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350332982</v>
      </c>
      <c r="D42" s="79">
        <f>D34+D40</f>
        <v>33350000</v>
      </c>
      <c r="E42" s="79">
        <f>D42-C42</f>
        <v>-316982982</v>
      </c>
      <c r="F42" s="80">
        <f>IF(C42=0,0,E42/C42)</f>
        <v>-0.90480485220201168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-1116608</v>
      </c>
      <c r="D46" s="76">
        <v>-1968000</v>
      </c>
      <c r="E46" s="76">
        <f>D46-C46</f>
        <v>-851392</v>
      </c>
      <c r="F46" s="77">
        <f>IF(C46=0,0,E46/C46)</f>
        <v>0.76248065570012036</v>
      </c>
    </row>
    <row r="47" spans="1:6" ht="23.1" customHeight="1" x14ac:dyDescent="0.25">
      <c r="A47" s="83"/>
      <c r="B47" s="78" t="s">
        <v>102</v>
      </c>
      <c r="C47" s="79">
        <f>SUM(C45:C46)</f>
        <v>-1116608</v>
      </c>
      <c r="D47" s="79">
        <f>SUM(D45:D46)</f>
        <v>-1968000</v>
      </c>
      <c r="E47" s="79">
        <f>D47-C47</f>
        <v>-851392</v>
      </c>
      <c r="F47" s="80">
        <f>IF(C47=0,0,E47/C47)</f>
        <v>0.76248065570012036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349216374</v>
      </c>
      <c r="D49" s="79">
        <f>D42+D47</f>
        <v>31382000</v>
      </c>
      <c r="E49" s="79">
        <f>D49-C49</f>
        <v>-317834374</v>
      </c>
      <c r="F49" s="80">
        <f>IF(C49=0,0,E49/C49)</f>
        <v>-0.91013594339651438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FILING&amp;R&amp;8WESTERN CONNECTICUT HEALTH NETWORK 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2016-07-29T19:44:13Z</dcterms:created>
  <dcterms:modified xsi:type="dcterms:W3CDTF">2016-07-29T20:31:40Z</dcterms:modified>
</cp:coreProperties>
</file>