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2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/>
  <c r="D12" i="22"/>
  <c r="D34" i="22"/>
  <c r="C12" i="22"/>
  <c r="C33" i="22"/>
  <c r="D21" i="21"/>
  <c r="E21" i="21"/>
  <c r="C21" i="21"/>
  <c r="D19" i="21"/>
  <c r="E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E43" i="20"/>
  <c r="C43" i="20"/>
  <c r="C46" i="20"/>
  <c r="D36" i="20"/>
  <c r="D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E19" i="20"/>
  <c r="F19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15" i="19"/>
  <c r="C105" i="19"/>
  <c r="C137" i="19"/>
  <c r="C139" i="19"/>
  <c r="C143" i="19"/>
  <c r="C96" i="19"/>
  <c r="C95" i="19"/>
  <c r="C89" i="19"/>
  <c r="C88" i="19"/>
  <c r="C83" i="19"/>
  <c r="C78" i="19"/>
  <c r="C77" i="19"/>
  <c r="C63" i="19"/>
  <c r="C59" i="19"/>
  <c r="C60" i="19"/>
  <c r="C48" i="19"/>
  <c r="C64" i="19"/>
  <c r="C37" i="19"/>
  <c r="C36" i="19"/>
  <c r="C38" i="19"/>
  <c r="C127" i="19"/>
  <c r="C129" i="19"/>
  <c r="C133" i="19"/>
  <c r="C33" i="19"/>
  <c r="C32" i="19"/>
  <c r="C22" i="19"/>
  <c r="C21" i="19"/>
  <c r="E328" i="18"/>
  <c r="E325" i="18"/>
  <c r="D324" i="18"/>
  <c r="E324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E301" i="18"/>
  <c r="C301" i="18"/>
  <c r="D293" i="18"/>
  <c r="E293" i="18"/>
  <c r="C293" i="18"/>
  <c r="D292" i="18"/>
  <c r="E292" i="18"/>
  <c r="C292" i="18"/>
  <c r="D291" i="18"/>
  <c r="E291" i="18"/>
  <c r="C291" i="18"/>
  <c r="D290" i="18"/>
  <c r="E290" i="18"/>
  <c r="C290" i="18"/>
  <c r="D288" i="18"/>
  <c r="E288" i="18"/>
  <c r="C288" i="18"/>
  <c r="D287" i="18"/>
  <c r="E287" i="18"/>
  <c r="C287" i="18"/>
  <c r="D282" i="18"/>
  <c r="E282" i="18"/>
  <c r="C282" i="18"/>
  <c r="D281" i="18"/>
  <c r="E281" i="18"/>
  <c r="C281" i="18"/>
  <c r="D280" i="18"/>
  <c r="E280" i="18"/>
  <c r="C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D233" i="18"/>
  <c r="C233" i="18"/>
  <c r="D232" i="18"/>
  <c r="E232" i="18"/>
  <c r="C232" i="18"/>
  <c r="D231" i="18"/>
  <c r="C231" i="18"/>
  <c r="E231" i="18"/>
  <c r="D230" i="18"/>
  <c r="E230" i="18"/>
  <c r="C230" i="18"/>
  <c r="D228" i="18"/>
  <c r="E228" i="18"/>
  <c r="C228" i="18"/>
  <c r="D227" i="18"/>
  <c r="C227" i="18"/>
  <c r="E227" i="18"/>
  <c r="D221" i="18"/>
  <c r="D245" i="18"/>
  <c r="C221" i="18"/>
  <c r="C245" i="18"/>
  <c r="D220" i="18"/>
  <c r="D244" i="18"/>
  <c r="C220" i="18"/>
  <c r="C244" i="18"/>
  <c r="D219" i="18"/>
  <c r="D243" i="18"/>
  <c r="C219" i="18"/>
  <c r="C243" i="18"/>
  <c r="D218" i="18"/>
  <c r="D242" i="18"/>
  <c r="C218" i="18"/>
  <c r="C242" i="18"/>
  <c r="D217" i="18"/>
  <c r="D216" i="18"/>
  <c r="D240" i="18"/>
  <c r="E240" i="18"/>
  <c r="C216" i="18"/>
  <c r="C240" i="18"/>
  <c r="D215" i="18"/>
  <c r="D239" i="18"/>
  <c r="E239" i="18"/>
  <c r="C215" i="18"/>
  <c r="C239" i="18"/>
  <c r="D210" i="18"/>
  <c r="E209" i="18"/>
  <c r="E208" i="18"/>
  <c r="E207" i="18"/>
  <c r="E206" i="18"/>
  <c r="D205" i="18"/>
  <c r="D229" i="18"/>
  <c r="C205" i="18"/>
  <c r="C229" i="18"/>
  <c r="E204" i="18"/>
  <c r="E203" i="18"/>
  <c r="E197" i="18"/>
  <c r="E196" i="18"/>
  <c r="D195" i="18"/>
  <c r="D260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E179" i="18"/>
  <c r="C179" i="18"/>
  <c r="D178" i="18"/>
  <c r="C178" i="18"/>
  <c r="E178" i="18"/>
  <c r="D177" i="18"/>
  <c r="E177" i="18"/>
  <c r="C177" i="18"/>
  <c r="D176" i="18"/>
  <c r="C176" i="18"/>
  <c r="E176" i="18"/>
  <c r="D174" i="18"/>
  <c r="C174" i="18"/>
  <c r="E174" i="18"/>
  <c r="D173" i="18"/>
  <c r="E173" i="18"/>
  <c r="C173" i="18"/>
  <c r="D167" i="18"/>
  <c r="C167" i="18"/>
  <c r="E167" i="18"/>
  <c r="D166" i="18"/>
  <c r="E166" i="18"/>
  <c r="C166" i="18"/>
  <c r="D165" i="18"/>
  <c r="C165" i="18"/>
  <c r="E165" i="18"/>
  <c r="D164" i="18"/>
  <c r="E164" i="18"/>
  <c r="C164" i="18"/>
  <c r="D162" i="18"/>
  <c r="E162" i="18"/>
  <c r="C162" i="18"/>
  <c r="D161" i="18"/>
  <c r="C161" i="18"/>
  <c r="E161" i="18"/>
  <c r="C156" i="18"/>
  <c r="C157" i="18"/>
  <c r="E155" i="18"/>
  <c r="E154" i="18"/>
  <c r="E153" i="18"/>
  <c r="E152" i="18"/>
  <c r="D151" i="18"/>
  <c r="D156" i="18"/>
  <c r="C151" i="18"/>
  <c r="E150" i="18"/>
  <c r="E149" i="18"/>
  <c r="D144" i="18"/>
  <c r="D168" i="18"/>
  <c r="E143" i="18"/>
  <c r="E142" i="18"/>
  <c r="E141" i="18"/>
  <c r="E140" i="18"/>
  <c r="D139" i="18"/>
  <c r="D175" i="18"/>
  <c r="C139" i="18"/>
  <c r="C163" i="18"/>
  <c r="E138" i="18"/>
  <c r="E137" i="18"/>
  <c r="D75" i="18"/>
  <c r="E75" i="18"/>
  <c r="C75" i="18"/>
  <c r="D74" i="18"/>
  <c r="C74" i="18"/>
  <c r="E74" i="18"/>
  <c r="D73" i="18"/>
  <c r="E73" i="18"/>
  <c r="C73" i="18"/>
  <c r="D72" i="18"/>
  <c r="C72" i="18"/>
  <c r="E72" i="18"/>
  <c r="D71" i="18"/>
  <c r="D70" i="18"/>
  <c r="D76" i="18"/>
  <c r="C70" i="18"/>
  <c r="D69" i="18"/>
  <c r="C69" i="18"/>
  <c r="D65" i="18"/>
  <c r="E64" i="18"/>
  <c r="E63" i="18"/>
  <c r="E62" i="18"/>
  <c r="E61" i="18"/>
  <c r="D60" i="18"/>
  <c r="D289" i="18"/>
  <c r="C60" i="18"/>
  <c r="E59" i="18"/>
  <c r="E58" i="18"/>
  <c r="C55" i="18"/>
  <c r="D54" i="18"/>
  <c r="D55" i="18"/>
  <c r="E55" i="18"/>
  <c r="C54" i="18"/>
  <c r="E53" i="18"/>
  <c r="E52" i="18"/>
  <c r="E51" i="18"/>
  <c r="E50" i="18"/>
  <c r="E49" i="18"/>
  <c r="E48" i="18"/>
  <c r="E47" i="18"/>
  <c r="D42" i="18"/>
  <c r="E42" i="18"/>
  <c r="C42" i="18"/>
  <c r="D41" i="18"/>
  <c r="C41" i="18"/>
  <c r="E41" i="18"/>
  <c r="D40" i="18"/>
  <c r="E40" i="18"/>
  <c r="C40" i="18"/>
  <c r="D39" i="18"/>
  <c r="C39" i="18"/>
  <c r="E39" i="18"/>
  <c r="D38" i="18"/>
  <c r="E38" i="18"/>
  <c r="C38" i="18"/>
  <c r="D37" i="18"/>
  <c r="D43" i="18"/>
  <c r="C37" i="18"/>
  <c r="C43" i="18"/>
  <c r="D36" i="18"/>
  <c r="D44" i="18"/>
  <c r="C36" i="18"/>
  <c r="C44" i="18"/>
  <c r="C33" i="18"/>
  <c r="D32" i="18"/>
  <c r="D294" i="18"/>
  <c r="C32" i="18"/>
  <c r="E31" i="18"/>
  <c r="E30" i="18"/>
  <c r="E29" i="18"/>
  <c r="E28" i="18"/>
  <c r="E27" i="18"/>
  <c r="E26" i="18"/>
  <c r="E25" i="18"/>
  <c r="D22" i="18"/>
  <c r="D21" i="18"/>
  <c r="C21" i="18"/>
  <c r="C283" i="18"/>
  <c r="E20" i="18"/>
  <c r="E19" i="18"/>
  <c r="E18" i="18"/>
  <c r="E17" i="18"/>
  <c r="E16" i="18"/>
  <c r="E15" i="18"/>
  <c r="E14" i="18"/>
  <c r="E335" i="17"/>
  <c r="F335" i="17"/>
  <c r="F334" i="17"/>
  <c r="E334" i="17"/>
  <c r="E333" i="17"/>
  <c r="F333" i="17"/>
  <c r="F332" i="17"/>
  <c r="E332" i="17"/>
  <c r="E331" i="17"/>
  <c r="F331" i="17"/>
  <c r="F330" i="17"/>
  <c r="E330" i="17"/>
  <c r="F329" i="17"/>
  <c r="E329" i="17"/>
  <c r="F316" i="17"/>
  <c r="E316" i="17"/>
  <c r="D311" i="17"/>
  <c r="C311" i="17"/>
  <c r="F311" i="17"/>
  <c r="F308" i="17"/>
  <c r="E308" i="17"/>
  <c r="D307" i="17"/>
  <c r="C307" i="17"/>
  <c r="D299" i="17"/>
  <c r="E299" i="17"/>
  <c r="F299" i="17"/>
  <c r="C299" i="17"/>
  <c r="D298" i="17"/>
  <c r="E298" i="17"/>
  <c r="F298" i="17"/>
  <c r="C298" i="17"/>
  <c r="D297" i="17"/>
  <c r="E297" i="17"/>
  <c r="F297" i="17"/>
  <c r="C297" i="17"/>
  <c r="D296" i="17"/>
  <c r="E296" i="17"/>
  <c r="F296" i="17"/>
  <c r="C296" i="17"/>
  <c r="D295" i="17"/>
  <c r="E295" i="17"/>
  <c r="F295" i="17"/>
  <c r="C295" i="17"/>
  <c r="D294" i="17"/>
  <c r="E294" i="17"/>
  <c r="F294" i="17"/>
  <c r="C294" i="17"/>
  <c r="C262" i="17"/>
  <c r="C255" i="17"/>
  <c r="D250" i="17"/>
  <c r="D306" i="17"/>
  <c r="C250" i="17"/>
  <c r="E249" i="17"/>
  <c r="F249" i="17"/>
  <c r="E248" i="17"/>
  <c r="F248" i="17"/>
  <c r="F245" i="17"/>
  <c r="E245" i="17"/>
  <c r="E244" i="17"/>
  <c r="F244" i="17"/>
  <c r="E243" i="17"/>
  <c r="F243" i="17"/>
  <c r="D238" i="17"/>
  <c r="C238" i="17"/>
  <c r="D237" i="17"/>
  <c r="D239" i="17"/>
  <c r="C237" i="17"/>
  <c r="E234" i="17"/>
  <c r="F234" i="17"/>
  <c r="E233" i="17"/>
  <c r="F233" i="17"/>
  <c r="D230" i="17"/>
  <c r="C230" i="17"/>
  <c r="D229" i="17"/>
  <c r="C229" i="17"/>
  <c r="E228" i="17"/>
  <c r="F228" i="17"/>
  <c r="C227" i="17"/>
  <c r="D226" i="17"/>
  <c r="D227" i="17"/>
  <c r="E227" i="17"/>
  <c r="C226" i="17"/>
  <c r="E225" i="17"/>
  <c r="F225" i="17"/>
  <c r="E224" i="17"/>
  <c r="F224" i="17"/>
  <c r="D223" i="17"/>
  <c r="C223" i="17"/>
  <c r="E222" i="17"/>
  <c r="F222" i="17"/>
  <c r="E221" i="17"/>
  <c r="F221" i="17"/>
  <c r="C215" i="17"/>
  <c r="D204" i="17"/>
  <c r="D285" i="17"/>
  <c r="C204" i="17"/>
  <c r="D203" i="17"/>
  <c r="D267" i="17"/>
  <c r="C203" i="17"/>
  <c r="C199" i="17"/>
  <c r="D198" i="17"/>
  <c r="C198" i="17"/>
  <c r="D191" i="17"/>
  <c r="D264" i="17"/>
  <c r="C191" i="17"/>
  <c r="D189" i="17"/>
  <c r="D262" i="17"/>
  <c r="E262" i="17"/>
  <c r="C189" i="17"/>
  <c r="D188" i="17"/>
  <c r="D261" i="17"/>
  <c r="C188" i="17"/>
  <c r="D180" i="17"/>
  <c r="C180" i="17"/>
  <c r="D179" i="17"/>
  <c r="D181" i="17"/>
  <c r="C179" i="17"/>
  <c r="C172" i="17"/>
  <c r="D171" i="17"/>
  <c r="D172" i="17"/>
  <c r="D173" i="17"/>
  <c r="C171" i="17"/>
  <c r="D170" i="17"/>
  <c r="C170" i="17"/>
  <c r="E169" i="17"/>
  <c r="F169" i="17"/>
  <c r="E168" i="17"/>
  <c r="F168" i="17"/>
  <c r="D165" i="17"/>
  <c r="C165" i="17"/>
  <c r="D164" i="17"/>
  <c r="C164" i="17"/>
  <c r="E163" i="17"/>
  <c r="F163" i="17"/>
  <c r="D158" i="17"/>
  <c r="D159" i="17"/>
  <c r="C158" i="17"/>
  <c r="E157" i="17"/>
  <c r="F157" i="17"/>
  <c r="E156" i="17"/>
  <c r="F156" i="17"/>
  <c r="D155" i="17"/>
  <c r="C155" i="17"/>
  <c r="E154" i="17"/>
  <c r="F154" i="17"/>
  <c r="E153" i="17"/>
  <c r="F153" i="17"/>
  <c r="D145" i="17"/>
  <c r="E145" i="17"/>
  <c r="F145" i="17"/>
  <c r="C145" i="17"/>
  <c r="D144" i="17"/>
  <c r="E144" i="17"/>
  <c r="F144" i="17"/>
  <c r="C144" i="17"/>
  <c r="C146" i="17"/>
  <c r="D136" i="17"/>
  <c r="E136" i="17"/>
  <c r="F136" i="17"/>
  <c r="C136" i="17"/>
  <c r="C137" i="17"/>
  <c r="D135" i="17"/>
  <c r="E135" i="17"/>
  <c r="F135" i="17"/>
  <c r="C135" i="17"/>
  <c r="E134" i="17"/>
  <c r="F134" i="17"/>
  <c r="E133" i="17"/>
  <c r="F133" i="17"/>
  <c r="D130" i="17"/>
  <c r="E130" i="17"/>
  <c r="F130" i="17"/>
  <c r="C130" i="17"/>
  <c r="D129" i="17"/>
  <c r="E129" i="17"/>
  <c r="F129" i="17"/>
  <c r="C129" i="17"/>
  <c r="E128" i="17"/>
  <c r="F128" i="17"/>
  <c r="D123" i="17"/>
  <c r="C123" i="17"/>
  <c r="C193" i="17"/>
  <c r="E122" i="17"/>
  <c r="F122" i="17"/>
  <c r="E121" i="17"/>
  <c r="F121" i="17"/>
  <c r="D120" i="17"/>
  <c r="E120" i="17"/>
  <c r="F120" i="17"/>
  <c r="C120" i="17"/>
  <c r="E119" i="17"/>
  <c r="F119" i="17"/>
  <c r="E118" i="17"/>
  <c r="F118" i="17"/>
  <c r="D110" i="17"/>
  <c r="E110" i="17"/>
  <c r="F110" i="17"/>
  <c r="C110" i="17"/>
  <c r="D109" i="17"/>
  <c r="E109" i="17"/>
  <c r="F109" i="17"/>
  <c r="C109" i="17"/>
  <c r="C111" i="17"/>
  <c r="D101" i="17"/>
  <c r="E101" i="17"/>
  <c r="F101" i="17"/>
  <c r="C101" i="17"/>
  <c r="C102" i="17"/>
  <c r="D100" i="17"/>
  <c r="E100" i="17"/>
  <c r="F100" i="17"/>
  <c r="C100" i="17"/>
  <c r="E99" i="17"/>
  <c r="F99" i="17"/>
  <c r="E98" i="17"/>
  <c r="F98" i="17"/>
  <c r="D95" i="17"/>
  <c r="E95" i="17"/>
  <c r="F95" i="17"/>
  <c r="C95" i="17"/>
  <c r="D94" i="17"/>
  <c r="E94" i="17"/>
  <c r="F94" i="17"/>
  <c r="C94" i="17"/>
  <c r="E93" i="17"/>
  <c r="F93" i="17"/>
  <c r="D88" i="17"/>
  <c r="E88" i="17"/>
  <c r="F88" i="17"/>
  <c r="C88" i="17"/>
  <c r="C89" i="17"/>
  <c r="E87" i="17"/>
  <c r="F87" i="17"/>
  <c r="E86" i="17"/>
  <c r="F86" i="17"/>
  <c r="D85" i="17"/>
  <c r="E85" i="17"/>
  <c r="F85" i="17"/>
  <c r="C85" i="17"/>
  <c r="E84" i="17"/>
  <c r="F84" i="17"/>
  <c r="E83" i="17"/>
  <c r="F83" i="17"/>
  <c r="D76" i="17"/>
  <c r="D77" i="17"/>
  <c r="C76" i="17"/>
  <c r="E74" i="17"/>
  <c r="F74" i="17"/>
  <c r="E73" i="17"/>
  <c r="F73" i="17"/>
  <c r="D67" i="17"/>
  <c r="C67" i="17"/>
  <c r="D66" i="17"/>
  <c r="D68" i="17"/>
  <c r="C66" i="17"/>
  <c r="D59" i="17"/>
  <c r="D60" i="17"/>
  <c r="C59" i="17"/>
  <c r="D58" i="17"/>
  <c r="C58" i="17"/>
  <c r="E57" i="17"/>
  <c r="F57" i="17"/>
  <c r="E56" i="17"/>
  <c r="F56" i="17"/>
  <c r="D53" i="17"/>
  <c r="C53" i="17"/>
  <c r="D52" i="17"/>
  <c r="C52" i="17"/>
  <c r="E51" i="17"/>
  <c r="F51" i="17"/>
  <c r="D47" i="17"/>
  <c r="D48" i="17"/>
  <c r="C47" i="17"/>
  <c r="E46" i="17"/>
  <c r="F46" i="17"/>
  <c r="E45" i="17"/>
  <c r="F45" i="17"/>
  <c r="D44" i="17"/>
  <c r="C44" i="17"/>
  <c r="E43" i="17"/>
  <c r="F43" i="17"/>
  <c r="E42" i="17"/>
  <c r="F42" i="17"/>
  <c r="D36" i="17"/>
  <c r="C36" i="17"/>
  <c r="D35" i="17"/>
  <c r="D37" i="17"/>
  <c r="C35" i="17"/>
  <c r="C37" i="17"/>
  <c r="D30" i="17"/>
  <c r="D31" i="17"/>
  <c r="C30" i="17"/>
  <c r="D29" i="17"/>
  <c r="C29" i="17"/>
  <c r="E28" i="17"/>
  <c r="F28" i="17"/>
  <c r="E27" i="17"/>
  <c r="F27" i="17"/>
  <c r="D24" i="17"/>
  <c r="C24" i="17"/>
  <c r="D23" i="17"/>
  <c r="C23" i="17"/>
  <c r="E22" i="17"/>
  <c r="F22" i="17"/>
  <c r="D20" i="17"/>
  <c r="C20" i="17"/>
  <c r="E19" i="17"/>
  <c r="F19" i="17"/>
  <c r="E18" i="17"/>
  <c r="F18" i="17"/>
  <c r="D17" i="17"/>
  <c r="C17" i="17"/>
  <c r="E16" i="17"/>
  <c r="F16" i="17"/>
  <c r="E15" i="17"/>
  <c r="F15" i="17"/>
  <c r="D21" i="16"/>
  <c r="E21" i="16"/>
  <c r="C21" i="16"/>
  <c r="F20" i="16"/>
  <c r="E20" i="16"/>
  <c r="D17" i="16"/>
  <c r="E17" i="16"/>
  <c r="F17" i="16"/>
  <c r="C17" i="16"/>
  <c r="F16" i="16"/>
  <c r="E16" i="16"/>
  <c r="D13" i="16"/>
  <c r="E13" i="16"/>
  <c r="F13" i="16"/>
  <c r="C13" i="16"/>
  <c r="F12" i="16"/>
  <c r="E12" i="16"/>
  <c r="D107" i="15"/>
  <c r="C107" i="15"/>
  <c r="E106" i="15"/>
  <c r="F106" i="15"/>
  <c r="E105" i="15"/>
  <c r="F105" i="15"/>
  <c r="E104" i="15"/>
  <c r="F104" i="15"/>
  <c r="D100" i="15"/>
  <c r="C100" i="15"/>
  <c r="E99" i="15"/>
  <c r="F99" i="15"/>
  <c r="E98" i="15"/>
  <c r="F98" i="15"/>
  <c r="E97" i="15"/>
  <c r="F97" i="15"/>
  <c r="F96" i="15"/>
  <c r="E96" i="15"/>
  <c r="E95" i="15"/>
  <c r="F95" i="15"/>
  <c r="D92" i="15"/>
  <c r="C92" i="15"/>
  <c r="E91" i="15"/>
  <c r="F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E81" i="15"/>
  <c r="F81" i="15"/>
  <c r="E80" i="15"/>
  <c r="F80" i="15"/>
  <c r="F79" i="15"/>
  <c r="E79" i="15"/>
  <c r="D75" i="15"/>
  <c r="C75" i="15"/>
  <c r="E74" i="15"/>
  <c r="F74" i="15"/>
  <c r="E73" i="15"/>
  <c r="F73" i="15"/>
  <c r="D70" i="15"/>
  <c r="C70" i="15"/>
  <c r="E69" i="15"/>
  <c r="F69" i="15"/>
  <c r="E68" i="15"/>
  <c r="F68" i="15"/>
  <c r="D65" i="15"/>
  <c r="C65" i="15"/>
  <c r="E64" i="15"/>
  <c r="F64" i="15"/>
  <c r="E63" i="15"/>
  <c r="F63" i="15"/>
  <c r="D60" i="15"/>
  <c r="C60" i="15"/>
  <c r="E59" i="15"/>
  <c r="F59" i="15"/>
  <c r="E58" i="15"/>
  <c r="F58" i="15"/>
  <c r="D55" i="15"/>
  <c r="C55" i="15"/>
  <c r="E54" i="15"/>
  <c r="F54" i="15"/>
  <c r="E53" i="15"/>
  <c r="F53" i="15"/>
  <c r="D50" i="15"/>
  <c r="C50" i="15"/>
  <c r="E49" i="15"/>
  <c r="F49" i="15"/>
  <c r="E48" i="15"/>
  <c r="F48" i="15"/>
  <c r="D45" i="15"/>
  <c r="C45" i="15"/>
  <c r="E44" i="15"/>
  <c r="F44" i="15"/>
  <c r="E43" i="15"/>
  <c r="F43" i="15"/>
  <c r="D37" i="15"/>
  <c r="C37" i="15"/>
  <c r="F36" i="15"/>
  <c r="E36" i="15"/>
  <c r="F35" i="15"/>
  <c r="E35" i="15"/>
  <c r="E34" i="15"/>
  <c r="F34" i="15"/>
  <c r="E33" i="15"/>
  <c r="F33" i="15"/>
  <c r="D30" i="15"/>
  <c r="C30" i="15"/>
  <c r="F29" i="15"/>
  <c r="E29" i="15"/>
  <c r="F28" i="15"/>
  <c r="E28" i="15"/>
  <c r="E27" i="15"/>
  <c r="F27" i="15"/>
  <c r="F26" i="15"/>
  <c r="E26" i="15"/>
  <c r="D23" i="15"/>
  <c r="C23" i="15"/>
  <c r="F22" i="15"/>
  <c r="E22" i="15"/>
  <c r="E21" i="15"/>
  <c r="F21" i="15"/>
  <c r="E20" i="15"/>
  <c r="F20" i="15"/>
  <c r="E19" i="15"/>
  <c r="F19" i="15"/>
  <c r="D16" i="15"/>
  <c r="C16" i="15"/>
  <c r="F15" i="15"/>
  <c r="E15" i="15"/>
  <c r="E14" i="15"/>
  <c r="F14" i="15"/>
  <c r="E13" i="15"/>
  <c r="F13" i="15"/>
  <c r="E12" i="15"/>
  <c r="F12" i="15"/>
  <c r="I37" i="14"/>
  <c r="H37" i="14"/>
  <c r="G31" i="14"/>
  <c r="I31" i="14"/>
  <c r="E31" i="14"/>
  <c r="C31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3" i="14"/>
  <c r="F17" i="14"/>
  <c r="F33" i="14"/>
  <c r="E17" i="14"/>
  <c r="E33" i="14"/>
  <c r="E36" i="14"/>
  <c r="E38" i="14"/>
  <c r="E40" i="14"/>
  <c r="D17" i="14"/>
  <c r="D33" i="14"/>
  <c r="D36" i="14"/>
  <c r="D38" i="14"/>
  <c r="D40" i="14"/>
  <c r="C17" i="14"/>
  <c r="C33" i="14"/>
  <c r="C36" i="14"/>
  <c r="C38" i="14"/>
  <c r="C40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D75" i="13"/>
  <c r="E73" i="13"/>
  <c r="E75" i="13"/>
  <c r="D73" i="13"/>
  <c r="C73" i="13"/>
  <c r="C75" i="13"/>
  <c r="E71" i="13"/>
  <c r="D71" i="13"/>
  <c r="C71" i="13"/>
  <c r="E66" i="13"/>
  <c r="D66" i="13"/>
  <c r="D65" i="13"/>
  <c r="C66" i="13"/>
  <c r="E65" i="13"/>
  <c r="C65" i="13"/>
  <c r="E60" i="13"/>
  <c r="D60" i="13"/>
  <c r="C60" i="13"/>
  <c r="D59" i="13"/>
  <c r="D61" i="13"/>
  <c r="D57" i="13"/>
  <c r="E58" i="13"/>
  <c r="D58" i="13"/>
  <c r="C58" i="13"/>
  <c r="E55" i="13"/>
  <c r="D55" i="13"/>
  <c r="C55" i="13"/>
  <c r="E54" i="13"/>
  <c r="D54" i="13"/>
  <c r="D50" i="13"/>
  <c r="C54" i="13"/>
  <c r="E50" i="13"/>
  <c r="C50" i="13"/>
  <c r="D48" i="13"/>
  <c r="D42" i="13"/>
  <c r="E46" i="13"/>
  <c r="E59" i="13"/>
  <c r="E61" i="13"/>
  <c r="E57" i="13"/>
  <c r="D46" i="13"/>
  <c r="C46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D25" i="13"/>
  <c r="D27" i="13"/>
  <c r="D15" i="13"/>
  <c r="D24" i="13"/>
  <c r="E13" i="13"/>
  <c r="E25" i="13"/>
  <c r="E27" i="13"/>
  <c r="D13" i="13"/>
  <c r="C13" i="13"/>
  <c r="C25" i="13"/>
  <c r="C27" i="13"/>
  <c r="F47" i="12"/>
  <c r="D47" i="12"/>
  <c r="E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F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F54" i="11"/>
  <c r="E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F29" i="11"/>
  <c r="D29" i="11"/>
  <c r="E29" i="11"/>
  <c r="C29" i="11"/>
  <c r="F28" i="11"/>
  <c r="E28" i="11"/>
  <c r="F27" i="11"/>
  <c r="E27" i="11"/>
  <c r="F26" i="11"/>
  <c r="E26" i="11"/>
  <c r="F25" i="11"/>
  <c r="E25" i="11"/>
  <c r="D22" i="11"/>
  <c r="D43" i="11"/>
  <c r="C22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D120" i="10"/>
  <c r="E120" i="10"/>
  <c r="C120" i="10"/>
  <c r="F120" i="10"/>
  <c r="F119" i="10"/>
  <c r="D119" i="10"/>
  <c r="E119" i="10"/>
  <c r="C119" i="10"/>
  <c r="F118" i="10"/>
  <c r="D118" i="10"/>
  <c r="E118" i="10"/>
  <c r="C118" i="10"/>
  <c r="F117" i="10"/>
  <c r="D117" i="10"/>
  <c r="E117" i="10"/>
  <c r="C117" i="10"/>
  <c r="F116" i="10"/>
  <c r="D116" i="10"/>
  <c r="E116" i="10"/>
  <c r="C116" i="10"/>
  <c r="F115" i="10"/>
  <c r="D115" i="10"/>
  <c r="E115" i="10"/>
  <c r="C115" i="10"/>
  <c r="F114" i="10"/>
  <c r="D114" i="10"/>
  <c r="E114" i="10"/>
  <c r="C114" i="10"/>
  <c r="F113" i="10"/>
  <c r="D113" i="10"/>
  <c r="D122" i="10"/>
  <c r="C113" i="10"/>
  <c r="C122" i="10"/>
  <c r="F122" i="10"/>
  <c r="F112" i="10"/>
  <c r="D112" i="10"/>
  <c r="D121" i="10"/>
  <c r="E121" i="10"/>
  <c r="C112" i="10"/>
  <c r="C121" i="10"/>
  <c r="F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C205" i="9"/>
  <c r="D204" i="9"/>
  <c r="C204" i="9"/>
  <c r="D203" i="9"/>
  <c r="C203" i="9"/>
  <c r="D202" i="9"/>
  <c r="C202" i="9"/>
  <c r="D201" i="9"/>
  <c r="C201" i="9"/>
  <c r="D200" i="9"/>
  <c r="C200" i="9"/>
  <c r="D199" i="9"/>
  <c r="D208" i="9"/>
  <c r="C199" i="9"/>
  <c r="D198" i="9"/>
  <c r="D207" i="9"/>
  <c r="C198" i="9"/>
  <c r="D193" i="9"/>
  <c r="C193" i="9"/>
  <c r="D192" i="9"/>
  <c r="C192" i="9"/>
  <c r="E191" i="9"/>
  <c r="F191" i="9"/>
  <c r="E190" i="9"/>
  <c r="F190" i="9"/>
  <c r="E189" i="9"/>
  <c r="F189" i="9"/>
  <c r="E188" i="9"/>
  <c r="F188" i="9"/>
  <c r="E187" i="9"/>
  <c r="F187" i="9"/>
  <c r="E186" i="9"/>
  <c r="F186" i="9"/>
  <c r="E185" i="9"/>
  <c r="F185" i="9"/>
  <c r="E184" i="9"/>
  <c r="F184" i="9"/>
  <c r="E183" i="9"/>
  <c r="F183" i="9"/>
  <c r="D180" i="9"/>
  <c r="C180" i="9"/>
  <c r="F180" i="9"/>
  <c r="D179" i="9"/>
  <c r="C179" i="9"/>
  <c r="F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F167" i="9"/>
  <c r="D166" i="9"/>
  <c r="C166" i="9"/>
  <c r="F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4" i="9"/>
  <c r="D153" i="9"/>
  <c r="C153" i="9"/>
  <c r="F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D140" i="9"/>
  <c r="C140" i="9"/>
  <c r="E139" i="9"/>
  <c r="F139" i="9"/>
  <c r="E138" i="9"/>
  <c r="F138" i="9"/>
  <c r="E137" i="9"/>
  <c r="F137" i="9"/>
  <c r="E136" i="9"/>
  <c r="F136" i="9"/>
  <c r="E135" i="9"/>
  <c r="F135" i="9"/>
  <c r="E134" i="9"/>
  <c r="F134" i="9"/>
  <c r="E133" i="9"/>
  <c r="F133" i="9"/>
  <c r="E132" i="9"/>
  <c r="F132" i="9"/>
  <c r="E131" i="9"/>
  <c r="F131" i="9"/>
  <c r="D128" i="9"/>
  <c r="C128" i="9"/>
  <c r="D127" i="9"/>
  <c r="C127" i="9"/>
  <c r="E126" i="9"/>
  <c r="F126" i="9"/>
  <c r="E125" i="9"/>
  <c r="F125" i="9"/>
  <c r="E124" i="9"/>
  <c r="F124" i="9"/>
  <c r="E123" i="9"/>
  <c r="F123" i="9"/>
  <c r="E122" i="9"/>
  <c r="F122" i="9"/>
  <c r="E121" i="9"/>
  <c r="F121" i="9"/>
  <c r="E120" i="9"/>
  <c r="F120" i="9"/>
  <c r="E119" i="9"/>
  <c r="F119" i="9"/>
  <c r="E118" i="9"/>
  <c r="F118" i="9"/>
  <c r="D115" i="9"/>
  <c r="C115" i="9"/>
  <c r="D114" i="9"/>
  <c r="C114" i="9"/>
  <c r="E113" i="9"/>
  <c r="F113" i="9"/>
  <c r="E112" i="9"/>
  <c r="F112" i="9"/>
  <c r="E111" i="9"/>
  <c r="F111" i="9"/>
  <c r="E110" i="9"/>
  <c r="F110" i="9"/>
  <c r="E109" i="9"/>
  <c r="F109" i="9"/>
  <c r="E108" i="9"/>
  <c r="F108" i="9"/>
  <c r="E107" i="9"/>
  <c r="F107" i="9"/>
  <c r="E106" i="9"/>
  <c r="F106" i="9"/>
  <c r="E105" i="9"/>
  <c r="F105" i="9"/>
  <c r="D102" i="9"/>
  <c r="C102" i="9"/>
  <c r="D101" i="9"/>
  <c r="C101" i="9"/>
  <c r="E100" i="9"/>
  <c r="F100" i="9"/>
  <c r="E99" i="9"/>
  <c r="F99" i="9"/>
  <c r="E98" i="9"/>
  <c r="F98" i="9"/>
  <c r="E97" i="9"/>
  <c r="F97" i="9"/>
  <c r="E96" i="9"/>
  <c r="F96" i="9"/>
  <c r="E95" i="9"/>
  <c r="F95" i="9"/>
  <c r="E94" i="9"/>
  <c r="F94" i="9"/>
  <c r="E93" i="9"/>
  <c r="F93" i="9"/>
  <c r="E92" i="9"/>
  <c r="F92" i="9"/>
  <c r="D89" i="9"/>
  <c r="C89" i="9"/>
  <c r="F89" i="9"/>
  <c r="D88" i="9"/>
  <c r="C88" i="9"/>
  <c r="F88" i="9"/>
  <c r="F87" i="9"/>
  <c r="E87" i="9"/>
  <c r="F86" i="9"/>
  <c r="E86" i="9"/>
  <c r="E85" i="9"/>
  <c r="F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C75" i="9"/>
  <c r="E74" i="9"/>
  <c r="F74" i="9"/>
  <c r="E73" i="9"/>
  <c r="F73" i="9"/>
  <c r="E72" i="9"/>
  <c r="F72" i="9"/>
  <c r="E71" i="9"/>
  <c r="F71" i="9"/>
  <c r="E70" i="9"/>
  <c r="F70" i="9"/>
  <c r="E69" i="9"/>
  <c r="F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E161" i="8"/>
  <c r="D161" i="8"/>
  <c r="C161" i="8"/>
  <c r="E160" i="8"/>
  <c r="E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D104" i="8"/>
  <c r="E102" i="8"/>
  <c r="E104" i="8"/>
  <c r="D102" i="8"/>
  <c r="C102" i="8"/>
  <c r="C104" i="8"/>
  <c r="E100" i="8"/>
  <c r="D100" i="8"/>
  <c r="C100" i="8"/>
  <c r="E95" i="8"/>
  <c r="D95" i="8"/>
  <c r="D94" i="8"/>
  <c r="C95" i="8"/>
  <c r="E94" i="8"/>
  <c r="C94" i="8"/>
  <c r="E89" i="8"/>
  <c r="D89" i="8"/>
  <c r="C89" i="8"/>
  <c r="E87" i="8"/>
  <c r="D87" i="8"/>
  <c r="C87" i="8"/>
  <c r="E84" i="8"/>
  <c r="D84" i="8"/>
  <c r="C84" i="8"/>
  <c r="E83" i="8"/>
  <c r="D83" i="8"/>
  <c r="D79" i="8"/>
  <c r="C83" i="8"/>
  <c r="E79" i="8"/>
  <c r="C79" i="8"/>
  <c r="D77" i="8"/>
  <c r="D71" i="8"/>
  <c r="E75" i="8"/>
  <c r="E88" i="8"/>
  <c r="E90" i="8"/>
  <c r="E86" i="8"/>
  <c r="D75" i="8"/>
  <c r="D88" i="8"/>
  <c r="D90" i="8"/>
  <c r="D86" i="8"/>
  <c r="C75" i="8"/>
  <c r="C88" i="8"/>
  <c r="C90" i="8"/>
  <c r="C86" i="8"/>
  <c r="E74" i="8"/>
  <c r="D74" i="8"/>
  <c r="C74" i="8"/>
  <c r="E67" i="8"/>
  <c r="D67" i="8"/>
  <c r="C67" i="8"/>
  <c r="E53" i="8"/>
  <c r="C53" i="8"/>
  <c r="E43" i="8"/>
  <c r="C43" i="8"/>
  <c r="E38" i="8"/>
  <c r="E57" i="8"/>
  <c r="E62" i="8"/>
  <c r="D38" i="8"/>
  <c r="D53" i="8"/>
  <c r="C38" i="8"/>
  <c r="C57" i="8"/>
  <c r="C62" i="8"/>
  <c r="E33" i="8"/>
  <c r="E34" i="8"/>
  <c r="D33" i="8"/>
  <c r="D34" i="8"/>
  <c r="E26" i="8"/>
  <c r="D26" i="8"/>
  <c r="C26" i="8"/>
  <c r="D25" i="8"/>
  <c r="D27" i="8"/>
  <c r="D15" i="8"/>
  <c r="D24" i="8"/>
  <c r="E13" i="8"/>
  <c r="E25" i="8"/>
  <c r="E27" i="8"/>
  <c r="D13" i="8"/>
  <c r="C13" i="8"/>
  <c r="C25" i="8"/>
  <c r="C27" i="8"/>
  <c r="F186" i="7"/>
  <c r="E186" i="7"/>
  <c r="D183" i="7"/>
  <c r="D188" i="7"/>
  <c r="E188" i="7"/>
  <c r="C183" i="7"/>
  <c r="C188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D95" i="7"/>
  <c r="E95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F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D94" i="6"/>
  <c r="E94" i="6"/>
  <c r="F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D95" i="6"/>
  <c r="E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D51" i="6"/>
  <c r="E51" i="6"/>
  <c r="F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D52" i="6"/>
  <c r="E52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D48" i="5"/>
  <c r="E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/>
  <c r="C16" i="5"/>
  <c r="C18" i="5"/>
  <c r="F15" i="5"/>
  <c r="E15" i="5"/>
  <c r="F14" i="5"/>
  <c r="E14" i="5"/>
  <c r="F13" i="5"/>
  <c r="E13" i="5"/>
  <c r="F12" i="5"/>
  <c r="E12" i="5"/>
  <c r="D73" i="4"/>
  <c r="E73" i="4"/>
  <c r="C73" i="4"/>
  <c r="F73" i="4"/>
  <c r="F72" i="4"/>
  <c r="E72" i="4"/>
  <c r="F71" i="4"/>
  <c r="E71" i="4"/>
  <c r="F70" i="4"/>
  <c r="E70" i="4"/>
  <c r="F67" i="4"/>
  <c r="E67" i="4"/>
  <c r="F64" i="4"/>
  <c r="E64" i="4"/>
  <c r="F63" i="4"/>
  <c r="E63" i="4"/>
  <c r="F61" i="4"/>
  <c r="D61" i="4"/>
  <c r="D65" i="4"/>
  <c r="E65" i="4"/>
  <c r="C61" i="4"/>
  <c r="C65" i="4"/>
  <c r="F60" i="4"/>
  <c r="E60" i="4"/>
  <c r="F59" i="4"/>
  <c r="E59" i="4"/>
  <c r="D56" i="4"/>
  <c r="D75" i="4"/>
  <c r="E75" i="4"/>
  <c r="C56" i="4"/>
  <c r="C75" i="4"/>
  <c r="F55" i="4"/>
  <c r="E55" i="4"/>
  <c r="F54" i="4"/>
  <c r="E54" i="4"/>
  <c r="F53" i="4"/>
  <c r="E53" i="4"/>
  <c r="F52" i="4"/>
  <c r="E52" i="4"/>
  <c r="E51" i="4"/>
  <c r="F51" i="4"/>
  <c r="F50" i="4"/>
  <c r="E50" i="4"/>
  <c r="A50" i="4"/>
  <c r="A51" i="4"/>
  <c r="A52" i="4"/>
  <c r="A53" i="4"/>
  <c r="A54" i="4"/>
  <c r="A55" i="4"/>
  <c r="E49" i="4"/>
  <c r="F49" i="4"/>
  <c r="E40" i="4"/>
  <c r="F40" i="4"/>
  <c r="D38" i="4"/>
  <c r="D41" i="4"/>
  <c r="C38" i="4"/>
  <c r="E37" i="4"/>
  <c r="F37" i="4"/>
  <c r="E36" i="4"/>
  <c r="F36" i="4"/>
  <c r="E33" i="4"/>
  <c r="F33" i="4"/>
  <c r="F32" i="4"/>
  <c r="E32" i="4"/>
  <c r="F31" i="4"/>
  <c r="E31" i="4"/>
  <c r="D29" i="4"/>
  <c r="C29" i="4"/>
  <c r="F29" i="4"/>
  <c r="F28" i="4"/>
  <c r="E28" i="4"/>
  <c r="F27" i="4"/>
  <c r="E27" i="4"/>
  <c r="F26" i="4"/>
  <c r="E26" i="4"/>
  <c r="F25" i="4"/>
  <c r="E25" i="4"/>
  <c r="D22" i="4"/>
  <c r="C22" i="4"/>
  <c r="E21" i="4"/>
  <c r="F21" i="4"/>
  <c r="E20" i="4"/>
  <c r="F20" i="4"/>
  <c r="E19" i="4"/>
  <c r="F19" i="4"/>
  <c r="F18" i="4"/>
  <c r="E18" i="4"/>
  <c r="F17" i="4"/>
  <c r="E17" i="4"/>
  <c r="F16" i="4"/>
  <c r="E16" i="4"/>
  <c r="E15" i="4"/>
  <c r="F15" i="4"/>
  <c r="F14" i="4"/>
  <c r="E14" i="4"/>
  <c r="F13" i="4"/>
  <c r="E13" i="4"/>
  <c r="D108" i="22"/>
  <c r="D109" i="22"/>
  <c r="C109" i="22"/>
  <c r="C108" i="22"/>
  <c r="E109" i="22"/>
  <c r="E108" i="22"/>
  <c r="C103" i="22"/>
  <c r="D22" i="22"/>
  <c r="C23" i="22"/>
  <c r="E23" i="22"/>
  <c r="D33" i="22"/>
  <c r="C34" i="22"/>
  <c r="E34" i="22"/>
  <c r="D101" i="22"/>
  <c r="D103" i="22"/>
  <c r="C102" i="22"/>
  <c r="E102" i="22"/>
  <c r="E103" i="22"/>
  <c r="C22" i="22"/>
  <c r="E22" i="22"/>
  <c r="D23" i="22"/>
  <c r="F19" i="21"/>
  <c r="F21" i="21"/>
  <c r="C41" i="20"/>
  <c r="F39" i="20"/>
  <c r="E39" i="20"/>
  <c r="D41" i="20"/>
  <c r="E40" i="20"/>
  <c r="F40" i="20"/>
  <c r="E46" i="20"/>
  <c r="F46" i="20"/>
  <c r="F43" i="20"/>
  <c r="D20" i="20"/>
  <c r="E20" i="20"/>
  <c r="F20" i="20"/>
  <c r="D46" i="20"/>
  <c r="D192" i="17"/>
  <c r="C65" i="19"/>
  <c r="C114" i="19"/>
  <c r="C116" i="19"/>
  <c r="C119" i="19"/>
  <c r="C123" i="19"/>
  <c r="D269" i="17"/>
  <c r="D270" i="17"/>
  <c r="D268" i="17"/>
  <c r="C49" i="19"/>
  <c r="D258" i="18"/>
  <c r="D101" i="18"/>
  <c r="D99" i="18"/>
  <c r="D97" i="18"/>
  <c r="D95" i="18"/>
  <c r="D88" i="18"/>
  <c r="D86" i="18"/>
  <c r="D84" i="18"/>
  <c r="D100" i="18"/>
  <c r="D98" i="18"/>
  <c r="D96" i="18"/>
  <c r="D89" i="18"/>
  <c r="D87" i="18"/>
  <c r="D85" i="18"/>
  <c r="D83" i="18"/>
  <c r="E44" i="18"/>
  <c r="D259" i="18"/>
  <c r="E43" i="18"/>
  <c r="C258" i="18"/>
  <c r="C100" i="18"/>
  <c r="C98" i="18"/>
  <c r="C96" i="18"/>
  <c r="C89" i="18"/>
  <c r="C87" i="18"/>
  <c r="C85" i="18"/>
  <c r="C83" i="18"/>
  <c r="C101" i="18"/>
  <c r="C99" i="18"/>
  <c r="C97" i="18"/>
  <c r="C95" i="18"/>
  <c r="C88" i="18"/>
  <c r="C86" i="18"/>
  <c r="C84" i="18"/>
  <c r="C90" i="18"/>
  <c r="E20" i="17"/>
  <c r="E76" i="17"/>
  <c r="F76" i="17"/>
  <c r="E179" i="17"/>
  <c r="F179" i="17"/>
  <c r="E191" i="17"/>
  <c r="E223" i="17"/>
  <c r="D277" i="17"/>
  <c r="D280" i="17"/>
  <c r="E280" i="17"/>
  <c r="D283" i="18"/>
  <c r="E283" i="18"/>
  <c r="C22" i="18"/>
  <c r="C284" i="18"/>
  <c r="E32" i="18"/>
  <c r="D33" i="18"/>
  <c r="E36" i="18"/>
  <c r="E54" i="18"/>
  <c r="C289" i="18"/>
  <c r="C71" i="18"/>
  <c r="C76" i="18"/>
  <c r="C65" i="18"/>
  <c r="C66" i="18"/>
  <c r="C295" i="18"/>
  <c r="E60" i="18"/>
  <c r="E70" i="18"/>
  <c r="D199" i="17"/>
  <c r="E199" i="17"/>
  <c r="F199" i="17"/>
  <c r="D274" i="17"/>
  <c r="D278" i="17"/>
  <c r="D288" i="17"/>
  <c r="D283" i="17"/>
  <c r="D286" i="17"/>
  <c r="D290" i="17"/>
  <c r="E21" i="18"/>
  <c r="D284" i="18"/>
  <c r="E284" i="18"/>
  <c r="E37" i="18"/>
  <c r="D66" i="18"/>
  <c r="E65" i="18"/>
  <c r="D77" i="18"/>
  <c r="E69" i="18"/>
  <c r="E71" i="18"/>
  <c r="D157" i="18"/>
  <c r="E157" i="18"/>
  <c r="E156" i="18"/>
  <c r="E289" i="18"/>
  <c r="C144" i="18"/>
  <c r="E144" i="18"/>
  <c r="D145" i="18"/>
  <c r="E151" i="18"/>
  <c r="D163" i="18"/>
  <c r="E163" i="18"/>
  <c r="C175" i="18"/>
  <c r="E175" i="18"/>
  <c r="D180" i="18"/>
  <c r="C261" i="18"/>
  <c r="C189" i="18"/>
  <c r="E188" i="18"/>
  <c r="E260" i="18"/>
  <c r="E229" i="18"/>
  <c r="D241" i="18"/>
  <c r="E242" i="18"/>
  <c r="E243" i="18"/>
  <c r="E244" i="18"/>
  <c r="E245" i="18"/>
  <c r="D252" i="18"/>
  <c r="D253" i="18"/>
  <c r="E253" i="18"/>
  <c r="E302" i="18"/>
  <c r="C303" i="18"/>
  <c r="C306" i="18"/>
  <c r="C310" i="18"/>
  <c r="E139" i="18"/>
  <c r="E261" i="18"/>
  <c r="E189" i="18"/>
  <c r="D234" i="18"/>
  <c r="C253" i="18"/>
  <c r="D320" i="18"/>
  <c r="E320" i="18"/>
  <c r="E316" i="18"/>
  <c r="E195" i="18"/>
  <c r="C210" i="18"/>
  <c r="E210" i="18"/>
  <c r="D211" i="18"/>
  <c r="E215" i="18"/>
  <c r="C217" i="18"/>
  <c r="C241" i="18"/>
  <c r="E219" i="18"/>
  <c r="E221" i="18"/>
  <c r="D222" i="18"/>
  <c r="C252" i="18"/>
  <c r="C254" i="18"/>
  <c r="E265" i="18"/>
  <c r="D303" i="18"/>
  <c r="E314" i="18"/>
  <c r="D326" i="18"/>
  <c r="E205" i="18"/>
  <c r="E216" i="18"/>
  <c r="E218" i="18"/>
  <c r="E220" i="18"/>
  <c r="C222" i="18"/>
  <c r="C246" i="18"/>
  <c r="D223" i="18"/>
  <c r="E233" i="18"/>
  <c r="E251" i="18"/>
  <c r="D61" i="17"/>
  <c r="D32" i="17"/>
  <c r="E37" i="17"/>
  <c r="F37" i="17"/>
  <c r="D160" i="17"/>
  <c r="C103" i="17"/>
  <c r="C194" i="17"/>
  <c r="C138" i="17"/>
  <c r="C207" i="17"/>
  <c r="E17" i="17"/>
  <c r="F17" i="17"/>
  <c r="C31" i="17"/>
  <c r="E44" i="17"/>
  <c r="F44" i="17"/>
  <c r="E47" i="17"/>
  <c r="F47" i="17"/>
  <c r="C48" i="17"/>
  <c r="E52" i="17"/>
  <c r="F52" i="17"/>
  <c r="C60" i="17"/>
  <c r="C68" i="17"/>
  <c r="C77" i="17"/>
  <c r="E77" i="17"/>
  <c r="D89" i="17"/>
  <c r="E89" i="17"/>
  <c r="F89" i="17"/>
  <c r="D146" i="17"/>
  <c r="E146" i="17"/>
  <c r="F146" i="17"/>
  <c r="C277" i="17"/>
  <c r="E188" i="17"/>
  <c r="F188" i="17"/>
  <c r="C190" i="17"/>
  <c r="C283" i="17"/>
  <c r="C206" i="17"/>
  <c r="C282" i="17"/>
  <c r="C21" i="17"/>
  <c r="E23" i="17"/>
  <c r="F23" i="17"/>
  <c r="E24" i="17"/>
  <c r="F24" i="17"/>
  <c r="E29" i="17"/>
  <c r="F29" i="17"/>
  <c r="E30" i="17"/>
  <c r="F30" i="17"/>
  <c r="C304" i="17"/>
  <c r="E35" i="17"/>
  <c r="E36" i="17"/>
  <c r="F36" i="17"/>
  <c r="E53" i="17"/>
  <c r="F53" i="17"/>
  <c r="E58" i="17"/>
  <c r="F58" i="17"/>
  <c r="E59" i="17"/>
  <c r="F59" i="17"/>
  <c r="E66" i="17"/>
  <c r="F66" i="17"/>
  <c r="E67" i="17"/>
  <c r="F67" i="17"/>
  <c r="D102" i="17"/>
  <c r="D111" i="17"/>
  <c r="E111" i="17"/>
  <c r="F111" i="17"/>
  <c r="D124" i="17"/>
  <c r="D137" i="17"/>
  <c r="E158" i="17"/>
  <c r="F158" i="17"/>
  <c r="E164" i="17"/>
  <c r="F164" i="17"/>
  <c r="E170" i="17"/>
  <c r="F170" i="17"/>
  <c r="C173" i="17"/>
  <c r="C181" i="17"/>
  <c r="C280" i="17"/>
  <c r="F191" i="17"/>
  <c r="C200" i="17"/>
  <c r="E203" i="17"/>
  <c r="F203" i="17"/>
  <c r="C205" i="17"/>
  <c r="C214" i="17"/>
  <c r="F223" i="17"/>
  <c r="F227" i="17"/>
  <c r="E230" i="17"/>
  <c r="F230" i="17"/>
  <c r="E238" i="17"/>
  <c r="F238" i="17"/>
  <c r="C254" i="17"/>
  <c r="C261" i="17"/>
  <c r="F262" i="17"/>
  <c r="C264" i="17"/>
  <c r="C266" i="17"/>
  <c r="C267" i="17"/>
  <c r="D272" i="17"/>
  <c r="F20" i="17"/>
  <c r="D21" i="17"/>
  <c r="F35" i="17"/>
  <c r="E123" i="17"/>
  <c r="F123" i="17"/>
  <c r="C124" i="17"/>
  <c r="E155" i="17"/>
  <c r="F155" i="17"/>
  <c r="C159" i="17"/>
  <c r="E165" i="17"/>
  <c r="F165" i="17"/>
  <c r="E171" i="17"/>
  <c r="F171" i="17"/>
  <c r="E172" i="17"/>
  <c r="F172" i="17"/>
  <c r="E180" i="17"/>
  <c r="F180" i="17"/>
  <c r="D263" i="17"/>
  <c r="C278" i="17"/>
  <c r="E189" i="17"/>
  <c r="F189" i="17"/>
  <c r="C192" i="17"/>
  <c r="C290" i="17"/>
  <c r="C274" i="17"/>
  <c r="E198" i="17"/>
  <c r="F198" i="17"/>
  <c r="C285" i="17"/>
  <c r="C269" i="17"/>
  <c r="E204" i="17"/>
  <c r="F204" i="17"/>
  <c r="E226" i="17"/>
  <c r="F226" i="17"/>
  <c r="E229" i="17"/>
  <c r="F229" i="17"/>
  <c r="E237" i="17"/>
  <c r="F237" i="17"/>
  <c r="C239" i="17"/>
  <c r="C306" i="17"/>
  <c r="E250" i="17"/>
  <c r="F250" i="17"/>
  <c r="E261" i="17"/>
  <c r="E264" i="17"/>
  <c r="D271" i="17"/>
  <c r="E277" i="17"/>
  <c r="E283" i="17"/>
  <c r="E285" i="17"/>
  <c r="D287" i="17"/>
  <c r="D300" i="17"/>
  <c r="E311" i="17"/>
  <c r="D190" i="17"/>
  <c r="E190" i="17"/>
  <c r="D193" i="17"/>
  <c r="D200" i="17"/>
  <c r="E200" i="17"/>
  <c r="D205" i="17"/>
  <c r="E205" i="17"/>
  <c r="D206" i="17"/>
  <c r="E206" i="17"/>
  <c r="D214" i="17"/>
  <c r="D215" i="17"/>
  <c r="E307" i="17"/>
  <c r="F307" i="17"/>
  <c r="F21" i="16"/>
  <c r="F30" i="15"/>
  <c r="F45" i="15"/>
  <c r="F55" i="15"/>
  <c r="F65" i="15"/>
  <c r="F75" i="15"/>
  <c r="F100" i="15"/>
  <c r="E16" i="15"/>
  <c r="F16" i="15"/>
  <c r="E23" i="15"/>
  <c r="F23" i="15"/>
  <c r="E30" i="15"/>
  <c r="E37" i="15"/>
  <c r="F37" i="15"/>
  <c r="E45" i="15"/>
  <c r="E50" i="15"/>
  <c r="F50" i="15"/>
  <c r="E55" i="15"/>
  <c r="E60" i="15"/>
  <c r="F60" i="15"/>
  <c r="E65" i="15"/>
  <c r="E70" i="15"/>
  <c r="F70" i="15"/>
  <c r="E75" i="15"/>
  <c r="E92" i="15"/>
  <c r="F92" i="15"/>
  <c r="E100" i="15"/>
  <c r="E107" i="15"/>
  <c r="F107" i="15"/>
  <c r="G36" i="14"/>
  <c r="G38" i="14"/>
  <c r="G40" i="14"/>
  <c r="I33" i="14"/>
  <c r="I36" i="14"/>
  <c r="I38" i="14"/>
  <c r="H40" i="14"/>
  <c r="H33" i="14"/>
  <c r="H36" i="14"/>
  <c r="H38" i="14"/>
  <c r="F36" i="14"/>
  <c r="F38" i="14"/>
  <c r="F40" i="14"/>
  <c r="I40" i="14"/>
  <c r="I17" i="14"/>
  <c r="D31" i="14"/>
  <c r="F31" i="14"/>
  <c r="H31" i="14"/>
  <c r="H17" i="14"/>
  <c r="C21" i="13"/>
  <c r="E21" i="13"/>
  <c r="D21" i="13"/>
  <c r="D22" i="13"/>
  <c r="D20" i="13"/>
  <c r="D69" i="13"/>
  <c r="C15" i="13"/>
  <c r="E15" i="13"/>
  <c r="D17" i="13"/>
  <c r="D28" i="13"/>
  <c r="D70" i="13"/>
  <c r="D72" i="13"/>
  <c r="C48" i="13"/>
  <c r="C42" i="13"/>
  <c r="E48" i="13"/>
  <c r="E42" i="13"/>
  <c r="D20" i="12"/>
  <c r="E17" i="12"/>
  <c r="F17" i="12"/>
  <c r="C20" i="12"/>
  <c r="E15" i="12"/>
  <c r="F15" i="12"/>
  <c r="C43" i="11"/>
  <c r="E41" i="11"/>
  <c r="F75" i="11"/>
  <c r="F65" i="11"/>
  <c r="E43" i="11"/>
  <c r="F41" i="11"/>
  <c r="E22" i="11"/>
  <c r="F22" i="11"/>
  <c r="E38" i="11"/>
  <c r="F38" i="11"/>
  <c r="E56" i="11"/>
  <c r="F56" i="11"/>
  <c r="E61" i="11"/>
  <c r="F61" i="11"/>
  <c r="E122" i="10"/>
  <c r="E112" i="10"/>
  <c r="E113" i="10"/>
  <c r="E75" i="9"/>
  <c r="F75" i="9"/>
  <c r="E76" i="9"/>
  <c r="F76" i="9"/>
  <c r="E88" i="9"/>
  <c r="E89" i="9"/>
  <c r="E101" i="9"/>
  <c r="F101" i="9"/>
  <c r="E102" i="9"/>
  <c r="F102" i="9"/>
  <c r="E114" i="9"/>
  <c r="F114" i="9"/>
  <c r="E115" i="9"/>
  <c r="F115" i="9"/>
  <c r="E127" i="9"/>
  <c r="F127" i="9"/>
  <c r="E128" i="9"/>
  <c r="F128" i="9"/>
  <c r="E140" i="9"/>
  <c r="F140" i="9"/>
  <c r="E141" i="9"/>
  <c r="F141" i="9"/>
  <c r="E153" i="9"/>
  <c r="E154" i="9"/>
  <c r="E166" i="9"/>
  <c r="E167" i="9"/>
  <c r="E179" i="9"/>
  <c r="E180" i="9"/>
  <c r="E192" i="9"/>
  <c r="F192" i="9"/>
  <c r="E193" i="9"/>
  <c r="F193" i="9"/>
  <c r="E198" i="9"/>
  <c r="F198" i="9"/>
  <c r="E199" i="9"/>
  <c r="F199" i="9"/>
  <c r="E200" i="9"/>
  <c r="F200" i="9"/>
  <c r="E201" i="9"/>
  <c r="F201" i="9"/>
  <c r="E202" i="9"/>
  <c r="F202" i="9"/>
  <c r="E203" i="9"/>
  <c r="F203" i="9"/>
  <c r="E204" i="9"/>
  <c r="F204" i="9"/>
  <c r="E205" i="9"/>
  <c r="F205" i="9"/>
  <c r="E206" i="9"/>
  <c r="F206" i="9"/>
  <c r="C207" i="9"/>
  <c r="E207" i="9"/>
  <c r="C208" i="9"/>
  <c r="C140" i="8"/>
  <c r="C138" i="8"/>
  <c r="C136" i="8"/>
  <c r="C139" i="8"/>
  <c r="C137" i="8"/>
  <c r="C135" i="8"/>
  <c r="E157" i="8"/>
  <c r="E155" i="8"/>
  <c r="E153" i="8"/>
  <c r="E156" i="8"/>
  <c r="E154" i="8"/>
  <c r="E152" i="8"/>
  <c r="D156" i="8"/>
  <c r="D154" i="8"/>
  <c r="D152" i="8"/>
  <c r="D157" i="8"/>
  <c r="D155" i="8"/>
  <c r="D153" i="8"/>
  <c r="C21" i="8"/>
  <c r="E21" i="8"/>
  <c r="D21" i="8"/>
  <c r="D20" i="8"/>
  <c r="E140" i="8"/>
  <c r="E138" i="8"/>
  <c r="E136" i="8"/>
  <c r="E139" i="8"/>
  <c r="E137" i="8"/>
  <c r="E135" i="8"/>
  <c r="D139" i="8"/>
  <c r="D137" i="8"/>
  <c r="D135" i="8"/>
  <c r="D140" i="8"/>
  <c r="D138" i="8"/>
  <c r="D136" i="8"/>
  <c r="C157" i="8"/>
  <c r="C155" i="8"/>
  <c r="C153" i="8"/>
  <c r="C156" i="8"/>
  <c r="C154" i="8"/>
  <c r="C152" i="8"/>
  <c r="D49" i="8"/>
  <c r="D57" i="8"/>
  <c r="D62" i="8"/>
  <c r="C15" i="8"/>
  <c r="E15" i="8"/>
  <c r="D17" i="8"/>
  <c r="D43" i="8"/>
  <c r="C49" i="8"/>
  <c r="E49" i="8"/>
  <c r="C77" i="8"/>
  <c r="C71" i="8"/>
  <c r="E77" i="8"/>
  <c r="E71" i="8"/>
  <c r="F95" i="7"/>
  <c r="F188" i="7"/>
  <c r="E90" i="7"/>
  <c r="F90" i="7"/>
  <c r="E183" i="7"/>
  <c r="F183" i="7"/>
  <c r="F52" i="6"/>
  <c r="F95" i="6"/>
  <c r="E41" i="6"/>
  <c r="F41" i="6"/>
  <c r="E84" i="6"/>
  <c r="F84" i="6"/>
  <c r="C21" i="5"/>
  <c r="F48" i="5"/>
  <c r="D21" i="5"/>
  <c r="E18" i="5"/>
  <c r="F18" i="5"/>
  <c r="E16" i="5"/>
  <c r="F16" i="5"/>
  <c r="E41" i="4"/>
  <c r="D43" i="4"/>
  <c r="F75" i="4"/>
  <c r="F65" i="4"/>
  <c r="E56" i="4"/>
  <c r="F56" i="4"/>
  <c r="E61" i="4"/>
  <c r="E22" i="4"/>
  <c r="F22" i="4"/>
  <c r="E29" i="4"/>
  <c r="E38" i="4"/>
  <c r="F38" i="4"/>
  <c r="C41" i="4"/>
  <c r="C43" i="4"/>
  <c r="D54" i="22"/>
  <c r="D46" i="22"/>
  <c r="D40" i="22"/>
  <c r="D36" i="22"/>
  <c r="D30" i="22"/>
  <c r="D111" i="22"/>
  <c r="C53" i="22"/>
  <c r="C45" i="22"/>
  <c r="C39" i="22"/>
  <c r="C35" i="22"/>
  <c r="C29" i="22"/>
  <c r="C110" i="22"/>
  <c r="C111" i="22"/>
  <c r="C54" i="22"/>
  <c r="C46" i="22"/>
  <c r="C40" i="22"/>
  <c r="C36" i="22"/>
  <c r="C30" i="22"/>
  <c r="E53" i="22"/>
  <c r="E45" i="22"/>
  <c r="E39" i="22"/>
  <c r="E35" i="22"/>
  <c r="E29" i="22"/>
  <c r="E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D279" i="17"/>
  <c r="E41" i="20"/>
  <c r="F41" i="20"/>
  <c r="C77" i="18"/>
  <c r="C259" i="18"/>
  <c r="C263" i="18"/>
  <c r="E76" i="18"/>
  <c r="C223" i="18"/>
  <c r="C247" i="18"/>
  <c r="E217" i="18"/>
  <c r="D254" i="18"/>
  <c r="E254" i="18"/>
  <c r="E252" i="18"/>
  <c r="D181" i="18"/>
  <c r="D169" i="18"/>
  <c r="C180" i="18"/>
  <c r="E180" i="18"/>
  <c r="C145" i="18"/>
  <c r="E145" i="18"/>
  <c r="C168" i="18"/>
  <c r="E168" i="18"/>
  <c r="D126" i="18"/>
  <c r="D124" i="18"/>
  <c r="D122" i="18"/>
  <c r="D115" i="18"/>
  <c r="D113" i="18"/>
  <c r="D111" i="18"/>
  <c r="D109" i="18"/>
  <c r="D127" i="18"/>
  <c r="D125" i="18"/>
  <c r="D123" i="18"/>
  <c r="D121" i="18"/>
  <c r="D114" i="18"/>
  <c r="D112" i="18"/>
  <c r="D110" i="18"/>
  <c r="E77" i="18"/>
  <c r="E66" i="18"/>
  <c r="D295" i="18"/>
  <c r="E295" i="18"/>
  <c r="E33" i="18"/>
  <c r="C294" i="18"/>
  <c r="E294" i="18"/>
  <c r="D284" i="17"/>
  <c r="C91" i="18"/>
  <c r="C102" i="18"/>
  <c r="C103" i="18"/>
  <c r="D263" i="18"/>
  <c r="E263" i="18"/>
  <c r="E259" i="18"/>
  <c r="E83" i="18"/>
  <c r="E87" i="18"/>
  <c r="E96" i="18"/>
  <c r="D102" i="18"/>
  <c r="E100" i="18"/>
  <c r="E86" i="18"/>
  <c r="D103" i="18"/>
  <c r="E95" i="18"/>
  <c r="E99" i="18"/>
  <c r="E258" i="18"/>
  <c r="D264" i="18"/>
  <c r="D247" i="18"/>
  <c r="E247" i="18"/>
  <c r="E223" i="18"/>
  <c r="E326" i="18"/>
  <c r="D330" i="18"/>
  <c r="E330" i="18"/>
  <c r="E303" i="18"/>
  <c r="D306" i="18"/>
  <c r="E222" i="18"/>
  <c r="D246" i="18"/>
  <c r="E246" i="18"/>
  <c r="D235" i="18"/>
  <c r="C211" i="18"/>
  <c r="C235" i="18"/>
  <c r="C234" i="18"/>
  <c r="E234" i="18"/>
  <c r="E241" i="18"/>
  <c r="C264" i="18"/>
  <c r="C266" i="18"/>
  <c r="C267" i="18"/>
  <c r="E85" i="18"/>
  <c r="E89" i="18"/>
  <c r="E98" i="18"/>
  <c r="D90" i="18"/>
  <c r="E90" i="18"/>
  <c r="E84" i="18"/>
  <c r="E88" i="18"/>
  <c r="E97" i="18"/>
  <c r="E101" i="18"/>
  <c r="E22" i="18"/>
  <c r="D254" i="17"/>
  <c r="D216" i="17"/>
  <c r="E214" i="17"/>
  <c r="D194" i="17"/>
  <c r="D282" i="17"/>
  <c r="E193" i="17"/>
  <c r="F193" i="17"/>
  <c r="D291" i="17"/>
  <c r="D289" i="17"/>
  <c r="C288" i="17"/>
  <c r="E306" i="17"/>
  <c r="E274" i="17"/>
  <c r="F274" i="17"/>
  <c r="C270" i="17"/>
  <c r="C300" i="17"/>
  <c r="F264" i="17"/>
  <c r="C265" i="17"/>
  <c r="C272" i="17"/>
  <c r="F205" i="17"/>
  <c r="F200" i="17"/>
  <c r="E124" i="17"/>
  <c r="F124" i="17"/>
  <c r="E102" i="17"/>
  <c r="F102" i="17"/>
  <c r="D103" i="17"/>
  <c r="E103" i="17"/>
  <c r="F206" i="17"/>
  <c r="C286" i="17"/>
  <c r="F283" i="17"/>
  <c r="C287" i="17"/>
  <c r="C284" i="17"/>
  <c r="C279" i="17"/>
  <c r="F277" i="17"/>
  <c r="C61" i="17"/>
  <c r="C195" i="17"/>
  <c r="C160" i="17"/>
  <c r="C125" i="17"/>
  <c r="C90" i="17"/>
  <c r="E173" i="17"/>
  <c r="F173" i="17"/>
  <c r="E48" i="17"/>
  <c r="F48" i="17"/>
  <c r="E160" i="17"/>
  <c r="D175" i="17"/>
  <c r="D62" i="17"/>
  <c r="D105" i="17"/>
  <c r="E181" i="17"/>
  <c r="F181" i="17"/>
  <c r="E60" i="17"/>
  <c r="F60" i="17"/>
  <c r="D273" i="17"/>
  <c r="D304" i="17"/>
  <c r="D255" i="17"/>
  <c r="E255" i="17"/>
  <c r="F255" i="17"/>
  <c r="E215" i="17"/>
  <c r="F215" i="17"/>
  <c r="E300" i="17"/>
  <c r="E269" i="17"/>
  <c r="F269" i="17"/>
  <c r="F285" i="17"/>
  <c r="E159" i="17"/>
  <c r="F159" i="17"/>
  <c r="D196" i="17"/>
  <c r="D161" i="17"/>
  <c r="D49" i="17"/>
  <c r="D91" i="17"/>
  <c r="D126" i="17"/>
  <c r="E21" i="17"/>
  <c r="D266" i="17"/>
  <c r="E278" i="17"/>
  <c r="F278" i="17"/>
  <c r="E272" i="17"/>
  <c r="C271" i="17"/>
  <c r="C268" i="17"/>
  <c r="F261" i="17"/>
  <c r="C263" i="17"/>
  <c r="F214" i="17"/>
  <c r="C216" i="17"/>
  <c r="C281" i="17"/>
  <c r="F280" i="17"/>
  <c r="D207" i="17"/>
  <c r="E137" i="17"/>
  <c r="F137" i="17"/>
  <c r="D138" i="17"/>
  <c r="E138" i="17"/>
  <c r="F138" i="17"/>
  <c r="C196" i="17"/>
  <c r="C161" i="17"/>
  <c r="C126" i="17"/>
  <c r="C91" i="17"/>
  <c r="F21" i="17"/>
  <c r="C49" i="17"/>
  <c r="E290" i="17"/>
  <c r="F290" i="17"/>
  <c r="F190" i="17"/>
  <c r="C32" i="17"/>
  <c r="E267" i="17"/>
  <c r="F267" i="17"/>
  <c r="C208" i="17"/>
  <c r="F103" i="17"/>
  <c r="D125" i="17"/>
  <c r="E125" i="17"/>
  <c r="D90" i="17"/>
  <c r="E90" i="17"/>
  <c r="E31" i="17"/>
  <c r="F31" i="17"/>
  <c r="E239" i="17"/>
  <c r="F239" i="17"/>
  <c r="E192" i="17"/>
  <c r="F192" i="17"/>
  <c r="E68" i="17"/>
  <c r="F68" i="17"/>
  <c r="D174" i="17"/>
  <c r="D139" i="17"/>
  <c r="E61" i="17"/>
  <c r="D104" i="17"/>
  <c r="E24" i="13"/>
  <c r="E20" i="13"/>
  <c r="E17" i="13"/>
  <c r="E28" i="13"/>
  <c r="C24" i="13"/>
  <c r="C20" i="13"/>
  <c r="C17" i="13"/>
  <c r="C28" i="13"/>
  <c r="F20" i="12"/>
  <c r="C34" i="12"/>
  <c r="D34" i="12"/>
  <c r="E20" i="12"/>
  <c r="F43" i="11"/>
  <c r="F207" i="9"/>
  <c r="E208" i="9"/>
  <c r="F208" i="9"/>
  <c r="D28" i="8"/>
  <c r="D112" i="8"/>
  <c r="D111" i="8"/>
  <c r="E24" i="8"/>
  <c r="E20" i="8"/>
  <c r="E17" i="8"/>
  <c r="C158" i="8"/>
  <c r="E141" i="8"/>
  <c r="E158" i="8"/>
  <c r="C141" i="8"/>
  <c r="C24" i="8"/>
  <c r="C20" i="8"/>
  <c r="C17" i="8"/>
  <c r="D141" i="8"/>
  <c r="D158" i="8"/>
  <c r="D35" i="5"/>
  <c r="E21" i="5"/>
  <c r="F21" i="5"/>
  <c r="C35" i="5"/>
  <c r="F43" i="4"/>
  <c r="E43" i="4"/>
  <c r="F41" i="4"/>
  <c r="D112" i="22"/>
  <c r="D55" i="22"/>
  <c r="D47" i="22"/>
  <c r="D37" i="22"/>
  <c r="E113" i="22"/>
  <c r="E56" i="22"/>
  <c r="E48" i="22"/>
  <c r="E38" i="22"/>
  <c r="C113" i="22"/>
  <c r="C56" i="22"/>
  <c r="C48" i="22"/>
  <c r="C38" i="22"/>
  <c r="E55" i="22"/>
  <c r="E47" i="22"/>
  <c r="E37" i="22"/>
  <c r="E112" i="22"/>
  <c r="C55" i="22"/>
  <c r="C47" i="22"/>
  <c r="C37" i="22"/>
  <c r="C112" i="22"/>
  <c r="D56" i="22"/>
  <c r="D48" i="22"/>
  <c r="D38" i="22"/>
  <c r="D113" i="22"/>
  <c r="C269" i="18"/>
  <c r="C268" i="18"/>
  <c r="E235" i="18"/>
  <c r="E306" i="18"/>
  <c r="D310" i="18"/>
  <c r="E310" i="18"/>
  <c r="E264" i="18"/>
  <c r="D266" i="18"/>
  <c r="E102" i="18"/>
  <c r="C105" i="18"/>
  <c r="D116" i="18"/>
  <c r="E211" i="18"/>
  <c r="E103" i="18"/>
  <c r="D91" i="18"/>
  <c r="E112" i="18"/>
  <c r="D129" i="18"/>
  <c r="D117" i="18"/>
  <c r="E113" i="18"/>
  <c r="D128" i="18"/>
  <c r="E122" i="18"/>
  <c r="C169" i="18"/>
  <c r="C181" i="18"/>
  <c r="E169" i="18"/>
  <c r="E181" i="18"/>
  <c r="C127" i="18"/>
  <c r="E127" i="18"/>
  <c r="C125" i="18"/>
  <c r="E125" i="18"/>
  <c r="C123" i="18"/>
  <c r="E123" i="18"/>
  <c r="C121" i="18"/>
  <c r="C114" i="18"/>
  <c r="E114" i="18"/>
  <c r="C112" i="18"/>
  <c r="C110" i="18"/>
  <c r="E110" i="18"/>
  <c r="C126" i="18"/>
  <c r="E126" i="18"/>
  <c r="C124" i="18"/>
  <c r="E124" i="18"/>
  <c r="C122" i="18"/>
  <c r="C115" i="18"/>
  <c r="E115" i="18"/>
  <c r="C113" i="18"/>
  <c r="C111" i="18"/>
  <c r="E111" i="18"/>
  <c r="C109" i="18"/>
  <c r="C140" i="17"/>
  <c r="C105" i="17"/>
  <c r="C210" i="17"/>
  <c r="C175" i="17"/>
  <c r="C62" i="17"/>
  <c r="C127" i="17"/>
  <c r="C273" i="17"/>
  <c r="E266" i="17"/>
  <c r="F266" i="17"/>
  <c r="D265" i="17"/>
  <c r="E265" i="17"/>
  <c r="F265" i="17"/>
  <c r="E126" i="17"/>
  <c r="F126" i="17"/>
  <c r="D127" i="17"/>
  <c r="D50" i="17"/>
  <c r="E49" i="17"/>
  <c r="D197" i="17"/>
  <c r="E196" i="17"/>
  <c r="F196" i="17"/>
  <c r="E273" i="17"/>
  <c r="E32" i="17"/>
  <c r="F32" i="17"/>
  <c r="D140" i="17"/>
  <c r="D176" i="17"/>
  <c r="E175" i="17"/>
  <c r="F125" i="17"/>
  <c r="C291" i="17"/>
  <c r="C289" i="17"/>
  <c r="E286" i="17"/>
  <c r="F286" i="17"/>
  <c r="F300" i="17"/>
  <c r="E270" i="17"/>
  <c r="F270" i="17"/>
  <c r="E279" i="17"/>
  <c r="F279" i="17"/>
  <c r="E291" i="17"/>
  <c r="D305" i="17"/>
  <c r="E194" i="17"/>
  <c r="F194" i="17"/>
  <c r="D195" i="17"/>
  <c r="E195" i="17"/>
  <c r="F195" i="17"/>
  <c r="E216" i="17"/>
  <c r="F216" i="17"/>
  <c r="F49" i="17"/>
  <c r="C50" i="17"/>
  <c r="C92" i="17"/>
  <c r="C162" i="17"/>
  <c r="D208" i="17"/>
  <c r="E207" i="17"/>
  <c r="F207" i="17"/>
  <c r="E268" i="17"/>
  <c r="F268" i="17"/>
  <c r="E91" i="17"/>
  <c r="F91" i="17"/>
  <c r="D92" i="17"/>
  <c r="D162" i="17"/>
  <c r="E161" i="17"/>
  <c r="F161" i="17"/>
  <c r="E263" i="17"/>
  <c r="F263" i="17"/>
  <c r="E304" i="17"/>
  <c r="F304" i="17"/>
  <c r="E271" i="17"/>
  <c r="F271" i="17"/>
  <c r="E105" i="17"/>
  <c r="D106" i="17"/>
  <c r="D63" i="17"/>
  <c r="E62" i="17"/>
  <c r="F90" i="17"/>
  <c r="F160" i="17"/>
  <c r="C139" i="17"/>
  <c r="E139" i="17"/>
  <c r="C104" i="17"/>
  <c r="F61" i="17"/>
  <c r="C209" i="17"/>
  <c r="C174" i="17"/>
  <c r="E174" i="17"/>
  <c r="E284" i="17"/>
  <c r="F284" i="17"/>
  <c r="F272" i="17"/>
  <c r="E288" i="17"/>
  <c r="F288" i="17"/>
  <c r="E289" i="17"/>
  <c r="E287" i="17"/>
  <c r="F287" i="17"/>
  <c r="E282" i="17"/>
  <c r="F282" i="17"/>
  <c r="D281" i="17"/>
  <c r="E281" i="17"/>
  <c r="F281" i="17"/>
  <c r="E254" i="17"/>
  <c r="F254" i="17"/>
  <c r="C70" i="13"/>
  <c r="C72" i="13"/>
  <c r="C69" i="13"/>
  <c r="C22" i="13"/>
  <c r="E70" i="13"/>
  <c r="E72" i="13"/>
  <c r="E69" i="13"/>
  <c r="E22" i="13"/>
  <c r="D42" i="12"/>
  <c r="E34" i="12"/>
  <c r="F34" i="12"/>
  <c r="C42" i="12"/>
  <c r="D99" i="8"/>
  <c r="D101" i="8"/>
  <c r="D98" i="8"/>
  <c r="D22" i="8"/>
  <c r="C112" i="8"/>
  <c r="C111" i="8"/>
  <c r="C28" i="8"/>
  <c r="E112" i="8"/>
  <c r="E111" i="8"/>
  <c r="E28" i="8"/>
  <c r="D43" i="5"/>
  <c r="E35" i="5"/>
  <c r="F35" i="5"/>
  <c r="C43" i="5"/>
  <c r="C117" i="18"/>
  <c r="E117" i="18"/>
  <c r="C128" i="18"/>
  <c r="C129" i="18"/>
  <c r="E128" i="18"/>
  <c r="E109" i="18"/>
  <c r="E121" i="18"/>
  <c r="E91" i="18"/>
  <c r="D105" i="18"/>
  <c r="E105" i="18"/>
  <c r="C271" i="18"/>
  <c r="C116" i="18"/>
  <c r="D131" i="18"/>
  <c r="E129" i="18"/>
  <c r="E116" i="18"/>
  <c r="E266" i="18"/>
  <c r="D267" i="18"/>
  <c r="E106" i="17"/>
  <c r="D323" i="17"/>
  <c r="D183" i="17"/>
  <c r="E162" i="17"/>
  <c r="F162" i="17"/>
  <c r="E208" i="17"/>
  <c r="F208" i="17"/>
  <c r="D210" i="17"/>
  <c r="D209" i="17"/>
  <c r="E209" i="17"/>
  <c r="F209" i="17"/>
  <c r="C113" i="17"/>
  <c r="D309" i="17"/>
  <c r="F289" i="17"/>
  <c r="E127" i="17"/>
  <c r="F127" i="17"/>
  <c r="F62" i="17"/>
  <c r="C63" i="17"/>
  <c r="C106" i="17"/>
  <c r="F105" i="17"/>
  <c r="F174" i="17"/>
  <c r="F139" i="17"/>
  <c r="E63" i="17"/>
  <c r="D324" i="17"/>
  <c r="E92" i="17"/>
  <c r="F92" i="17"/>
  <c r="D113" i="17"/>
  <c r="E113" i="17"/>
  <c r="C70" i="17"/>
  <c r="C305" i="17"/>
  <c r="F291" i="17"/>
  <c r="E140" i="17"/>
  <c r="D141" i="17"/>
  <c r="D148" i="17"/>
  <c r="D70" i="17"/>
  <c r="E70" i="17"/>
  <c r="E50" i="17"/>
  <c r="F50" i="17"/>
  <c r="F273" i="17"/>
  <c r="C197" i="17"/>
  <c r="F175" i="17"/>
  <c r="C176" i="17"/>
  <c r="C141" i="17"/>
  <c r="F140" i="17"/>
  <c r="E104" i="17"/>
  <c r="F104" i="17"/>
  <c r="D49" i="12"/>
  <c r="E42" i="12"/>
  <c r="F42" i="12"/>
  <c r="C49" i="12"/>
  <c r="E99" i="8"/>
  <c r="E101" i="8"/>
  <c r="E98" i="8"/>
  <c r="E22" i="8"/>
  <c r="C99" i="8"/>
  <c r="C101" i="8"/>
  <c r="C98" i="8"/>
  <c r="C22" i="8"/>
  <c r="D50" i="5"/>
  <c r="E50" i="5"/>
  <c r="E43" i="5"/>
  <c r="F43" i="5"/>
  <c r="C50" i="5"/>
  <c r="D269" i="18"/>
  <c r="E269" i="18"/>
  <c r="E267" i="18"/>
  <c r="D268" i="18"/>
  <c r="C131" i="18"/>
  <c r="E131" i="18"/>
  <c r="E197" i="17"/>
  <c r="F197" i="17"/>
  <c r="C309" i="17"/>
  <c r="E309" i="17"/>
  <c r="D310" i="17"/>
  <c r="F113" i="17"/>
  <c r="C322" i="17"/>
  <c r="C211" i="17"/>
  <c r="C148" i="17"/>
  <c r="D322" i="17"/>
  <c r="E322" i="17"/>
  <c r="E141" i="17"/>
  <c r="F141" i="17"/>
  <c r="F70" i="17"/>
  <c r="C183" i="17"/>
  <c r="C323" i="17"/>
  <c r="F106" i="17"/>
  <c r="F63" i="17"/>
  <c r="E176" i="17"/>
  <c r="F176" i="17"/>
  <c r="E305" i="17"/>
  <c r="F305" i="17"/>
  <c r="C324" i="17"/>
  <c r="D211" i="17"/>
  <c r="E211" i="17"/>
  <c r="E210" i="17"/>
  <c r="F210" i="17"/>
  <c r="E323" i="17"/>
  <c r="F49" i="12"/>
  <c r="E49" i="12"/>
  <c r="F50" i="5"/>
  <c r="D271" i="18"/>
  <c r="E271" i="18"/>
  <c r="E268" i="18"/>
  <c r="C325" i="17"/>
  <c r="F211" i="17"/>
  <c r="E183" i="17"/>
  <c r="F183" i="17"/>
  <c r="D312" i="17"/>
  <c r="E148" i="17"/>
  <c r="F148" i="17"/>
  <c r="D325" i="17"/>
  <c r="E325" i="17"/>
  <c r="F323" i="17"/>
  <c r="F322" i="17"/>
  <c r="E324" i="17"/>
  <c r="F324" i="17"/>
  <c r="F309" i="17"/>
  <c r="C310" i="17"/>
  <c r="C312" i="17"/>
  <c r="E310" i="17"/>
  <c r="F310" i="17"/>
  <c r="F325" i="17"/>
  <c r="D313" i="17"/>
  <c r="D315" i="17"/>
  <c r="D314" i="17"/>
  <c r="D251" i="17"/>
  <c r="D256" i="17"/>
  <c r="C313" i="17"/>
  <c r="E312" i="17"/>
  <c r="F312" i="17"/>
  <c r="C251" i="17"/>
  <c r="C314" i="17"/>
  <c r="C256" i="17"/>
  <c r="C315" i="17"/>
  <c r="D257" i="17"/>
  <c r="E313" i="17"/>
  <c r="F313" i="17"/>
  <c r="E315" i="17"/>
  <c r="E251" i="17"/>
  <c r="D318" i="17"/>
  <c r="E314" i="17"/>
  <c r="C257" i="17"/>
  <c r="F251" i="17"/>
  <c r="E256" i="17"/>
  <c r="F256" i="17"/>
  <c r="F315" i="17"/>
  <c r="F314" i="17"/>
  <c r="C318" i="17"/>
  <c r="E318" i="17"/>
  <c r="F318" i="17"/>
  <c r="E257" i="17"/>
  <c r="F257" i="17"/>
</calcChain>
</file>

<file path=xl/sharedStrings.xml><?xml version="1.0" encoding="utf-8"?>
<sst xmlns="http://schemas.openxmlformats.org/spreadsheetml/2006/main" count="2333" uniqueCount="1008">
  <si>
    <t>JOHN DEMPSEY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</si>
  <si>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</si>
  <si>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</si>
  <si>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</si>
  <si>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</si>
  <si>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</si>
  <si>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</si>
  <si>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</si>
  <si>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</si>
  <si>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</si>
  <si>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</si>
  <si>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</si>
  <si>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</si>
  <si>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</si>
  <si>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</si>
  <si>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</si>
  <si>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</si>
  <si>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</si>
  <si>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</si>
  <si>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</si>
  <si>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</si>
  <si>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</si>
  <si>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</si>
  <si>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</si>
  <si>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</si>
  <si>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</si>
  <si>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</si>
  <si>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</si>
  <si>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</si>
  <si>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</si>
  <si>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</si>
  <si>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</si>
  <si>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</si>
  <si>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</si>
  <si>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</si>
  <si>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</si>
  <si>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</si>
  <si>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</si>
  <si>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</si>
  <si>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</si>
  <si>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</si>
  <si>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</si>
  <si>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</si>
  <si>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</si>
  <si>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</si>
  <si>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</si>
  <si>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</si>
  <si>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</si>
  <si>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</si>
  <si>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</si>
  <si>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</si>
  <si>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</si>
  <si>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</si>
  <si>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</si>
  <si>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</si>
  <si>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</si>
  <si>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</si>
  <si>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</si>
  <si>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</si>
  <si>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</si>
  <si>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</si>
  <si>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</si>
  <si>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</si>
  <si>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</si>
  <si>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</si>
  <si>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</si>
  <si>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</si>
  <si>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</si>
  <si>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</si>
  <si>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</si>
  <si>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</si>
  <si>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</si>
  <si>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</si>
  <si>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</si>
  <si>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</si>
  <si>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</si>
  <si>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</si>
  <si>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</si>
  <si>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</si>
  <si>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</si>
  <si>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</si>
  <si>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</si>
  <si>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</si>
  <si>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</si>
  <si>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</si>
  <si>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</si>
  <si>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</si>
  <si>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</si>
  <si>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</si>
  <si>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</si>
  <si>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</si>
  <si>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</si>
  <si>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</si>
  <si>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</si>
  <si>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</si>
  <si>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</si>
  <si>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</si>
  <si>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</si>
  <si>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</si>
  <si>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</si>
  <si>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</si>
  <si>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</si>
  <si>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</si>
  <si>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</si>
  <si>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</si>
  <si>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</si>
  <si>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</si>
  <si>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</si>
  <si>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</si>
  <si>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</si>
  <si>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</si>
  <si>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</si>
  <si>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</si>
  <si>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</si>
  <si>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</si>
  <si>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</si>
  <si>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</si>
  <si>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</si>
  <si>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</si>
  <si>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</si>
  <si>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</si>
  <si>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</si>
  <si>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</si>
  <si>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</si>
  <si>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</si>
  <si>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</si>
  <si>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</si>
  <si>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</si>
  <si>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</si>
  <si>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</si>
  <si>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</si>
  <si>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</si>
  <si>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</si>
  <si>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</si>
  <si>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</si>
  <si>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</si>
  <si>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</si>
  <si>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</si>
  <si>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</si>
  <si>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</si>
  <si>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</si>
  <si>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</si>
  <si>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</si>
  <si>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</si>
  <si>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</si>
  <si>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</si>
  <si>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</si>
  <si>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</si>
  <si>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</si>
  <si>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</si>
  <si>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</si>
  <si>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</si>
  <si>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</si>
  <si>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</si>
  <si>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</si>
  <si>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</si>
  <si>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</si>
  <si>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</si>
  <si>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</si>
  <si>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</si>
  <si>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</si>
  <si>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</si>
  <si>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</si>
  <si>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</si>
  <si>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</si>
  <si>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</si>
  <si>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</si>
  <si>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</si>
  <si>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</si>
  <si>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</si>
  <si>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</si>
  <si>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</si>
  <si>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</si>
  <si>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</si>
  <si>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</si>
  <si>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</si>
  <si>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</si>
  <si>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</si>
  <si>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</si>
  <si>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</si>
  <si>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</si>
  <si>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</si>
  <si>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</si>
  <si>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</si>
  <si>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</si>
  <si>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</si>
  <si>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</si>
  <si>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</si>
  <si>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</si>
  <si>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</si>
  <si>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</si>
  <si>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</si>
  <si>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</si>
  <si>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</si>
  <si>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</si>
  <si>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</si>
  <si>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</si>
  <si>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</si>
  <si>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</si>
  <si>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</si>
  <si>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</si>
  <si>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</si>
  <si>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</si>
  <si>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</si>
  <si>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</si>
  <si>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</si>
  <si>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</si>
  <si>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</si>
  <si>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</si>
  <si>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</si>
  <si>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</si>
  <si>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</si>
  <si>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</si>
  <si>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</si>
  <si>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</si>
  <si>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</si>
  <si>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</si>
  <si>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</si>
  <si>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</si>
  <si>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</si>
  <si>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</si>
  <si>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</si>
  <si>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</si>
  <si>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</si>
  <si>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</si>
  <si>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</si>
  <si>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</si>
  <si>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</si>
  <si>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</si>
  <si>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</si>
  <si>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</si>
  <si>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</si>
  <si>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</si>
  <si>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</si>
  <si>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</si>
  <si>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</si>
  <si>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</si>
  <si>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</si>
  <si>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</si>
  <si>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</si>
  <si>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</si>
  <si>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</si>
  <si>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</si>
  <si>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</si>
  <si>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</si>
  <si>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</si>
  <si>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</si>
  <si>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</si>
  <si>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</si>
  <si>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</si>
  <si>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</si>
  <si>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</si>
  <si>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</si>
  <si>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</si>
  <si>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</si>
  <si>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</si>
  <si>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</si>
  <si>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</si>
  <si>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</si>
  <si>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</si>
  <si>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</si>
  <si>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</si>
  <si>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</si>
  <si>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</si>
  <si>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</si>
  <si>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</si>
  <si>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</si>
  <si>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</si>
  <si>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</si>
  <si>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</si>
  <si>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</si>
  <si>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</si>
  <si>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</si>
  <si>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</si>
  <si>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</si>
  <si>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</si>
  <si>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</si>
  <si>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</si>
  <si>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</si>
  <si>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</si>
  <si>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</si>
  <si>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</si>
  <si>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</si>
  <si>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</si>
  <si>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</si>
  <si>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</si>
  <si>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</si>
  <si>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</si>
  <si>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</si>
  <si>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</si>
  <si>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</si>
  <si>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</si>
  <si>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</si>
  <si>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</si>
  <si>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</si>
  <si>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</si>
  <si>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</si>
  <si>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</si>
  <si>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</si>
  <si>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</si>
  <si>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</si>
  <si>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</si>
  <si>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</si>
  <si>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</si>
  <si>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</si>
  <si>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</si>
  <si>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</si>
  <si>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</si>
  <si>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</si>
  <si>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</si>
  <si>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</si>
  <si>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</si>
  <si>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</si>
  <si>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</si>
  <si>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</si>
  <si>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</si>
  <si>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</si>
  <si>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</si>
  <si>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</si>
  <si>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</si>
  <si>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</si>
  <si>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</si>
  <si>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</si>
  <si>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</si>
  <si>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</si>
  <si>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</si>
  <si>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</si>
  <si>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</si>
  <si>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</si>
  <si>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</si>
  <si>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</si>
  <si>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</si>
  <si>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</si>
  <si>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</si>
  <si>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</si>
  <si>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</si>
  <si>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</si>
  <si>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</si>
  <si>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</si>
  <si>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</si>
  <si>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</si>
  <si>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</si>
  <si>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</si>
  <si>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</si>
  <si>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</si>
  <si>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</si>
  <si>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</si>
  <si>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</si>
  <si>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</si>
  <si>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</si>
  <si>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</si>
  <si>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</si>
  <si>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</si>
  <si>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</si>
  <si>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</si>
  <si>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</si>
  <si>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</si>
  <si>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</si>
  <si>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</si>
  <si>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</si>
  <si>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</si>
  <si>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</si>
  <si>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</si>
  <si>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</si>
  <si>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</si>
  <si>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</si>
  <si>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</si>
  <si>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</si>
  <si>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</si>
  <si>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</si>
  <si>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</si>
  <si>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</si>
  <si>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</si>
  <si>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</si>
  <si>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</si>
  <si>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</si>
  <si>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</si>
  <si>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</si>
  <si>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</si>
  <si>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</si>
  <si>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</si>
  <si>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</si>
  <si>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</si>
  <si>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</si>
  <si>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</si>
  <si>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</si>
  <si>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</si>
  <si>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</si>
  <si>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</si>
  <si>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</si>
  <si>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</si>
  <si>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</si>
  <si>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</si>
  <si>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</si>
  <si>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</si>
  <si>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</si>
  <si>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</si>
  <si>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</si>
  <si>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</si>
  <si>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</si>
  <si>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</si>
  <si>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</si>
  <si>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</si>
  <si>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</si>
  <si>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</si>
  <si>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</si>
  <si>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</si>
  <si>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</si>
  <si>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</si>
  <si>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</si>
  <si>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</si>
  <si>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</si>
  <si>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</si>
  <si>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</si>
  <si>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</si>
  <si>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</si>
  <si>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</si>
  <si>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</si>
  <si>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</si>
  <si>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</si>
  <si>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</si>
  <si>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</si>
  <si>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</si>
  <si>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</si>
  <si>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</si>
  <si>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</si>
  <si>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</si>
  <si>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</si>
  <si>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</si>
  <si>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</si>
  <si>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</si>
  <si>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</si>
  <si>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</si>
  <si>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</si>
  <si>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</si>
  <si>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</si>
  <si>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</si>
  <si>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</si>
  <si>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</si>
  <si>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</si>
  <si>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</si>
  <si>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</si>
  <si>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</si>
  <si>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</si>
  <si>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</si>
  <si>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</si>
  <si>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</si>
  <si>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</si>
  <si>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</si>
  <si>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</si>
  <si>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</si>
  <si>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</si>
  <si>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</si>
  <si>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</si>
  <si>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</si>
  <si>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</si>
  <si>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</si>
  <si>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</si>
  <si>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</si>
  <si>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</si>
  <si>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</si>
  <si>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</si>
  <si>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</si>
  <si>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</si>
  <si>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</si>
  <si>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</si>
  <si>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</si>
  <si>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</si>
  <si>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</si>
  <si>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</si>
  <si>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</si>
  <si>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</si>
  <si>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</si>
  <si>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</si>
  <si>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</si>
  <si>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</si>
  <si>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</si>
  <si>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</si>
  <si>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</si>
  <si>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</si>
  <si>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</si>
  <si>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</si>
  <si>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</si>
  <si>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</si>
  <si>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</si>
  <si>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</si>
  <si>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</si>
  <si>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</si>
  <si>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</si>
  <si>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</si>
  <si>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</si>
  <si>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</si>
  <si>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</si>
  <si>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</si>
  <si>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</si>
  <si>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</si>
  <si>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</si>
  <si>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</si>
  <si>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</si>
  <si>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</si>
  <si>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UNIVERSITY OF CONNECTICUT HEALTH CENTER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</si>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</sst>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0</v>
      </c>
      <c r="D13" s="22">
        <v>0</v>
      </c>
      <c r="E13" s="22">
        <f t="shared" ref="E13:E22" si="0">D13-C13</f>
        <v>0</v>
      </c>
      <c r="F13" s="23">
        <f t="shared" ref="F13:F22" si="1">IF(C13=0,0,E13/C13)</f>
        <v>0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37017707</v>
      </c>
      <c r="D15" s="22">
        <v>33443105</v>
      </c>
      <c r="E15" s="22">
        <f t="shared" si="0"/>
        <v>-3574602</v>
      </c>
      <c r="F15" s="23">
        <f t="shared" si="1"/>
        <v>-9.6564652154170441E-2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7710122</v>
      </c>
      <c r="E17" s="22">
        <f t="shared" si="0"/>
        <v>7710122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8234194</v>
      </c>
      <c r="D19" s="22">
        <v>7660191</v>
      </c>
      <c r="E19" s="22">
        <f t="shared" si="0"/>
        <v>-574003</v>
      </c>
      <c r="F19" s="23">
        <f t="shared" si="1"/>
        <v>-6.9709676502642523E-2</v>
      </c>
    </row>
    <row r="20" spans="1:11" ht="24" customHeight="1" x14ac:dyDescent="0.2">
      <c r="A20" s="20">
        <v>8</v>
      </c>
      <c r="B20" s="21" t="s">
        <v>23</v>
      </c>
      <c r="C20" s="22">
        <v>3296041</v>
      </c>
      <c r="D20" s="22">
        <v>4191603</v>
      </c>
      <c r="E20" s="22">
        <f t="shared" si="0"/>
        <v>895562</v>
      </c>
      <c r="F20" s="23">
        <f t="shared" si="1"/>
        <v>0.2717083919769202</v>
      </c>
    </row>
    <row r="21" spans="1:11" ht="24" customHeight="1" x14ac:dyDescent="0.2">
      <c r="A21" s="20">
        <v>9</v>
      </c>
      <c r="B21" s="21" t="s">
        <v>24</v>
      </c>
      <c r="C21" s="22">
        <v>5986596</v>
      </c>
      <c r="D21" s="22">
        <v>14318504</v>
      </c>
      <c r="E21" s="22">
        <f t="shared" si="0"/>
        <v>8331908</v>
      </c>
      <c r="F21" s="23">
        <f t="shared" si="1"/>
        <v>1.3917605263491974</v>
      </c>
    </row>
    <row r="22" spans="1:11" ht="24" customHeight="1" x14ac:dyDescent="0.25">
      <c r="A22" s="24"/>
      <c r="B22" s="25" t="s">
        <v>25</v>
      </c>
      <c r="C22" s="26">
        <f>SUM(C13:C21)</f>
        <v>54534538</v>
      </c>
      <c r="D22" s="26">
        <f>SUM(D13:D21)</f>
        <v>67323525</v>
      </c>
      <c r="E22" s="26">
        <f t="shared" si="0"/>
        <v>12788987</v>
      </c>
      <c r="F22" s="27">
        <f t="shared" si="1"/>
        <v>0.23451169605580963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0</v>
      </c>
      <c r="D29" s="26">
        <f>SUM(D25:D28)</f>
        <v>0</v>
      </c>
      <c r="E29" s="26">
        <f>D29-C29</f>
        <v>0</v>
      </c>
      <c r="F29" s="27">
        <f>IF(C29=0,0,E29/C29)</f>
        <v>0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17341455</v>
      </c>
      <c r="D33" s="22">
        <v>9702425</v>
      </c>
      <c r="E33" s="22">
        <f>D33-C33</f>
        <v>-7639030</v>
      </c>
      <c r="F33" s="23">
        <f>IF(C33=0,0,E33/C33)</f>
        <v>-0.44050686635002656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196639038</v>
      </c>
      <c r="D36" s="22">
        <v>179114176</v>
      </c>
      <c r="E36" s="22">
        <f>D36-C36</f>
        <v>-17524862</v>
      </c>
      <c r="F36" s="23">
        <f>IF(C36=0,0,E36/C36)</f>
        <v>-8.9121988076446959E-2</v>
      </c>
    </row>
    <row r="37" spans="1:8" ht="24" customHeight="1" x14ac:dyDescent="0.2">
      <c r="A37" s="20">
        <v>2</v>
      </c>
      <c r="B37" s="21" t="s">
        <v>39</v>
      </c>
      <c r="C37" s="22">
        <v>153753524</v>
      </c>
      <c r="D37" s="22">
        <v>139211725</v>
      </c>
      <c r="E37" s="22">
        <f>D37-C37</f>
        <v>-14541799</v>
      </c>
      <c r="F37" s="23">
        <f>IF(C37=0,0,E37/C37)</f>
        <v>-9.4578638730908049E-2</v>
      </c>
    </row>
    <row r="38" spans="1:8" ht="24" customHeight="1" x14ac:dyDescent="0.25">
      <c r="A38" s="24"/>
      <c r="B38" s="25" t="s">
        <v>40</v>
      </c>
      <c r="C38" s="26">
        <f>C36-C37</f>
        <v>42885514</v>
      </c>
      <c r="D38" s="26">
        <f>D36-D37</f>
        <v>39902451</v>
      </c>
      <c r="E38" s="26">
        <f>D38-C38</f>
        <v>-2983063</v>
      </c>
      <c r="F38" s="27">
        <f>IF(C38=0,0,E38/C38)</f>
        <v>-6.9558755900652136E-2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12904730</v>
      </c>
      <c r="D40" s="22">
        <v>11801640</v>
      </c>
      <c r="E40" s="22">
        <f>D40-C40</f>
        <v>-1103090</v>
      </c>
      <c r="F40" s="23">
        <f>IF(C40=0,0,E40/C40)</f>
        <v>-8.5479510226095387E-2</v>
      </c>
    </row>
    <row r="41" spans="1:8" ht="24" customHeight="1" x14ac:dyDescent="0.25">
      <c r="A41" s="24"/>
      <c r="B41" s="25" t="s">
        <v>42</v>
      </c>
      <c r="C41" s="26">
        <f>+C38+C40</f>
        <v>55790244</v>
      </c>
      <c r="D41" s="26">
        <f>+D38+D40</f>
        <v>51704091</v>
      </c>
      <c r="E41" s="26">
        <f>D41-C41</f>
        <v>-4086153</v>
      </c>
      <c r="F41" s="27">
        <f>IF(C41=0,0,E41/C41)</f>
        <v>-7.3241353810892099E-2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127666237</v>
      </c>
      <c r="D43" s="26">
        <f>D22+D29+D31+D32+D33+D41</f>
        <v>128730041</v>
      </c>
      <c r="E43" s="26">
        <f>D43-C43</f>
        <v>1063804</v>
      </c>
      <c r="F43" s="27">
        <f>IF(C43=0,0,E43/C43)</f>
        <v>8.3326964512943236E-3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9877274</v>
      </c>
      <c r="D49" s="22">
        <v>9737077</v>
      </c>
      <c r="E49" s="22">
        <f t="shared" ref="E49:E56" si="2">D49-C49</f>
        <v>-140197</v>
      </c>
      <c r="F49" s="23">
        <f t="shared" ref="F49:F56" si="3">IF(C49=0,0,E49/C49)</f>
        <v>-1.4193896008149617E-2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4917699</v>
      </c>
      <c r="D50" s="22">
        <v>4973857</v>
      </c>
      <c r="E50" s="22">
        <f t="shared" si="2"/>
        <v>56158</v>
      </c>
      <c r="F50" s="23">
        <f t="shared" si="3"/>
        <v>1.1419568379439245E-2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2713960</v>
      </c>
      <c r="D51" s="22">
        <v>4491574</v>
      </c>
      <c r="E51" s="22">
        <f t="shared" si="2"/>
        <v>1777614</v>
      </c>
      <c r="F51" s="23">
        <f t="shared" si="3"/>
        <v>0.65498901973499979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0</v>
      </c>
      <c r="D53" s="22">
        <v>0</v>
      </c>
      <c r="E53" s="22">
        <f t="shared" si="2"/>
        <v>0</v>
      </c>
      <c r="F53" s="23">
        <f t="shared" si="3"/>
        <v>0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21762592</v>
      </c>
      <c r="D55" s="22">
        <v>29621960</v>
      </c>
      <c r="E55" s="22">
        <f t="shared" si="2"/>
        <v>7859368</v>
      </c>
      <c r="F55" s="23">
        <f t="shared" si="3"/>
        <v>0.36114117288969988</v>
      </c>
    </row>
    <row r="56" spans="1:6" ht="24" customHeight="1" x14ac:dyDescent="0.25">
      <c r="A56" s="24"/>
      <c r="B56" s="25" t="s">
        <v>54</v>
      </c>
      <c r="C56" s="26">
        <f>SUM(C49:C55)</f>
        <v>39271525</v>
      </c>
      <c r="D56" s="26">
        <f>SUM(D49:D55)</f>
        <v>48824468</v>
      </c>
      <c r="E56" s="26">
        <f t="shared" si="2"/>
        <v>9552943</v>
      </c>
      <c r="F56" s="27">
        <f t="shared" si="3"/>
        <v>0.24325368062482933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0</v>
      </c>
      <c r="D61" s="26">
        <f>SUM(D59:D60)</f>
        <v>0</v>
      </c>
      <c r="E61" s="26">
        <f>D61-C61</f>
        <v>0</v>
      </c>
      <c r="F61" s="27">
        <f>IF(C61=0,0,E61/C61)</f>
        <v>0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8720114</v>
      </c>
      <c r="D63" s="22">
        <v>8550544</v>
      </c>
      <c r="E63" s="22">
        <f>D63-C63</f>
        <v>-169570</v>
      </c>
      <c r="F63" s="23">
        <f>IF(C63=0,0,E63/C63)</f>
        <v>-1.9445846694206063E-2</v>
      </c>
    </row>
    <row r="64" spans="1:6" ht="24" customHeight="1" x14ac:dyDescent="0.2">
      <c r="A64" s="20">
        <v>4</v>
      </c>
      <c r="B64" s="21" t="s">
        <v>60</v>
      </c>
      <c r="C64" s="22">
        <v>0</v>
      </c>
      <c r="D64" s="22">
        <v>0</v>
      </c>
      <c r="E64" s="22">
        <f>D64-C64</f>
        <v>0</v>
      </c>
      <c r="F64" s="23">
        <f>IF(C64=0,0,E64/C64)</f>
        <v>0</v>
      </c>
    </row>
    <row r="65" spans="1:6" ht="24" customHeight="1" x14ac:dyDescent="0.25">
      <c r="A65" s="24"/>
      <c r="B65" s="25" t="s">
        <v>61</v>
      </c>
      <c r="C65" s="26">
        <f>SUM(C61:C64)</f>
        <v>8720114</v>
      </c>
      <c r="D65" s="26">
        <f>SUM(D61:D64)</f>
        <v>8550544</v>
      </c>
      <c r="E65" s="26">
        <f>D65-C65</f>
        <v>-169570</v>
      </c>
      <c r="F65" s="27">
        <f>IF(C65=0,0,E65/C65)</f>
        <v>-1.9445846694206063E-2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79674598</v>
      </c>
      <c r="D70" s="22">
        <v>71355029</v>
      </c>
      <c r="E70" s="22">
        <f>D70-C70</f>
        <v>-8319569</v>
      </c>
      <c r="F70" s="23">
        <f>IF(C70=0,0,E70/C70)</f>
        <v>-0.10441934077910252</v>
      </c>
    </row>
    <row r="71" spans="1:6" ht="24" customHeight="1" x14ac:dyDescent="0.2">
      <c r="A71" s="20">
        <v>2</v>
      </c>
      <c r="B71" s="21" t="s">
        <v>65</v>
      </c>
      <c r="C71" s="22">
        <v>0</v>
      </c>
      <c r="D71" s="22">
        <v>0</v>
      </c>
      <c r="E71" s="22">
        <f>D71-C71</f>
        <v>0</v>
      </c>
      <c r="F71" s="23">
        <f>IF(C71=0,0,E71/C71)</f>
        <v>0</v>
      </c>
    </row>
    <row r="72" spans="1:6" ht="24" customHeight="1" x14ac:dyDescent="0.2">
      <c r="A72" s="20">
        <v>3</v>
      </c>
      <c r="B72" s="21" t="s">
        <v>66</v>
      </c>
      <c r="C72" s="22">
        <v>0</v>
      </c>
      <c r="D72" s="22">
        <v>0</v>
      </c>
      <c r="E72" s="22">
        <f>D72-C72</f>
        <v>0</v>
      </c>
      <c r="F72" s="23">
        <f>IF(C72=0,0,E72/C72)</f>
        <v>0</v>
      </c>
    </row>
    <row r="73" spans="1:6" ht="24" customHeight="1" x14ac:dyDescent="0.25">
      <c r="A73" s="20"/>
      <c r="B73" s="25" t="s">
        <v>67</v>
      </c>
      <c r="C73" s="26">
        <f>SUM(C70:C72)</f>
        <v>79674598</v>
      </c>
      <c r="D73" s="26">
        <f>SUM(D70:D72)</f>
        <v>71355029</v>
      </c>
      <c r="E73" s="26">
        <f>D73-C73</f>
        <v>-8319569</v>
      </c>
      <c r="F73" s="27">
        <f>IF(C73=0,0,E73/C73)</f>
        <v>-0.10441934077910252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127666237</v>
      </c>
      <c r="D75" s="26">
        <f>D56+D65+D67+D73</f>
        <v>128730041</v>
      </c>
      <c r="E75" s="26">
        <f>D75-C75</f>
        <v>1063804</v>
      </c>
      <c r="F75" s="27">
        <f>IF(C75=0,0,E75/C75)</f>
        <v>8.3326964512943236E-3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436437254</v>
      </c>
      <c r="D11" s="76">
        <v>432031821</v>
      </c>
      <c r="E11" s="76">
        <v>450315219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192070000</v>
      </c>
      <c r="D12" s="185">
        <v>204630000</v>
      </c>
      <c r="E12" s="185">
        <v>208895000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628507254</v>
      </c>
      <c r="D13" s="76">
        <f>+D11+D12</f>
        <v>636661821</v>
      </c>
      <c r="E13" s="76">
        <f>+E11+E12</f>
        <v>659210219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838245254</v>
      </c>
      <c r="D14" s="185">
        <v>864156821</v>
      </c>
      <c r="E14" s="185">
        <v>945312704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-209738000</v>
      </c>
      <c r="D15" s="76">
        <f>+D13-D14</f>
        <v>-227495000</v>
      </c>
      <c r="E15" s="76">
        <f>+E13-E14</f>
        <v>-286102485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273250000</v>
      </c>
      <c r="D16" s="185">
        <v>222103000</v>
      </c>
      <c r="E16" s="185">
        <v>465166000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63512000</v>
      </c>
      <c r="D17" s="76">
        <f>D15+D16</f>
        <v>-5392000</v>
      </c>
      <c r="E17" s="76">
        <f>E15+E16</f>
        <v>179063515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-0.2325880929370378</v>
      </c>
      <c r="D20" s="189">
        <f>IF(+D27=0,0,+D24/+D27)</f>
        <v>-0.264909547336942</v>
      </c>
      <c r="E20" s="189">
        <f>IF(+E27=0,0,+E24/+E27)</f>
        <v>-0.2544544078444263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0.3030194642603895</v>
      </c>
      <c r="D21" s="189">
        <f>IF(+D27=0,0,+D26/+D27)</f>
        <v>0.25863076196038076</v>
      </c>
      <c r="E21" s="189">
        <f>IF(+E27=0,0,+E26/+E27)</f>
        <v>0.41371027965506979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7.0431371323351727E-2</v>
      </c>
      <c r="D22" s="189">
        <f>IF(+D27=0,0,+D28/+D27)</f>
        <v>-6.2787853765612044E-3</v>
      </c>
      <c r="E22" s="189">
        <f>IF(+E27=0,0,+E28/+E27)</f>
        <v>0.15925587181064349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-209738000</v>
      </c>
      <c r="D24" s="76">
        <f>+D15</f>
        <v>-227495000</v>
      </c>
      <c r="E24" s="76">
        <f>+E15</f>
        <v>-286102485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628507254</v>
      </c>
      <c r="D25" s="76">
        <f>+D13</f>
        <v>636661821</v>
      </c>
      <c r="E25" s="76">
        <f>+E13</f>
        <v>659210219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273250000</v>
      </c>
      <c r="D26" s="76">
        <f>+D16</f>
        <v>222103000</v>
      </c>
      <c r="E26" s="76">
        <f>+E16</f>
        <v>465166000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901757254</v>
      </c>
      <c r="D27" s="76">
        <f>SUM(D25:D26)</f>
        <v>858764821</v>
      </c>
      <c r="E27" s="76">
        <f>SUM(E25:E26)</f>
        <v>1124376219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63512000</v>
      </c>
      <c r="D28" s="76">
        <f>+D17</f>
        <v>-5392000</v>
      </c>
      <c r="E28" s="76">
        <f>+E17</f>
        <v>179063515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45288000</v>
      </c>
      <c r="D31" s="76">
        <v>29049000</v>
      </c>
      <c r="E31" s="76">
        <v>17703000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403122181</v>
      </c>
      <c r="D32" s="76">
        <v>397730000</v>
      </c>
      <c r="E32" s="76">
        <v>576794000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63512181</v>
      </c>
      <c r="D33" s="76">
        <f>+D32-C32</f>
        <v>-5392181</v>
      </c>
      <c r="E33" s="76">
        <f>+E32-D32</f>
        <v>179064000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1.1870000000000001</v>
      </c>
      <c r="D34" s="193">
        <f>IF(C32=0,0,+D33/C32)</f>
        <v>-1.337604640514683E-2</v>
      </c>
      <c r="E34" s="193">
        <f>IF(D32=0,0,+E33/D32)</f>
        <v>0.45021496995449173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2.3911824334547069</v>
      </c>
      <c r="D38" s="338">
        <f>IF(+D40=0,0,+D39/+D40)</f>
        <v>2.0544777706870878</v>
      </c>
      <c r="E38" s="338">
        <f>IF(+E40=0,0,+E39/+E40)</f>
        <v>2.9470345553477619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237069000</v>
      </c>
      <c r="D39" s="341">
        <v>193162000</v>
      </c>
      <c r="E39" s="341">
        <v>313591000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99143000</v>
      </c>
      <c r="D40" s="341">
        <v>94020000</v>
      </c>
      <c r="E40" s="341">
        <v>106409000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38.122533347774976</v>
      </c>
      <c r="D42" s="343">
        <f>IF((D48/365)=0,0,+D45/(D48/365))</f>
        <v>20.270540988492563</v>
      </c>
      <c r="E42" s="343">
        <f>IF((E48/365)=0,0,+E45/(E48/365))</f>
        <v>18.358142044189137</v>
      </c>
    </row>
    <row r="43" spans="1:14" ht="24" customHeight="1" x14ac:dyDescent="0.2">
      <c r="A43" s="339">
        <v>5</v>
      </c>
      <c r="B43" s="344" t="s">
        <v>16</v>
      </c>
      <c r="C43" s="345">
        <v>84404000</v>
      </c>
      <c r="D43" s="345">
        <v>46236000</v>
      </c>
      <c r="E43" s="345">
        <v>45897000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84404000</v>
      </c>
      <c r="D45" s="341">
        <f>+D43+D44</f>
        <v>46236000</v>
      </c>
      <c r="E45" s="341">
        <f>+E43+E44</f>
        <v>45897000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838245254</v>
      </c>
      <c r="D46" s="341">
        <f>+D14</f>
        <v>864156821</v>
      </c>
      <c r="E46" s="341">
        <f>+E14</f>
        <v>945312704</v>
      </c>
    </row>
    <row r="47" spans="1:14" ht="24" customHeight="1" x14ac:dyDescent="0.2">
      <c r="A47" s="339">
        <v>9</v>
      </c>
      <c r="B47" s="340" t="s">
        <v>356</v>
      </c>
      <c r="C47" s="341">
        <v>30128445</v>
      </c>
      <c r="D47" s="341">
        <v>31611700</v>
      </c>
      <c r="E47" s="341">
        <v>32780000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808116809</v>
      </c>
      <c r="D48" s="341">
        <f>+D46-D47</f>
        <v>832545121</v>
      </c>
      <c r="E48" s="341">
        <f>+E46-E47</f>
        <v>912532704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28.743387245306053</v>
      </c>
      <c r="D50" s="350">
        <f>IF((D55/365)=0,0,+D54/(D55/365))</f>
        <v>37.848219055142238</v>
      </c>
      <c r="E50" s="350">
        <f>IF((E55/365)=0,0,+E54/(E55/365))</f>
        <v>31.84543714033347</v>
      </c>
    </row>
    <row r="51" spans="1:5" ht="24" customHeight="1" x14ac:dyDescent="0.2">
      <c r="A51" s="339">
        <v>12</v>
      </c>
      <c r="B51" s="344" t="s">
        <v>359</v>
      </c>
      <c r="C51" s="351">
        <v>41110000</v>
      </c>
      <c r="D51" s="351">
        <v>47513000</v>
      </c>
      <c r="E51" s="351">
        <v>43781000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6741000</v>
      </c>
      <c r="D53" s="341">
        <v>2714000</v>
      </c>
      <c r="E53" s="341">
        <v>4492000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34369000</v>
      </c>
      <c r="D54" s="352">
        <f>+D51+D52-D53</f>
        <v>44799000</v>
      </c>
      <c r="E54" s="352">
        <f>+E51+E52-E53</f>
        <v>39289000</v>
      </c>
    </row>
    <row r="55" spans="1:5" ht="24" customHeight="1" x14ac:dyDescent="0.2">
      <c r="A55" s="339">
        <v>16</v>
      </c>
      <c r="B55" s="340" t="s">
        <v>75</v>
      </c>
      <c r="C55" s="341">
        <f>+C11</f>
        <v>436437254</v>
      </c>
      <c r="D55" s="341">
        <f>+D11</f>
        <v>432031821</v>
      </c>
      <c r="E55" s="341">
        <f>+E11</f>
        <v>450315219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44.779658827762361</v>
      </c>
      <c r="D57" s="355">
        <f>IF((D61/365)=0,0,+D58/(D61/365))</f>
        <v>41.219747896402609</v>
      </c>
      <c r="E57" s="355">
        <f>IF((E61/365)=0,0,+E58/(E61/365))</f>
        <v>42.562074575247223</v>
      </c>
    </row>
    <row r="58" spans="1:5" ht="24" customHeight="1" x14ac:dyDescent="0.2">
      <c r="A58" s="339">
        <v>18</v>
      </c>
      <c r="B58" s="340" t="s">
        <v>54</v>
      </c>
      <c r="C58" s="353">
        <f>+C40</f>
        <v>99143000</v>
      </c>
      <c r="D58" s="353">
        <f>+D40</f>
        <v>94020000</v>
      </c>
      <c r="E58" s="353">
        <f>+E40</f>
        <v>106409000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838245254</v>
      </c>
      <c r="D59" s="353">
        <f t="shared" si="0"/>
        <v>864156821</v>
      </c>
      <c r="E59" s="353">
        <f t="shared" si="0"/>
        <v>945312704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30128445</v>
      </c>
      <c r="D60" s="356">
        <f t="shared" si="0"/>
        <v>31611700</v>
      </c>
      <c r="E60" s="356">
        <f t="shared" si="0"/>
        <v>32780000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808116809</v>
      </c>
      <c r="D61" s="353">
        <f>+D59-D60</f>
        <v>832545121</v>
      </c>
      <c r="E61" s="353">
        <f>+E59-E60</f>
        <v>912532704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71.729136551969702</v>
      </c>
      <c r="D65" s="357">
        <f>IF(D67=0,0,(D66/D67)*100)</f>
        <v>66.53295282321335</v>
      </c>
      <c r="E65" s="357">
        <f>IF(E67=0,0,(E66/E67)*100)</f>
        <v>64.447193087720819</v>
      </c>
    </row>
    <row r="66" spans="1:5" ht="24" customHeight="1" x14ac:dyDescent="0.2">
      <c r="A66" s="339">
        <v>2</v>
      </c>
      <c r="B66" s="340" t="s">
        <v>67</v>
      </c>
      <c r="C66" s="353">
        <f>+C32</f>
        <v>403122181</v>
      </c>
      <c r="D66" s="353">
        <f>+D32</f>
        <v>397730000</v>
      </c>
      <c r="E66" s="353">
        <f>+E32</f>
        <v>576794000</v>
      </c>
    </row>
    <row r="67" spans="1:5" ht="24" customHeight="1" x14ac:dyDescent="0.2">
      <c r="A67" s="339">
        <v>3</v>
      </c>
      <c r="B67" s="340" t="s">
        <v>43</v>
      </c>
      <c r="C67" s="353">
        <v>562006181</v>
      </c>
      <c r="D67" s="353">
        <v>597794000</v>
      </c>
      <c r="E67" s="353">
        <v>894987000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81.089423959542074</v>
      </c>
      <c r="D69" s="357">
        <f>IF(D75=0,0,(D72/D75)*100)</f>
        <v>16.818173071372218</v>
      </c>
      <c r="E69" s="357">
        <f>IF(E75=0,0,(E72/E75)*100)</f>
        <v>77.796695972148783</v>
      </c>
    </row>
    <row r="70" spans="1:5" ht="24" customHeight="1" x14ac:dyDescent="0.2">
      <c r="A70" s="339">
        <v>5</v>
      </c>
      <c r="B70" s="340" t="s">
        <v>366</v>
      </c>
      <c r="C70" s="353">
        <f>+C28</f>
        <v>63512000</v>
      </c>
      <c r="D70" s="353">
        <f>+D28</f>
        <v>-5392000</v>
      </c>
      <c r="E70" s="353">
        <f>+E28</f>
        <v>179063515</v>
      </c>
    </row>
    <row r="71" spans="1:5" ht="24" customHeight="1" x14ac:dyDescent="0.2">
      <c r="A71" s="339">
        <v>6</v>
      </c>
      <c r="B71" s="340" t="s">
        <v>356</v>
      </c>
      <c r="C71" s="356">
        <f>+C47</f>
        <v>30128445</v>
      </c>
      <c r="D71" s="356">
        <f>+D47</f>
        <v>31611700</v>
      </c>
      <c r="E71" s="356">
        <f>+E47</f>
        <v>32780000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93640445</v>
      </c>
      <c r="D72" s="353">
        <f>+D70+D71</f>
        <v>26219700</v>
      </c>
      <c r="E72" s="353">
        <f>+E70+E71</f>
        <v>211843515</v>
      </c>
    </row>
    <row r="73" spans="1:5" ht="24" customHeight="1" x14ac:dyDescent="0.2">
      <c r="A73" s="339">
        <v>8</v>
      </c>
      <c r="B73" s="340" t="s">
        <v>54</v>
      </c>
      <c r="C73" s="341">
        <f>+C40</f>
        <v>99143000</v>
      </c>
      <c r="D73" s="341">
        <f>+D40</f>
        <v>94020000</v>
      </c>
      <c r="E73" s="341">
        <f>+E40</f>
        <v>106409000</v>
      </c>
    </row>
    <row r="74" spans="1:5" ht="24" customHeight="1" x14ac:dyDescent="0.2">
      <c r="A74" s="339">
        <v>9</v>
      </c>
      <c r="B74" s="340" t="s">
        <v>58</v>
      </c>
      <c r="C74" s="353">
        <v>16335000</v>
      </c>
      <c r="D74" s="353">
        <v>61881000</v>
      </c>
      <c r="E74" s="353">
        <v>165895000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115478000</v>
      </c>
      <c r="D75" s="341">
        <f>+D73+D74</f>
        <v>155901000</v>
      </c>
      <c r="E75" s="341">
        <f>+E73+E74</f>
        <v>272304000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3.8943188339407637</v>
      </c>
      <c r="D77" s="359">
        <f>IF(D80=0,0,(D78/D80)*100)</f>
        <v>13.463776976617185</v>
      </c>
      <c r="E77" s="359">
        <f>IF(E80=0,0,(E78/E80)*100)</f>
        <v>22.337075141815752</v>
      </c>
    </row>
    <row r="78" spans="1:5" ht="24" customHeight="1" x14ac:dyDescent="0.2">
      <c r="A78" s="339">
        <v>12</v>
      </c>
      <c r="B78" s="340" t="s">
        <v>58</v>
      </c>
      <c r="C78" s="341">
        <f>+C74</f>
        <v>16335000</v>
      </c>
      <c r="D78" s="341">
        <f>+D74</f>
        <v>61881000</v>
      </c>
      <c r="E78" s="341">
        <f>+E74</f>
        <v>165895000</v>
      </c>
    </row>
    <row r="79" spans="1:5" ht="24" customHeight="1" x14ac:dyDescent="0.2">
      <c r="A79" s="339">
        <v>13</v>
      </c>
      <c r="B79" s="340" t="s">
        <v>67</v>
      </c>
      <c r="C79" s="341">
        <f>+C32</f>
        <v>403122181</v>
      </c>
      <c r="D79" s="341">
        <f>+D32</f>
        <v>397730000</v>
      </c>
      <c r="E79" s="341">
        <f>+E32</f>
        <v>576794000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419457181</v>
      </c>
      <c r="D80" s="341">
        <f>+D78+D79</f>
        <v>459611000</v>
      </c>
      <c r="E80" s="341">
        <f>+E78+E79</f>
        <v>742689000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FILING&amp;R&amp;8UNIVERSITY OF CONNECTICUT HEALTH CENTER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25700</v>
      </c>
      <c r="D11" s="376">
        <v>5916</v>
      </c>
      <c r="E11" s="376">
        <v>5955</v>
      </c>
      <c r="F11" s="377">
        <v>100</v>
      </c>
      <c r="G11" s="377">
        <v>150</v>
      </c>
      <c r="H11" s="378">
        <f>IF(F11=0,0,$C11/(F11*365))</f>
        <v>0.70410958904109588</v>
      </c>
      <c r="I11" s="378">
        <f>IF(G11=0,0,$C11/(G11*365))</f>
        <v>0.46940639269406392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1187</v>
      </c>
      <c r="D13" s="376">
        <v>173</v>
      </c>
      <c r="E13" s="376">
        <v>0</v>
      </c>
      <c r="F13" s="377">
        <v>15</v>
      </c>
      <c r="G13" s="377">
        <v>15</v>
      </c>
      <c r="H13" s="378">
        <f>IF(F13=0,0,$C13/(F13*365))</f>
        <v>0.21680365296803653</v>
      </c>
      <c r="I13" s="378">
        <f>IF(G13=0,0,$C13/(G13*365))</f>
        <v>0.21680365296803653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5365</v>
      </c>
      <c r="D16" s="376">
        <v>856</v>
      </c>
      <c r="E16" s="376">
        <v>904</v>
      </c>
      <c r="F16" s="377">
        <v>25</v>
      </c>
      <c r="G16" s="377">
        <v>25</v>
      </c>
      <c r="H16" s="378">
        <f t="shared" si="0"/>
        <v>0.58794520547945206</v>
      </c>
      <c r="I16" s="378">
        <f t="shared" si="0"/>
        <v>0.58794520547945206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5365</v>
      </c>
      <c r="D17" s="381">
        <f>SUM(D15:D16)</f>
        <v>856</v>
      </c>
      <c r="E17" s="381">
        <f>SUM(E15:E16)</f>
        <v>904</v>
      </c>
      <c r="F17" s="381">
        <f>SUM(F15:F16)</f>
        <v>25</v>
      </c>
      <c r="G17" s="381">
        <f>SUM(G15:G16)</f>
        <v>25</v>
      </c>
      <c r="H17" s="382">
        <f t="shared" si="0"/>
        <v>0.58794520547945206</v>
      </c>
      <c r="I17" s="382">
        <f t="shared" si="0"/>
        <v>0.58794520547945206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2362</v>
      </c>
      <c r="D21" s="376">
        <v>684</v>
      </c>
      <c r="E21" s="376">
        <v>705</v>
      </c>
      <c r="F21" s="377">
        <v>20</v>
      </c>
      <c r="G21" s="377">
        <v>20</v>
      </c>
      <c r="H21" s="378">
        <f>IF(F21=0,0,$C21/(F21*365))</f>
        <v>0.32356164383561642</v>
      </c>
      <c r="I21" s="378">
        <f>IF(G21=0,0,$C21/(G21*365))</f>
        <v>0.32356164383561642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1139</v>
      </c>
      <c r="D23" s="376">
        <v>457</v>
      </c>
      <c r="E23" s="376">
        <v>455</v>
      </c>
      <c r="F23" s="377">
        <v>10</v>
      </c>
      <c r="G23" s="377">
        <v>10</v>
      </c>
      <c r="H23" s="378">
        <f>IF(F23=0,0,$C23/(F23*365))</f>
        <v>0.31205479452054796</v>
      </c>
      <c r="I23" s="378">
        <f>IF(G23=0,0,$C23/(G23*365))</f>
        <v>0.31205479452054796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2970</v>
      </c>
      <c r="D29" s="376">
        <v>756</v>
      </c>
      <c r="E29" s="376">
        <v>775</v>
      </c>
      <c r="F29" s="377">
        <v>14</v>
      </c>
      <c r="G29" s="377">
        <v>14</v>
      </c>
      <c r="H29" s="378">
        <f>IF(F29=0,0,$C29/(F29*365))</f>
        <v>0.58121330724070452</v>
      </c>
      <c r="I29" s="378">
        <f>IF(G29=0,0,$C29/(G29*365))</f>
        <v>0.58121330724070452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37584</v>
      </c>
      <c r="D31" s="384">
        <f>SUM(D10:D29)-D13-D17-D23</f>
        <v>8212</v>
      </c>
      <c r="E31" s="384">
        <f>SUM(E10:E29)-E17-E23</f>
        <v>8339</v>
      </c>
      <c r="F31" s="384">
        <f>SUM(F10:F29)-F17-F23</f>
        <v>174</v>
      </c>
      <c r="G31" s="384">
        <f>SUM(G10:G29)-G17-G23</f>
        <v>224</v>
      </c>
      <c r="H31" s="385">
        <f>IF(F31=0,0,$C31/(F31*365))</f>
        <v>0.59178082191780823</v>
      </c>
      <c r="I31" s="385">
        <f>IF(G31=0,0,$C31/(G31*365))</f>
        <v>0.45968688845401173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38723</v>
      </c>
      <c r="D33" s="384">
        <f>SUM(D10:D29)-D13-D17</f>
        <v>8669</v>
      </c>
      <c r="E33" s="384">
        <f>SUM(E10:E29)-E17</f>
        <v>8794</v>
      </c>
      <c r="F33" s="384">
        <f>SUM(F10:F29)-F17</f>
        <v>184</v>
      </c>
      <c r="G33" s="384">
        <f>SUM(G10:G29)-G17</f>
        <v>234</v>
      </c>
      <c r="H33" s="385">
        <f>IF(F33=0,0,$C33/(F33*365))</f>
        <v>0.57657832042882673</v>
      </c>
      <c r="I33" s="385">
        <f>IF(G33=0,0,$C33/(G33*365))</f>
        <v>0.45337782461070131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38723</v>
      </c>
      <c r="D36" s="384">
        <f t="shared" si="1"/>
        <v>8669</v>
      </c>
      <c r="E36" s="384">
        <f t="shared" si="1"/>
        <v>8794</v>
      </c>
      <c r="F36" s="384">
        <f t="shared" si="1"/>
        <v>184</v>
      </c>
      <c r="G36" s="384">
        <f t="shared" si="1"/>
        <v>234</v>
      </c>
      <c r="H36" s="387">
        <f t="shared" si="1"/>
        <v>0.57657832042882673</v>
      </c>
      <c r="I36" s="387">
        <f t="shared" si="1"/>
        <v>0.45337782461070131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40704</v>
      </c>
      <c r="D37" s="384">
        <v>8578</v>
      </c>
      <c r="E37" s="384">
        <v>8578</v>
      </c>
      <c r="F37" s="386">
        <v>184</v>
      </c>
      <c r="G37" s="386">
        <v>234</v>
      </c>
      <c r="H37" s="385">
        <f>IF(F37=0,0,$C37/(F37*365))</f>
        <v>0.60607504466944606</v>
      </c>
      <c r="I37" s="385">
        <f>IF(G37=0,0,$C37/(G37*365))</f>
        <v>0.47657182999648751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-1981</v>
      </c>
      <c r="D38" s="384">
        <f t="shared" si="2"/>
        <v>91</v>
      </c>
      <c r="E38" s="384">
        <f t="shared" si="2"/>
        <v>216</v>
      </c>
      <c r="F38" s="384">
        <f t="shared" si="2"/>
        <v>0</v>
      </c>
      <c r="G38" s="384">
        <f t="shared" si="2"/>
        <v>0</v>
      </c>
      <c r="H38" s="387">
        <f t="shared" si="2"/>
        <v>-2.9496724240619332E-2</v>
      </c>
      <c r="I38" s="387">
        <f t="shared" si="2"/>
        <v>-2.3194005385786198E-2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-4.8668435534591194E-2</v>
      </c>
      <c r="D40" s="389">
        <f t="shared" si="3"/>
        <v>1.0608533457682444E-2</v>
      </c>
      <c r="E40" s="389">
        <f t="shared" si="3"/>
        <v>2.5180694800652832E-2</v>
      </c>
      <c r="F40" s="389">
        <f t="shared" si="3"/>
        <v>0</v>
      </c>
      <c r="G40" s="389">
        <f t="shared" si="3"/>
        <v>0</v>
      </c>
      <c r="H40" s="389">
        <f t="shared" si="3"/>
        <v>-4.8668435534591062E-2</v>
      </c>
      <c r="I40" s="389">
        <f t="shared" si="3"/>
        <v>-4.866843553459118E-2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234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FILING&amp;RJOHN DEMPSEY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G39" sqref="G39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3942</v>
      </c>
      <c r="D12" s="409">
        <v>4054</v>
      </c>
      <c r="E12" s="409">
        <f>+D12-C12</f>
        <v>112</v>
      </c>
      <c r="F12" s="410">
        <f>IF(C12=0,0,+E12/C12)</f>
        <v>2.8411973617453068E-2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8091</v>
      </c>
      <c r="D13" s="409">
        <v>7999</v>
      </c>
      <c r="E13" s="409">
        <f>+D13-C13</f>
        <v>-92</v>
      </c>
      <c r="F13" s="410">
        <f>IF(C13=0,0,+E13/C13)</f>
        <v>-1.1370658756643184E-2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3448</v>
      </c>
      <c r="D14" s="409">
        <v>3855</v>
      </c>
      <c r="E14" s="409">
        <f>+D14-C14</f>
        <v>407</v>
      </c>
      <c r="F14" s="410">
        <f>IF(C14=0,0,+E14/C14)</f>
        <v>0.11803944315545244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15481</v>
      </c>
      <c r="D16" s="401">
        <f>SUM(D12:D15)</f>
        <v>15908</v>
      </c>
      <c r="E16" s="401">
        <f>+D16-C16</f>
        <v>427</v>
      </c>
      <c r="F16" s="402">
        <f>IF(C16=0,0,+E16/C16)</f>
        <v>2.7582197532459142E-2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820</v>
      </c>
      <c r="D19" s="409">
        <v>818</v>
      </c>
      <c r="E19" s="409">
        <f>+D19-C19</f>
        <v>-2</v>
      </c>
      <c r="F19" s="410">
        <f>IF(C19=0,0,+E19/C19)</f>
        <v>-2.4390243902439024E-3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6627</v>
      </c>
      <c r="D20" s="409">
        <v>4420</v>
      </c>
      <c r="E20" s="409">
        <f>+D20-C20</f>
        <v>-2207</v>
      </c>
      <c r="F20" s="410">
        <f>IF(C20=0,0,+E20/C20)</f>
        <v>-0.33303153764901161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210</v>
      </c>
      <c r="D21" s="409">
        <v>184</v>
      </c>
      <c r="E21" s="409">
        <f>+D21-C21</f>
        <v>-26</v>
      </c>
      <c r="F21" s="410">
        <f>IF(C21=0,0,+E21/C21)</f>
        <v>-0.12380952380952381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7657</v>
      </c>
      <c r="D23" s="401">
        <f>SUM(D19:D22)</f>
        <v>5422</v>
      </c>
      <c r="E23" s="401">
        <f>+D23-C23</f>
        <v>-2235</v>
      </c>
      <c r="F23" s="402">
        <f>IF(C23=0,0,+E23/C23)</f>
        <v>-0.29188977406294891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2</v>
      </c>
      <c r="D27" s="409">
        <v>5</v>
      </c>
      <c r="E27" s="409">
        <f>+D27-C27</f>
        <v>3</v>
      </c>
      <c r="F27" s="410">
        <f>IF(C27=0,0,+E27/C27)</f>
        <v>1.5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2</v>
      </c>
      <c r="D30" s="401">
        <f>SUM(D26:D29)</f>
        <v>5</v>
      </c>
      <c r="E30" s="401">
        <f>+D30-C30</f>
        <v>3</v>
      </c>
      <c r="F30" s="402">
        <f>IF(C30=0,0,+E30/C30)</f>
        <v>1.5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7</v>
      </c>
      <c r="D33" s="409">
        <v>0</v>
      </c>
      <c r="E33" s="409">
        <f>+D33-C33</f>
        <v>-7</v>
      </c>
      <c r="F33" s="410">
        <f>IF(C33=0,0,+E33/C33)</f>
        <v>-1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368</v>
      </c>
      <c r="D34" s="409">
        <v>365</v>
      </c>
      <c r="E34" s="409">
        <f>+D34-C34</f>
        <v>-3</v>
      </c>
      <c r="F34" s="410">
        <f>IF(C34=0,0,+E34/C34)</f>
        <v>-8.152173913043478E-3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375</v>
      </c>
      <c r="D37" s="401">
        <f>SUM(D33:D36)</f>
        <v>365</v>
      </c>
      <c r="E37" s="401">
        <f>+D37-C37</f>
        <v>-10</v>
      </c>
      <c r="F37" s="402">
        <f>IF(C37=0,0,+E37/C37)</f>
        <v>-2.6666666666666668E-2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134</v>
      </c>
      <c r="D43" s="409">
        <v>229</v>
      </c>
      <c r="E43" s="409">
        <f>+D43-C43</f>
        <v>95</v>
      </c>
      <c r="F43" s="410">
        <f>IF(C43=0,0,+E43/C43)</f>
        <v>0.70895522388059706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5901</v>
      </c>
      <c r="D44" s="409">
        <v>5794</v>
      </c>
      <c r="E44" s="409">
        <f>+D44-C44</f>
        <v>-107</v>
      </c>
      <c r="F44" s="410">
        <f>IF(C44=0,0,+E44/C44)</f>
        <v>-1.8132519911879343E-2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6035</v>
      </c>
      <c r="D45" s="401">
        <f>SUM(D43:D44)</f>
        <v>6023</v>
      </c>
      <c r="E45" s="401">
        <f>+D45-C45</f>
        <v>-12</v>
      </c>
      <c r="F45" s="402">
        <f>IF(C45=0,0,+E45/C45)</f>
        <v>-1.9884009942004971E-3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307</v>
      </c>
      <c r="D48" s="409">
        <v>258</v>
      </c>
      <c r="E48" s="409">
        <f>+D48-C48</f>
        <v>-49</v>
      </c>
      <c r="F48" s="410">
        <f>IF(C48=0,0,+E48/C48)</f>
        <v>-0.15960912052117263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471</v>
      </c>
      <c r="D49" s="409">
        <v>438</v>
      </c>
      <c r="E49" s="409">
        <f>+D49-C49</f>
        <v>-33</v>
      </c>
      <c r="F49" s="410">
        <f>IF(C49=0,0,+E49/C49)</f>
        <v>-7.0063694267515922E-2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778</v>
      </c>
      <c r="D50" s="401">
        <f>SUM(D48:D49)</f>
        <v>696</v>
      </c>
      <c r="E50" s="401">
        <f>+D50-C50</f>
        <v>-82</v>
      </c>
      <c r="F50" s="402">
        <f>IF(C50=0,0,+E50/C50)</f>
        <v>-0.10539845758354756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110</v>
      </c>
      <c r="D53" s="409">
        <v>149</v>
      </c>
      <c r="E53" s="409">
        <f>+D53-C53</f>
        <v>39</v>
      </c>
      <c r="F53" s="410">
        <f>IF(C53=0,0,+E53/C53)</f>
        <v>0.35454545454545455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190</v>
      </c>
      <c r="D54" s="409">
        <v>187</v>
      </c>
      <c r="E54" s="409">
        <f>+D54-C54</f>
        <v>-3</v>
      </c>
      <c r="F54" s="410">
        <f>IF(C54=0,0,+E54/C54)</f>
        <v>-1.5789473684210527E-2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300</v>
      </c>
      <c r="D55" s="401">
        <f>SUM(D53:D54)</f>
        <v>336</v>
      </c>
      <c r="E55" s="401">
        <f>+D55-C55</f>
        <v>36</v>
      </c>
      <c r="F55" s="402">
        <f>IF(C55=0,0,+E55/C55)</f>
        <v>0.12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149</v>
      </c>
      <c r="D58" s="409">
        <v>149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185</v>
      </c>
      <c r="D59" s="409">
        <v>155</v>
      </c>
      <c r="E59" s="409">
        <f>+D59-C59</f>
        <v>-30</v>
      </c>
      <c r="F59" s="410">
        <f>IF(C59=0,0,+E59/C59)</f>
        <v>-0.16216216216216217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334</v>
      </c>
      <c r="D60" s="401">
        <f>SUM(D58:D59)</f>
        <v>304</v>
      </c>
      <c r="E60" s="401">
        <f>SUM(E58:E59)</f>
        <v>-30</v>
      </c>
      <c r="F60" s="402">
        <f>IF(C60=0,0,+E60/C60)</f>
        <v>-8.9820359281437126E-2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2263</v>
      </c>
      <c r="D63" s="409">
        <v>2239</v>
      </c>
      <c r="E63" s="409">
        <f>+D63-C63</f>
        <v>-24</v>
      </c>
      <c r="F63" s="410">
        <f>IF(C63=0,0,+E63/C63)</f>
        <v>-1.0605391073795847E-2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7900</v>
      </c>
      <c r="D64" s="409">
        <v>7999</v>
      </c>
      <c r="E64" s="409">
        <f>+D64-C64</f>
        <v>99</v>
      </c>
      <c r="F64" s="410">
        <f>IF(C64=0,0,+E64/C64)</f>
        <v>1.2531645569620253E-2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10163</v>
      </c>
      <c r="D65" s="401">
        <f>SUM(D63:D64)</f>
        <v>10238</v>
      </c>
      <c r="E65" s="401">
        <f>+D65-C65</f>
        <v>75</v>
      </c>
      <c r="F65" s="402">
        <f>IF(C65=0,0,+E65/C65)</f>
        <v>7.3797107153399585E-3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293</v>
      </c>
      <c r="D68" s="409">
        <v>269</v>
      </c>
      <c r="E68" s="409">
        <f>+D68-C68</f>
        <v>-24</v>
      </c>
      <c r="F68" s="410">
        <f>IF(C68=0,0,+E68/C68)</f>
        <v>-8.191126279863481E-2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2905</v>
      </c>
      <c r="D69" s="409">
        <v>3175</v>
      </c>
      <c r="E69" s="409">
        <f>+D69-C69</f>
        <v>270</v>
      </c>
      <c r="F69" s="412">
        <f>IF(C69=0,0,+E69/C69)</f>
        <v>9.2943201376936319E-2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3198</v>
      </c>
      <c r="D70" s="401">
        <f>SUM(D68:D69)</f>
        <v>3444</v>
      </c>
      <c r="E70" s="401">
        <f>+D70-C70</f>
        <v>246</v>
      </c>
      <c r="F70" s="402">
        <f>IF(C70=0,0,+E70/C70)</f>
        <v>7.6923076923076927E-2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5131</v>
      </c>
      <c r="D73" s="376">
        <v>5251</v>
      </c>
      <c r="E73" s="409">
        <f>+D73-C73</f>
        <v>120</v>
      </c>
      <c r="F73" s="410">
        <f>IF(C73=0,0,+E73/C73)</f>
        <v>2.3387253946599105E-2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23640</v>
      </c>
      <c r="D74" s="376">
        <v>24390</v>
      </c>
      <c r="E74" s="409">
        <f>+D74-C74</f>
        <v>750</v>
      </c>
      <c r="F74" s="410">
        <f>IF(C74=0,0,+E74/C74)</f>
        <v>3.1725888324873094E-2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28771</v>
      </c>
      <c r="D75" s="401">
        <f>SUM(D73:D74)</f>
        <v>29641</v>
      </c>
      <c r="E75" s="401">
        <f>SUM(E73:E74)</f>
        <v>870</v>
      </c>
      <c r="F75" s="402">
        <f>IF(C75=0,0,+E75/C75)</f>
        <v>3.0238782106982727E-2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85867</v>
      </c>
      <c r="D80" s="376">
        <v>0</v>
      </c>
      <c r="E80" s="409">
        <f t="shared" si="0"/>
        <v>-85867</v>
      </c>
      <c r="F80" s="410">
        <f t="shared" si="1"/>
        <v>-1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16943</v>
      </c>
      <c r="D81" s="376">
        <v>15542</v>
      </c>
      <c r="E81" s="409">
        <f t="shared" si="0"/>
        <v>-1401</v>
      </c>
      <c r="F81" s="410">
        <f t="shared" si="1"/>
        <v>-8.268901611284897E-2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1925</v>
      </c>
      <c r="E84" s="409">
        <f t="shared" si="0"/>
        <v>1925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6094</v>
      </c>
      <c r="D91" s="376">
        <v>8790</v>
      </c>
      <c r="E91" s="409">
        <f t="shared" si="0"/>
        <v>2696</v>
      </c>
      <c r="F91" s="410">
        <f t="shared" si="1"/>
        <v>0.44240236297998031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108904</v>
      </c>
      <c r="D92" s="381">
        <f>SUM(D79:D91)</f>
        <v>26257</v>
      </c>
      <c r="E92" s="401">
        <f t="shared" si="0"/>
        <v>-82647</v>
      </c>
      <c r="F92" s="402">
        <f t="shared" si="1"/>
        <v>-0.75889774480276206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25078</v>
      </c>
      <c r="D95" s="414">
        <v>24342</v>
      </c>
      <c r="E95" s="415">
        <f t="shared" ref="E95:E100" si="2">+D95-C95</f>
        <v>-736</v>
      </c>
      <c r="F95" s="412">
        <f t="shared" ref="F95:F100" si="3">IF(C95=0,0,+E95/C95)</f>
        <v>-2.9348432889385118E-2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0</v>
      </c>
      <c r="D96" s="414">
        <v>0</v>
      </c>
      <c r="E96" s="409">
        <f t="shared" si="2"/>
        <v>0</v>
      </c>
      <c r="F96" s="410">
        <f t="shared" si="3"/>
        <v>0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4100</v>
      </c>
      <c r="D97" s="414">
        <v>4567</v>
      </c>
      <c r="E97" s="409">
        <f t="shared" si="2"/>
        <v>467</v>
      </c>
      <c r="F97" s="410">
        <f t="shared" si="3"/>
        <v>0.11390243902439025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2905</v>
      </c>
      <c r="D98" s="414">
        <v>3175</v>
      </c>
      <c r="E98" s="409">
        <f t="shared" si="2"/>
        <v>270</v>
      </c>
      <c r="F98" s="410">
        <f t="shared" si="3"/>
        <v>9.2943201376936319E-2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280072</v>
      </c>
      <c r="D99" s="414">
        <v>287771</v>
      </c>
      <c r="E99" s="409">
        <f t="shared" si="2"/>
        <v>7699</v>
      </c>
      <c r="F99" s="410">
        <f t="shared" si="3"/>
        <v>2.7489359878888286E-2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312155</v>
      </c>
      <c r="D100" s="381">
        <f>SUM(D95:D99)</f>
        <v>319855</v>
      </c>
      <c r="E100" s="401">
        <f t="shared" si="2"/>
        <v>7700</v>
      </c>
      <c r="F100" s="402">
        <f t="shared" si="3"/>
        <v>2.4667232624817799E-2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640</v>
      </c>
      <c r="D104" s="416">
        <v>603.79999999999995</v>
      </c>
      <c r="E104" s="417">
        <f>+D104-C104</f>
        <v>-36.200000000000045</v>
      </c>
      <c r="F104" s="410">
        <f>IF(C104=0,0,+E104/C104)</f>
        <v>-5.6562500000000071E-2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42.7</v>
      </c>
      <c r="D105" s="416">
        <v>36.1</v>
      </c>
      <c r="E105" s="417">
        <f>+D105-C105</f>
        <v>-6.6000000000000014</v>
      </c>
      <c r="F105" s="410">
        <f>IF(C105=0,0,+E105/C105)</f>
        <v>-0.15456674473067919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910</v>
      </c>
      <c r="D106" s="416">
        <v>663.9</v>
      </c>
      <c r="E106" s="417">
        <f>+D106-C106</f>
        <v>-246.10000000000002</v>
      </c>
      <c r="F106" s="410">
        <f>IF(C106=0,0,+E106/C106)</f>
        <v>-0.27043956043956047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1592.7</v>
      </c>
      <c r="D107" s="418">
        <f>SUM(D104:D106)</f>
        <v>1303.8</v>
      </c>
      <c r="E107" s="418">
        <f>+D107-C107</f>
        <v>-288.90000000000009</v>
      </c>
      <c r="F107" s="402">
        <f>IF(C107=0,0,+E107/C107)</f>
        <v>-0.18139009229610101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FILING&amp;RJOHN DEMPSEY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7900</v>
      </c>
      <c r="D12" s="409">
        <v>7999</v>
      </c>
      <c r="E12" s="409">
        <f>+D12-C12</f>
        <v>99</v>
      </c>
      <c r="F12" s="410">
        <f>IF(C12=0,0,+E12/C12)</f>
        <v>1.2531645569620253E-2</v>
      </c>
    </row>
    <row r="13" spans="1:6" ht="15.75" customHeight="1" x14ac:dyDescent="0.25">
      <c r="A13" s="374"/>
      <c r="B13" s="399" t="s">
        <v>622</v>
      </c>
      <c r="C13" s="401">
        <f>SUM(C11:C12)</f>
        <v>7900</v>
      </c>
      <c r="D13" s="401">
        <f>SUM(D11:D12)</f>
        <v>7999</v>
      </c>
      <c r="E13" s="401">
        <f>+D13-C13</f>
        <v>99</v>
      </c>
      <c r="F13" s="402">
        <f>IF(C13=0,0,+E13/C13)</f>
        <v>1.2531645569620253E-2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2905</v>
      </c>
      <c r="D16" s="409">
        <v>3175</v>
      </c>
      <c r="E16" s="409">
        <f>+D16-C16</f>
        <v>270</v>
      </c>
      <c r="F16" s="410">
        <f>IF(C16=0,0,+E16/C16)</f>
        <v>9.2943201376936319E-2</v>
      </c>
    </row>
    <row r="17" spans="1:6" ht="15.75" customHeight="1" x14ac:dyDescent="0.25">
      <c r="A17" s="374"/>
      <c r="B17" s="399" t="s">
        <v>623</v>
      </c>
      <c r="C17" s="401">
        <f>SUM(C15:C16)</f>
        <v>2905</v>
      </c>
      <c r="D17" s="401">
        <f>SUM(D15:D16)</f>
        <v>3175</v>
      </c>
      <c r="E17" s="401">
        <f>+D17-C17</f>
        <v>270</v>
      </c>
      <c r="F17" s="402">
        <f>IF(C17=0,0,+E17/C17)</f>
        <v>9.2943201376936319E-2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23640</v>
      </c>
      <c r="D20" s="409">
        <v>24390</v>
      </c>
      <c r="E20" s="409">
        <f>+D20-C20</f>
        <v>750</v>
      </c>
      <c r="F20" s="410">
        <f>IF(C20=0,0,+E20/C20)</f>
        <v>3.1725888324873094E-2</v>
      </c>
    </row>
    <row r="21" spans="1:6" ht="15.75" customHeight="1" x14ac:dyDescent="0.25">
      <c r="A21" s="374"/>
      <c r="B21" s="399" t="s">
        <v>625</v>
      </c>
      <c r="C21" s="401">
        <f>SUM(C19:C20)</f>
        <v>23640</v>
      </c>
      <c r="D21" s="401">
        <f>SUM(D19:D20)</f>
        <v>24390</v>
      </c>
      <c r="E21" s="401">
        <f>+D21-C21</f>
        <v>750</v>
      </c>
      <c r="F21" s="402">
        <f>IF(C21=0,0,+E21/C21)</f>
        <v>3.1725888324873094E-2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626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627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628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FILING&amp;RJOHN DEMPSEY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126635713</v>
      </c>
      <c r="D15" s="448">
        <v>143689469</v>
      </c>
      <c r="E15" s="448">
        <f t="shared" ref="E15:E24" si="0">D15-C15</f>
        <v>17053756</v>
      </c>
      <c r="F15" s="449">
        <f t="shared" ref="F15:F24" si="1">IF(C15=0,0,E15/C15)</f>
        <v>0.13466782470755306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68977831</v>
      </c>
      <c r="D16" s="448">
        <v>73080057</v>
      </c>
      <c r="E16" s="448">
        <f t="shared" si="0"/>
        <v>4102226</v>
      </c>
      <c r="F16" s="449">
        <f t="shared" si="1"/>
        <v>5.9471658365134732E-2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0.54469493135794955</v>
      </c>
      <c r="D17" s="453">
        <f>IF(LN_IA1=0,0,LN_IA2/LN_IA1)</f>
        <v>0.50859716796642906</v>
      </c>
      <c r="E17" s="454">
        <f t="shared" si="0"/>
        <v>-3.6097763391520488E-2</v>
      </c>
      <c r="F17" s="449">
        <f t="shared" si="1"/>
        <v>-6.6271524321930259E-2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3822</v>
      </c>
      <c r="D18" s="456">
        <v>3846</v>
      </c>
      <c r="E18" s="456">
        <f t="shared" si="0"/>
        <v>24</v>
      </c>
      <c r="F18" s="449">
        <f t="shared" si="1"/>
        <v>6.2794348508634227E-3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1.583</v>
      </c>
      <c r="D19" s="459">
        <v>1.6133999999999999</v>
      </c>
      <c r="E19" s="460">
        <f t="shared" si="0"/>
        <v>3.0399999999999983E-2</v>
      </c>
      <c r="F19" s="449">
        <f t="shared" si="1"/>
        <v>1.9204042956411864E-2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6050.2259999999997</v>
      </c>
      <c r="D20" s="463">
        <f>LN_IA4*LN_IA5</f>
        <v>6205.1363999999994</v>
      </c>
      <c r="E20" s="463">
        <f t="shared" si="0"/>
        <v>154.91039999999975</v>
      </c>
      <c r="F20" s="449">
        <f t="shared" si="1"/>
        <v>2.5604068343893231E-2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11400.868496482612</v>
      </c>
      <c r="D21" s="465">
        <f>IF(LN_IA6=0,0,LN_IA2/LN_IA6)</f>
        <v>11777.349003963878</v>
      </c>
      <c r="E21" s="465">
        <f t="shared" si="0"/>
        <v>376.48050748126661</v>
      </c>
      <c r="F21" s="449">
        <f t="shared" si="1"/>
        <v>3.3022090167728724E-2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19395</v>
      </c>
      <c r="D22" s="456">
        <v>19450</v>
      </c>
      <c r="E22" s="456">
        <f t="shared" si="0"/>
        <v>55</v>
      </c>
      <c r="F22" s="449">
        <f t="shared" si="1"/>
        <v>2.8357824181490074E-3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3556.4749162155194</v>
      </c>
      <c r="D23" s="465">
        <f>IF(LN_IA8=0,0,LN_IA2/LN_IA8)</f>
        <v>3757.3294087403601</v>
      </c>
      <c r="E23" s="465">
        <f t="shared" si="0"/>
        <v>200.85449252484068</v>
      </c>
      <c r="F23" s="449">
        <f t="shared" si="1"/>
        <v>5.6475723084410775E-2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5.0745682888540031</v>
      </c>
      <c r="D24" s="466">
        <f>IF(LN_IA4=0,0,LN_IA8/LN_IA4)</f>
        <v>5.0572022880915233</v>
      </c>
      <c r="E24" s="466">
        <f t="shared" si="0"/>
        <v>-1.736600076247985E-2</v>
      </c>
      <c r="F24" s="449">
        <f t="shared" si="1"/>
        <v>-3.4221631819643201E-3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114264847</v>
      </c>
      <c r="D27" s="448">
        <v>130842681</v>
      </c>
      <c r="E27" s="448">
        <f t="shared" ref="E27:E32" si="2">D27-C27</f>
        <v>16577834</v>
      </c>
      <c r="F27" s="449">
        <f t="shared" ref="F27:F32" si="3">IF(C27=0,0,E27/C27)</f>
        <v>0.14508253793924916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38195692</v>
      </c>
      <c r="D28" s="448">
        <v>41400417</v>
      </c>
      <c r="E28" s="448">
        <f t="shared" si="2"/>
        <v>3204725</v>
      </c>
      <c r="F28" s="449">
        <f t="shared" si="3"/>
        <v>8.3902786733121626E-2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0.33427333955122701</v>
      </c>
      <c r="D29" s="453">
        <f>IF(LN_IA11=0,0,LN_IA12/LN_IA11)</f>
        <v>0.31641370142820596</v>
      </c>
      <c r="E29" s="454">
        <f t="shared" si="2"/>
        <v>-1.7859638123021049E-2</v>
      </c>
      <c r="F29" s="449">
        <f t="shared" si="3"/>
        <v>-5.3428245719500701E-2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0.90231139615410072</v>
      </c>
      <c r="D30" s="453">
        <f>IF(LN_IA1=0,0,LN_IA11/LN_IA1)</f>
        <v>0.91059339219911795</v>
      </c>
      <c r="E30" s="454">
        <f t="shared" si="2"/>
        <v>8.2819960450172259E-3</v>
      </c>
      <c r="F30" s="449">
        <f t="shared" si="3"/>
        <v>9.1786450667888826E-3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3448.6341561009731</v>
      </c>
      <c r="D31" s="463">
        <f>LN_IA14*LN_IA4</f>
        <v>3502.1421863978076</v>
      </c>
      <c r="E31" s="463">
        <f t="shared" si="2"/>
        <v>53.508030296834477</v>
      </c>
      <c r="F31" s="449">
        <f t="shared" si="3"/>
        <v>1.5515716621368348E-2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11075.599866813376</v>
      </c>
      <c r="D32" s="465">
        <f>IF(LN_IA15=0,0,LN_IA12/LN_IA15)</f>
        <v>11821.455211269751</v>
      </c>
      <c r="E32" s="465">
        <f t="shared" si="2"/>
        <v>745.85534445637495</v>
      </c>
      <c r="F32" s="449">
        <f t="shared" si="3"/>
        <v>6.7342207503472154E-2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240900560</v>
      </c>
      <c r="D35" s="448">
        <f>LN_IA1+LN_IA11</f>
        <v>274532150</v>
      </c>
      <c r="E35" s="448">
        <f>D35-C35</f>
        <v>33631590</v>
      </c>
      <c r="F35" s="449">
        <f>IF(C35=0,0,E35/C35)</f>
        <v>0.13960777011062159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107173523</v>
      </c>
      <c r="D36" s="448">
        <f>LN_IA2+LN_IA12</f>
        <v>114480474</v>
      </c>
      <c r="E36" s="448">
        <f>D36-C36</f>
        <v>7306951</v>
      </c>
      <c r="F36" s="449">
        <f>IF(C36=0,0,E36/C36)</f>
        <v>6.8178695590701069E-2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133727037</v>
      </c>
      <c r="D37" s="448">
        <f>LN_IA17-LN_IA18</f>
        <v>160051676</v>
      </c>
      <c r="E37" s="448">
        <f>D37-C37</f>
        <v>26324639</v>
      </c>
      <c r="F37" s="449">
        <f>IF(C37=0,0,E37/C37)</f>
        <v>0.1968535278322214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65750391</v>
      </c>
      <c r="D42" s="448">
        <v>65494734</v>
      </c>
      <c r="E42" s="448">
        <f t="shared" ref="E42:E53" si="4">D42-C42</f>
        <v>-255657</v>
      </c>
      <c r="F42" s="449">
        <f t="shared" ref="F42:F53" si="5">IF(C42=0,0,E42/C42)</f>
        <v>-3.8882962688389184E-3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37099326</v>
      </c>
      <c r="D43" s="448">
        <v>35152078</v>
      </c>
      <c r="E43" s="448">
        <f t="shared" si="4"/>
        <v>-1947248</v>
      </c>
      <c r="F43" s="449">
        <f t="shared" si="5"/>
        <v>-5.2487422547784289E-2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0.56424494874866982</v>
      </c>
      <c r="D44" s="453">
        <f>IF(LN_IB1=0,0,LN_IB2/LN_IB1)</f>
        <v>0.53671609690024846</v>
      </c>
      <c r="E44" s="454">
        <f t="shared" si="4"/>
        <v>-2.7528851848421354E-2</v>
      </c>
      <c r="F44" s="449">
        <f t="shared" si="5"/>
        <v>-4.8788831711249328E-2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2552</v>
      </c>
      <c r="D45" s="456">
        <v>2508</v>
      </c>
      <c r="E45" s="456">
        <f t="shared" si="4"/>
        <v>-44</v>
      </c>
      <c r="F45" s="449">
        <f t="shared" si="5"/>
        <v>-1.7241379310344827E-2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1.3512</v>
      </c>
      <c r="D46" s="459">
        <v>1.3150999999999999</v>
      </c>
      <c r="E46" s="460">
        <f t="shared" si="4"/>
        <v>-3.6100000000000021E-2</v>
      </c>
      <c r="F46" s="449">
        <f t="shared" si="5"/>
        <v>-2.6716992303137968E-2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3448.2624000000001</v>
      </c>
      <c r="D47" s="463">
        <f>LN_IB4*LN_IB5</f>
        <v>3298.2707999999998</v>
      </c>
      <c r="E47" s="463">
        <f t="shared" si="4"/>
        <v>-149.99160000000029</v>
      </c>
      <c r="F47" s="449">
        <f t="shared" si="5"/>
        <v>-4.34977338151529E-2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10758.846542536901</v>
      </c>
      <c r="D48" s="465">
        <f>IF(LN_IB6=0,0,LN_IB2/LN_IB6)</f>
        <v>10657.72949874219</v>
      </c>
      <c r="E48" s="465">
        <f t="shared" si="4"/>
        <v>-101.11704379471121</v>
      </c>
      <c r="F48" s="449">
        <f t="shared" si="5"/>
        <v>-9.3985022832074085E-3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642.02195394571027</v>
      </c>
      <c r="D49" s="465">
        <f>LN_IA7-LN_IB7</f>
        <v>1119.6195052216881</v>
      </c>
      <c r="E49" s="465">
        <f t="shared" si="4"/>
        <v>477.59755127597782</v>
      </c>
      <c r="F49" s="449">
        <f t="shared" si="5"/>
        <v>0.7438959810342618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2213860.1637655245</v>
      </c>
      <c r="D50" s="479">
        <f>LN_IB8*LN_IB6</f>
        <v>3692808.3211831413</v>
      </c>
      <c r="E50" s="479">
        <f t="shared" si="4"/>
        <v>1478948.1574176168</v>
      </c>
      <c r="F50" s="449">
        <f t="shared" si="5"/>
        <v>0.66804045784991861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10461</v>
      </c>
      <c r="D51" s="456">
        <v>9460</v>
      </c>
      <c r="E51" s="456">
        <f t="shared" si="4"/>
        <v>-1001</v>
      </c>
      <c r="F51" s="449">
        <f t="shared" si="5"/>
        <v>-9.5688748685594113E-2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3546.441640378549</v>
      </c>
      <c r="D52" s="465">
        <f>IF(LN_IB10=0,0,LN_IB2/LN_IB10)</f>
        <v>3715.8644820295981</v>
      </c>
      <c r="E52" s="465">
        <f t="shared" si="4"/>
        <v>169.42284165104911</v>
      </c>
      <c r="F52" s="449">
        <f t="shared" si="5"/>
        <v>4.7772629252391938E-2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4.0991379310344831</v>
      </c>
      <c r="D53" s="466">
        <f>IF(LN_IB4=0,0,LN_IB10/LN_IB4)</f>
        <v>3.7719298245614037</v>
      </c>
      <c r="E53" s="466">
        <f t="shared" si="4"/>
        <v>-0.32720810647307941</v>
      </c>
      <c r="F53" s="449">
        <f t="shared" si="5"/>
        <v>-7.9823639013411579E-2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164218402</v>
      </c>
      <c r="D56" s="448">
        <v>179568940</v>
      </c>
      <c r="E56" s="448">
        <f t="shared" ref="E56:E63" si="6">D56-C56</f>
        <v>15350538</v>
      </c>
      <c r="F56" s="449">
        <f t="shared" ref="F56:F63" si="7">IF(C56=0,0,E56/C56)</f>
        <v>9.3476357174636246E-2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89150288</v>
      </c>
      <c r="D57" s="448">
        <v>91018080</v>
      </c>
      <c r="E57" s="448">
        <f t="shared" si="6"/>
        <v>1867792</v>
      </c>
      <c r="F57" s="449">
        <f t="shared" si="7"/>
        <v>2.0951048413887344E-2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0.54287635803446677</v>
      </c>
      <c r="D58" s="453">
        <f>IF(LN_IB13=0,0,LN_IB14/LN_IB13)</f>
        <v>0.50686984063056784</v>
      </c>
      <c r="E58" s="454">
        <f t="shared" si="6"/>
        <v>-3.600651740389893E-2</v>
      </c>
      <c r="F58" s="449">
        <f t="shared" si="7"/>
        <v>-6.6325447537011556E-2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2.4976034287005229</v>
      </c>
      <c r="D59" s="453">
        <f>IF(LN_IB1=0,0,LN_IB13/LN_IB1)</f>
        <v>2.7417309611487237</v>
      </c>
      <c r="E59" s="454">
        <f t="shared" si="6"/>
        <v>0.24412753244820085</v>
      </c>
      <c r="F59" s="449">
        <f t="shared" si="7"/>
        <v>9.7744713849635401E-2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6373.8839500437343</v>
      </c>
      <c r="D60" s="463">
        <f>LN_IB16*LN_IB4</f>
        <v>6876.2612505609995</v>
      </c>
      <c r="E60" s="463">
        <f t="shared" si="6"/>
        <v>502.37730051726521</v>
      </c>
      <c r="F60" s="449">
        <f t="shared" si="7"/>
        <v>7.8818080852227967E-2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13986.807525635651</v>
      </c>
      <c r="D61" s="465">
        <f>IF(LN_IB17=0,0,LN_IB14/LN_IB17)</f>
        <v>13236.565145423219</v>
      </c>
      <c r="E61" s="465">
        <f t="shared" si="6"/>
        <v>-750.24238021243218</v>
      </c>
      <c r="F61" s="449">
        <f t="shared" si="7"/>
        <v>-5.3639286794885402E-2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-2911.2076588222753</v>
      </c>
      <c r="D62" s="465">
        <f>LN_IA16-LN_IB18</f>
        <v>-1415.1099341534682</v>
      </c>
      <c r="E62" s="465">
        <f t="shared" si="6"/>
        <v>1496.0977246688071</v>
      </c>
      <c r="F62" s="449">
        <f t="shared" si="7"/>
        <v>-0.51390965537444733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-18555699.771811698</v>
      </c>
      <c r="D63" s="448">
        <f>LN_IB19*LN_IB17</f>
        <v>-9730665.6055034213</v>
      </c>
      <c r="E63" s="448">
        <f t="shared" si="6"/>
        <v>8825034.1663082764</v>
      </c>
      <c r="F63" s="449">
        <f t="shared" si="7"/>
        <v>-0.47559694729026319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229968793</v>
      </c>
      <c r="D66" s="448">
        <f>LN_IB1+LN_IB13</f>
        <v>245063674</v>
      </c>
      <c r="E66" s="448">
        <f>D66-C66</f>
        <v>15094881</v>
      </c>
      <c r="F66" s="449">
        <f>IF(C66=0,0,E66/C66)</f>
        <v>6.5638823438100138E-2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126249614</v>
      </c>
      <c r="D67" s="448">
        <f>LN_IB2+LN_IB14</f>
        <v>126170158</v>
      </c>
      <c r="E67" s="448">
        <f>D67-C67</f>
        <v>-79456</v>
      </c>
      <c r="F67" s="449">
        <f>IF(C67=0,0,E67/C67)</f>
        <v>-6.2935637965594099E-4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103719179</v>
      </c>
      <c r="D68" s="448">
        <f>LN_IB21-LN_IB22</f>
        <v>118893516</v>
      </c>
      <c r="E68" s="448">
        <f>D68-C68</f>
        <v>15174337</v>
      </c>
      <c r="F68" s="449">
        <f>IF(C68=0,0,E68/C68)</f>
        <v>0.14630213183619589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-16341839.608046174</v>
      </c>
      <c r="D70" s="441">
        <f>LN_IB9+LN_IB20</f>
        <v>-6037857.28432028</v>
      </c>
      <c r="E70" s="448">
        <f>D70-C70</f>
        <v>10303982.323725894</v>
      </c>
      <c r="F70" s="449">
        <f>IF(C70=0,0,E70/C70)</f>
        <v>-0.63052768665362247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225517085</v>
      </c>
      <c r="D73" s="488">
        <v>241091573</v>
      </c>
      <c r="E73" s="488">
        <f>D73-C73</f>
        <v>15574488</v>
      </c>
      <c r="F73" s="489">
        <f>IF(C73=0,0,E73/C73)</f>
        <v>6.906123320989184E-2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124969417</v>
      </c>
      <c r="D74" s="488">
        <v>125345397</v>
      </c>
      <c r="E74" s="488">
        <f>D74-C74</f>
        <v>375980</v>
      </c>
      <c r="F74" s="489">
        <f>IF(C74=0,0,E74/C74)</f>
        <v>3.0085760902605475E-3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100547668</v>
      </c>
      <c r="D76" s="441">
        <f>LN_IB32-LN_IB33</f>
        <v>115746176</v>
      </c>
      <c r="E76" s="488">
        <f>D76-C76</f>
        <v>15198508</v>
      </c>
      <c r="F76" s="489">
        <f>IF(E76=0,0,E76/C76)</f>
        <v>0.15115724016592808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0.44585388286656863</v>
      </c>
      <c r="D77" s="453">
        <f>IF(LN_IB32=0,0,LN_IB34/LN_IB32)</f>
        <v>0.48009216813231376</v>
      </c>
      <c r="E77" s="493">
        <f>D77-C77</f>
        <v>3.4238285265745128E-2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746040</v>
      </c>
      <c r="D83" s="448">
        <v>976305</v>
      </c>
      <c r="E83" s="448">
        <f t="shared" ref="E83:E95" si="8">D83-C83</f>
        <v>230265</v>
      </c>
      <c r="F83" s="449">
        <f t="shared" ref="F83:F95" si="9">IF(C83=0,0,E83/C83)</f>
        <v>0.30864967025896733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52199</v>
      </c>
      <c r="D84" s="448">
        <v>124500</v>
      </c>
      <c r="E84" s="448">
        <f t="shared" si="8"/>
        <v>72301</v>
      </c>
      <c r="F84" s="449">
        <f t="shared" si="9"/>
        <v>1.385103162895841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6.9968098225296232E-2</v>
      </c>
      <c r="D85" s="453">
        <f>IF(LN_IC1=0,0,LN_IC2/LN_IC1)</f>
        <v>0.12752162490205418</v>
      </c>
      <c r="E85" s="454">
        <f t="shared" si="8"/>
        <v>5.7553526676757949E-2</v>
      </c>
      <c r="F85" s="449">
        <f t="shared" si="9"/>
        <v>0.82256811513493555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35</v>
      </c>
      <c r="D86" s="456">
        <v>45</v>
      </c>
      <c r="E86" s="456">
        <f t="shared" si="8"/>
        <v>10</v>
      </c>
      <c r="F86" s="449">
        <f t="shared" si="9"/>
        <v>0.2857142857142857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0.93859999999999999</v>
      </c>
      <c r="D87" s="459">
        <v>1.0604</v>
      </c>
      <c r="E87" s="460">
        <f t="shared" si="8"/>
        <v>0.12180000000000002</v>
      </c>
      <c r="F87" s="449">
        <f t="shared" si="9"/>
        <v>0.12976773918602175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32.850999999999999</v>
      </c>
      <c r="D88" s="463">
        <f>LN_IC4*LN_IC5</f>
        <v>47.718000000000004</v>
      </c>
      <c r="E88" s="463">
        <f t="shared" si="8"/>
        <v>14.867000000000004</v>
      </c>
      <c r="F88" s="449">
        <f t="shared" si="9"/>
        <v>0.45255852181059952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1588.962284253143</v>
      </c>
      <c r="D89" s="465">
        <f>IF(LN_IC6=0,0,LN_IC2/LN_IC6)</f>
        <v>2609.0783352194139</v>
      </c>
      <c r="E89" s="465">
        <f t="shared" si="8"/>
        <v>1020.1160509662709</v>
      </c>
      <c r="F89" s="449">
        <f t="shared" si="9"/>
        <v>0.64200142512869907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9169.8842582837588</v>
      </c>
      <c r="D90" s="465">
        <f>LN_IB7-LN_IC7</f>
        <v>8048.6511635227762</v>
      </c>
      <c r="E90" s="465">
        <f t="shared" si="8"/>
        <v>-1121.2330947609826</v>
      </c>
      <c r="F90" s="449">
        <f t="shared" si="9"/>
        <v>-0.12227341841835125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9811.906212229469</v>
      </c>
      <c r="D91" s="465">
        <f>LN_IA7-LN_IC7</f>
        <v>9168.2706687444643</v>
      </c>
      <c r="E91" s="465">
        <f t="shared" si="8"/>
        <v>-643.63554348500475</v>
      </c>
      <c r="F91" s="449">
        <f t="shared" si="9"/>
        <v>-6.5597400705153838E-2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322330.93097795028</v>
      </c>
      <c r="D92" s="441">
        <f>LN_IC9*LN_IC6</f>
        <v>437491.53977114835</v>
      </c>
      <c r="E92" s="441">
        <f t="shared" si="8"/>
        <v>115160.60879319807</v>
      </c>
      <c r="F92" s="449">
        <f t="shared" si="9"/>
        <v>0.35727445840770361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118</v>
      </c>
      <c r="D93" s="456">
        <v>163</v>
      </c>
      <c r="E93" s="456">
        <f t="shared" si="8"/>
        <v>45</v>
      </c>
      <c r="F93" s="449">
        <f t="shared" si="9"/>
        <v>0.38135593220338981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442.36440677966101</v>
      </c>
      <c r="D94" s="499">
        <f>IF(LN_IC11=0,0,LN_IC2/LN_IC11)</f>
        <v>763.80368098159511</v>
      </c>
      <c r="E94" s="499">
        <f t="shared" si="8"/>
        <v>321.4392742019341</v>
      </c>
      <c r="F94" s="449">
        <f t="shared" si="9"/>
        <v>0.72663909951968852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3.3714285714285714</v>
      </c>
      <c r="D95" s="466">
        <f>IF(LN_IC4=0,0,LN_IC11/LN_IC4)</f>
        <v>3.6222222222222222</v>
      </c>
      <c r="E95" s="466">
        <f t="shared" si="8"/>
        <v>0.25079365079365079</v>
      </c>
      <c r="F95" s="449">
        <f t="shared" si="9"/>
        <v>7.4387947269303201E-2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3705669</v>
      </c>
      <c r="D98" s="448">
        <v>2995796</v>
      </c>
      <c r="E98" s="448">
        <f t="shared" ref="E98:E106" si="10">D98-C98</f>
        <v>-709873</v>
      </c>
      <c r="F98" s="449">
        <f t="shared" ref="F98:F106" si="11">IF(C98=0,0,E98/C98)</f>
        <v>-0.19156406036264978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1227999</v>
      </c>
      <c r="D99" s="448">
        <v>700261</v>
      </c>
      <c r="E99" s="448">
        <f t="shared" si="10"/>
        <v>-527738</v>
      </c>
      <c r="F99" s="449">
        <f t="shared" si="11"/>
        <v>-0.42975442162412186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0.33138388776763383</v>
      </c>
      <c r="D100" s="453">
        <f>IF(LN_IC14=0,0,LN_IC15/LN_IC14)</f>
        <v>0.23374789204605387</v>
      </c>
      <c r="E100" s="454">
        <f t="shared" si="10"/>
        <v>-9.7635995721579966E-2</v>
      </c>
      <c r="F100" s="449">
        <f t="shared" si="11"/>
        <v>-0.29463108897449553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4.9671183850731868</v>
      </c>
      <c r="D101" s="453">
        <f>IF(LN_IC1=0,0,LN_IC14/LN_IC1)</f>
        <v>3.0685042071893518</v>
      </c>
      <c r="E101" s="454">
        <f t="shared" si="10"/>
        <v>-1.898614177883835</v>
      </c>
      <c r="F101" s="449">
        <f t="shared" si="11"/>
        <v>-0.38223654656378003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173.84914347756154</v>
      </c>
      <c r="D102" s="463">
        <f>LN_IC17*LN_IC4</f>
        <v>138.08268932352084</v>
      </c>
      <c r="E102" s="463">
        <f t="shared" si="10"/>
        <v>-35.766454154040701</v>
      </c>
      <c r="F102" s="449">
        <f t="shared" si="11"/>
        <v>-0.20573270272485999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7063.5895894333016</v>
      </c>
      <c r="D103" s="465">
        <f>IF(LN_IC18=0,0,LN_IC15/LN_IC18)</f>
        <v>5071.3163498671693</v>
      </c>
      <c r="E103" s="465">
        <f t="shared" si="10"/>
        <v>-1992.2732395661324</v>
      </c>
      <c r="F103" s="449">
        <f t="shared" si="11"/>
        <v>-0.2820482722476475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6923.2179362023498</v>
      </c>
      <c r="D104" s="465">
        <f>LN_IB18-LN_IC19</f>
        <v>8165.24879555605</v>
      </c>
      <c r="E104" s="465">
        <f t="shared" si="10"/>
        <v>1242.0308593537002</v>
      </c>
      <c r="F104" s="449">
        <f t="shared" si="11"/>
        <v>0.17940080332571498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4012.0102773800745</v>
      </c>
      <c r="D105" s="465">
        <f>LN_IA16-LN_IC19</f>
        <v>6750.1388614025818</v>
      </c>
      <c r="E105" s="465">
        <f t="shared" si="10"/>
        <v>2738.1285840225073</v>
      </c>
      <c r="F105" s="449">
        <f t="shared" si="11"/>
        <v>0.68248294364055362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697484.5503457</v>
      </c>
      <c r="D106" s="448">
        <f>LN_IC21*LN_IC18</f>
        <v>932077.32728967734</v>
      </c>
      <c r="E106" s="448">
        <f t="shared" si="10"/>
        <v>234592.77694397734</v>
      </c>
      <c r="F106" s="449">
        <f t="shared" si="11"/>
        <v>0.33634118035690425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4451709</v>
      </c>
      <c r="D109" s="448">
        <f>LN_IC1+LN_IC14</f>
        <v>3972101</v>
      </c>
      <c r="E109" s="448">
        <f>D109-C109</f>
        <v>-479608</v>
      </c>
      <c r="F109" s="449">
        <f>IF(C109=0,0,E109/C109)</f>
        <v>-0.10773570329956428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1280198</v>
      </c>
      <c r="D110" s="448">
        <f>LN_IC2+LN_IC15</f>
        <v>824761</v>
      </c>
      <c r="E110" s="448">
        <f>D110-C110</f>
        <v>-455437</v>
      </c>
      <c r="F110" s="449">
        <f>IF(C110=0,0,E110/C110)</f>
        <v>-0.35575512537904291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3171511</v>
      </c>
      <c r="D111" s="448">
        <f>LN_IC23-LN_IC24</f>
        <v>3147340</v>
      </c>
      <c r="E111" s="448">
        <f>D111-C111</f>
        <v>-24171</v>
      </c>
      <c r="F111" s="449">
        <f>IF(C111=0,0,E111/C111)</f>
        <v>-7.6212884016482992E-3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1019815.4813236503</v>
      </c>
      <c r="D113" s="448">
        <f>LN_IC10+LN_IC22</f>
        <v>1369568.8670608257</v>
      </c>
      <c r="E113" s="448">
        <f>D113-C113</f>
        <v>349753.38573717535</v>
      </c>
      <c r="F113" s="449">
        <f>IF(C113=0,0,E113/C113)</f>
        <v>0.34295751745523567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63921560</v>
      </c>
      <c r="D118" s="448">
        <v>65206770</v>
      </c>
      <c r="E118" s="448">
        <f t="shared" ref="E118:E130" si="12">D118-C118</f>
        <v>1285210</v>
      </c>
      <c r="F118" s="449">
        <f t="shared" ref="F118:F130" si="13">IF(C118=0,0,E118/C118)</f>
        <v>2.0106048725969768E-2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23252661</v>
      </c>
      <c r="D119" s="448">
        <v>24580567</v>
      </c>
      <c r="E119" s="448">
        <f t="shared" si="12"/>
        <v>1327906</v>
      </c>
      <c r="F119" s="449">
        <f t="shared" si="13"/>
        <v>5.7107700490709429E-2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0.36376867210374714</v>
      </c>
      <c r="D120" s="453">
        <f>IF(LN_ID1=0,0,LN_1D2/LN_ID1)</f>
        <v>0.37696341959584873</v>
      </c>
      <c r="E120" s="454">
        <f t="shared" si="12"/>
        <v>1.3194747492101588E-2</v>
      </c>
      <c r="F120" s="449">
        <f t="shared" si="13"/>
        <v>3.6272357968028746E-2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2162</v>
      </c>
      <c r="D121" s="456">
        <v>2272</v>
      </c>
      <c r="E121" s="456">
        <f t="shared" si="12"/>
        <v>110</v>
      </c>
      <c r="F121" s="449">
        <f t="shared" si="13"/>
        <v>5.0878815911193337E-2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1.3789</v>
      </c>
      <c r="D122" s="459">
        <v>1.3765000000000001</v>
      </c>
      <c r="E122" s="460">
        <f t="shared" si="12"/>
        <v>-2.3999999999999577E-3</v>
      </c>
      <c r="F122" s="449">
        <f t="shared" si="13"/>
        <v>-1.7405178040466732E-3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2981.1817999999998</v>
      </c>
      <c r="D123" s="463">
        <f>LN_ID4*LN_ID5</f>
        <v>3127.4080000000004</v>
      </c>
      <c r="E123" s="463">
        <f t="shared" si="12"/>
        <v>146.22620000000052</v>
      </c>
      <c r="F123" s="449">
        <f t="shared" si="13"/>
        <v>4.9049742622204566E-2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7799.8131479267722</v>
      </c>
      <c r="D124" s="465">
        <f>IF(LN_ID6=0,0,LN_1D2/LN_ID6)</f>
        <v>7859.7250502652669</v>
      </c>
      <c r="E124" s="465">
        <f t="shared" si="12"/>
        <v>59.911902338494656</v>
      </c>
      <c r="F124" s="449">
        <f t="shared" si="13"/>
        <v>7.6811971264234098E-3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2959.0333946101291</v>
      </c>
      <c r="D125" s="465">
        <f>LN_IB7-LN_ID7</f>
        <v>2798.0044484769232</v>
      </c>
      <c r="E125" s="465">
        <f t="shared" si="12"/>
        <v>-161.02894613320586</v>
      </c>
      <c r="F125" s="449">
        <f t="shared" si="13"/>
        <v>-5.4419441979438161E-2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3601.0553485558394</v>
      </c>
      <c r="D126" s="465">
        <f>LN_IA7-LN_ID7</f>
        <v>3917.6239536986113</v>
      </c>
      <c r="E126" s="465">
        <f t="shared" si="12"/>
        <v>316.56860514277196</v>
      </c>
      <c r="F126" s="449">
        <f t="shared" si="13"/>
        <v>8.7909952639225061E-2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10735400.665907323</v>
      </c>
      <c r="D127" s="479">
        <f>LN_ID9*LN_ID6</f>
        <v>12252008.493788669</v>
      </c>
      <c r="E127" s="479">
        <f t="shared" si="12"/>
        <v>1516607.8278813455</v>
      </c>
      <c r="F127" s="449">
        <f t="shared" si="13"/>
        <v>0.14127165581231396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10730</v>
      </c>
      <c r="D128" s="456">
        <v>9677</v>
      </c>
      <c r="E128" s="456">
        <f t="shared" si="12"/>
        <v>-1053</v>
      </c>
      <c r="F128" s="449">
        <f t="shared" si="13"/>
        <v>-9.8136067101584346E-2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2167.0699906803356</v>
      </c>
      <c r="D129" s="465">
        <f>IF(LN_ID11=0,0,LN_1D2/LN_ID11)</f>
        <v>2540.1019944197583</v>
      </c>
      <c r="E129" s="465">
        <f t="shared" si="12"/>
        <v>373.03200373942263</v>
      </c>
      <c r="F129" s="449">
        <f t="shared" si="13"/>
        <v>0.17213657396562074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4.9629972247918595</v>
      </c>
      <c r="D130" s="466">
        <f>IF(LN_ID4=0,0,LN_ID11/LN_ID4)</f>
        <v>4.259242957746479</v>
      </c>
      <c r="E130" s="466">
        <f t="shared" si="12"/>
        <v>-0.70375426704538047</v>
      </c>
      <c r="F130" s="449">
        <f t="shared" si="13"/>
        <v>-0.14180025399367313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63296593</v>
      </c>
      <c r="D133" s="448">
        <v>79190281</v>
      </c>
      <c r="E133" s="448">
        <f t="shared" ref="E133:E141" si="14">D133-C133</f>
        <v>15893688</v>
      </c>
      <c r="F133" s="449">
        <f t="shared" ref="F133:F141" si="15">IF(C133=0,0,E133/C133)</f>
        <v>0.25109863338142069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23849438</v>
      </c>
      <c r="D134" s="448">
        <v>27286597</v>
      </c>
      <c r="E134" s="448">
        <f t="shared" si="14"/>
        <v>3437159</v>
      </c>
      <c r="F134" s="449">
        <f t="shared" si="15"/>
        <v>0.14411907735519805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0.37678865274786588</v>
      </c>
      <c r="D135" s="453">
        <f>IF(LN_ID14=0,0,LN_ID15/LN_ID14)</f>
        <v>0.34457002368762907</v>
      </c>
      <c r="E135" s="454">
        <f t="shared" si="14"/>
        <v>-3.2218629060236814E-2</v>
      </c>
      <c r="F135" s="449">
        <f t="shared" si="15"/>
        <v>-8.5508490835036963E-2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0.99022290757609799</v>
      </c>
      <c r="D136" s="453">
        <f>IF(LN_ID1=0,0,LN_ID14/LN_ID1)</f>
        <v>1.2144487604584615</v>
      </c>
      <c r="E136" s="454">
        <f t="shared" si="14"/>
        <v>0.22422585288236352</v>
      </c>
      <c r="F136" s="449">
        <f t="shared" si="15"/>
        <v>0.22643977549583391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2140.8619261795238</v>
      </c>
      <c r="D137" s="463">
        <f>LN_ID17*LN_ID4</f>
        <v>2759.2275837616244</v>
      </c>
      <c r="E137" s="463">
        <f t="shared" si="14"/>
        <v>618.36565758210054</v>
      </c>
      <c r="F137" s="449">
        <f t="shared" si="15"/>
        <v>0.28883957905945168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11140.110302470803</v>
      </c>
      <c r="D138" s="465">
        <f>IF(LN_ID18=0,0,LN_ID15/LN_ID18)</f>
        <v>9889.215793791278</v>
      </c>
      <c r="E138" s="465">
        <f t="shared" si="14"/>
        <v>-1250.8945086795247</v>
      </c>
      <c r="F138" s="449">
        <f t="shared" si="15"/>
        <v>-0.11228744372504863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2846.6972231648488</v>
      </c>
      <c r="D139" s="465">
        <f>LN_IB18-LN_ID19</f>
        <v>3347.3493516319413</v>
      </c>
      <c r="E139" s="465">
        <f t="shared" si="14"/>
        <v>500.65212846709255</v>
      </c>
      <c r="F139" s="449">
        <f t="shared" si="15"/>
        <v>0.17587122521954995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-64.510435657426569</v>
      </c>
      <c r="D140" s="465">
        <f>LN_IA16-LN_ID19</f>
        <v>1932.2394174784731</v>
      </c>
      <c r="E140" s="465">
        <f t="shared" si="14"/>
        <v>1996.7498531358997</v>
      </c>
      <c r="F140" s="449">
        <f t="shared" si="15"/>
        <v>-30.952354185598029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-138107.93554023848</v>
      </c>
      <c r="D141" s="441">
        <f>LN_ID21*LN_ID18</f>
        <v>5331488.2991380962</v>
      </c>
      <c r="E141" s="441">
        <f t="shared" si="14"/>
        <v>5469596.2346783346</v>
      </c>
      <c r="F141" s="449">
        <f t="shared" si="15"/>
        <v>-39.603779560405769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127218153</v>
      </c>
      <c r="D144" s="448">
        <f>LN_ID1+LN_ID14</f>
        <v>144397051</v>
      </c>
      <c r="E144" s="448">
        <f>D144-C144</f>
        <v>17178898</v>
      </c>
      <c r="F144" s="449">
        <f>IF(C144=0,0,E144/C144)</f>
        <v>0.13503495841509347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47102099</v>
      </c>
      <c r="D145" s="448">
        <f>LN_1D2+LN_ID15</f>
        <v>51867164</v>
      </c>
      <c r="E145" s="448">
        <f>D145-C145</f>
        <v>4765065</v>
      </c>
      <c r="F145" s="449">
        <f>IF(C145=0,0,E145/C145)</f>
        <v>0.10116459990456052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80116054</v>
      </c>
      <c r="D146" s="448">
        <f>LN_ID23-LN_ID24</f>
        <v>92529887</v>
      </c>
      <c r="E146" s="448">
        <f>D146-C146</f>
        <v>12413833</v>
      </c>
      <c r="F146" s="449">
        <f>IF(C146=0,0,E146/C146)</f>
        <v>0.15494813311699052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10597292.730367085</v>
      </c>
      <c r="D148" s="448">
        <f>LN_ID10+LN_ID22</f>
        <v>17583496.792926766</v>
      </c>
      <c r="E148" s="448">
        <f>D148-C148</f>
        <v>6986204.062559681</v>
      </c>
      <c r="F148" s="503">
        <f>IF(C148=0,0,E148/C148)</f>
        <v>0.65924422777719027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82012</v>
      </c>
      <c r="D153" s="448">
        <v>73082</v>
      </c>
      <c r="E153" s="448">
        <f t="shared" ref="E153:E165" si="16">D153-C153</f>
        <v>-8930</v>
      </c>
      <c r="F153" s="449">
        <f t="shared" ref="F153:F165" si="17">IF(C153=0,0,E153/C153)</f>
        <v>-0.1088865044139882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25610</v>
      </c>
      <c r="D154" s="448">
        <v>15633</v>
      </c>
      <c r="E154" s="448">
        <f t="shared" si="16"/>
        <v>-9977</v>
      </c>
      <c r="F154" s="449">
        <f t="shared" si="17"/>
        <v>-0.38957438500585706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0.31227137492074331</v>
      </c>
      <c r="D155" s="453">
        <f>IF(LN_IE1=0,0,LN_IE2/LN_IE1)</f>
        <v>0.21391040201417585</v>
      </c>
      <c r="E155" s="454">
        <f t="shared" si="16"/>
        <v>-9.8360972906567451E-2</v>
      </c>
      <c r="F155" s="449">
        <f t="shared" si="17"/>
        <v>-0.31498555681426826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7</v>
      </c>
      <c r="D156" s="506">
        <v>5</v>
      </c>
      <c r="E156" s="506">
        <f t="shared" si="16"/>
        <v>-2</v>
      </c>
      <c r="F156" s="449">
        <f t="shared" si="17"/>
        <v>-0.2857142857142857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1.1148</v>
      </c>
      <c r="D157" s="459">
        <v>1.0943000000000001</v>
      </c>
      <c r="E157" s="460">
        <f t="shared" si="16"/>
        <v>-2.0499999999999963E-2</v>
      </c>
      <c r="F157" s="449">
        <f t="shared" si="17"/>
        <v>-1.838894869034801E-2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7.8036000000000003</v>
      </c>
      <c r="D158" s="463">
        <f>LN_IE4*LN_IE5</f>
        <v>5.4715000000000007</v>
      </c>
      <c r="E158" s="463">
        <f t="shared" si="16"/>
        <v>-2.3320999999999996</v>
      </c>
      <c r="F158" s="449">
        <f t="shared" si="17"/>
        <v>-0.29884924906453425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3281.8186478035777</v>
      </c>
      <c r="D159" s="465">
        <f>IF(LN_IE6=0,0,LN_IE2/LN_IE6)</f>
        <v>2857.1689664625783</v>
      </c>
      <c r="E159" s="465">
        <f t="shared" si="16"/>
        <v>-424.64968134099945</v>
      </c>
      <c r="F159" s="449">
        <f t="shared" si="17"/>
        <v>-0.12939462137105129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7477.0278947333236</v>
      </c>
      <c r="D160" s="465">
        <f>LN_IB7-LN_IE7</f>
        <v>7800.5605322796118</v>
      </c>
      <c r="E160" s="465">
        <f t="shared" si="16"/>
        <v>323.53263754628824</v>
      </c>
      <c r="F160" s="449">
        <f t="shared" si="17"/>
        <v>4.3270219410867582E-2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8119.0498486790339</v>
      </c>
      <c r="D161" s="465">
        <f>LN_IA7-LN_IE7</f>
        <v>8920.1800375013008</v>
      </c>
      <c r="E161" s="465">
        <f t="shared" si="16"/>
        <v>801.13018882226697</v>
      </c>
      <c r="F161" s="449">
        <f t="shared" si="17"/>
        <v>9.8672899385216922E-2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63357.817399151711</v>
      </c>
      <c r="D162" s="479">
        <f>LN_IE9*LN_IE6</f>
        <v>48806.76507518837</v>
      </c>
      <c r="E162" s="479">
        <f t="shared" si="16"/>
        <v>-14551.05232396334</v>
      </c>
      <c r="F162" s="449">
        <f t="shared" si="17"/>
        <v>-0.22966467156360981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13</v>
      </c>
      <c r="D163" s="456">
        <v>15</v>
      </c>
      <c r="E163" s="506">
        <f t="shared" si="16"/>
        <v>2</v>
      </c>
      <c r="F163" s="449">
        <f t="shared" si="17"/>
        <v>0.15384615384615385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1970</v>
      </c>
      <c r="D164" s="465">
        <f>IF(LN_IE11=0,0,LN_IE2/LN_IE11)</f>
        <v>1042.2</v>
      </c>
      <c r="E164" s="465">
        <f t="shared" si="16"/>
        <v>-927.8</v>
      </c>
      <c r="F164" s="449">
        <f t="shared" si="17"/>
        <v>-0.4709644670050761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1.8571428571428572</v>
      </c>
      <c r="D165" s="466">
        <f>IF(LN_IE4=0,0,LN_IE11/LN_IE4)</f>
        <v>3</v>
      </c>
      <c r="E165" s="466">
        <f t="shared" si="16"/>
        <v>1.1428571428571428</v>
      </c>
      <c r="F165" s="449">
        <f t="shared" si="17"/>
        <v>0.61538461538461531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111181</v>
      </c>
      <c r="D168" s="511">
        <v>169320</v>
      </c>
      <c r="E168" s="511">
        <f t="shared" ref="E168:E176" si="18">D168-C168</f>
        <v>58139</v>
      </c>
      <c r="F168" s="449">
        <f t="shared" ref="F168:F176" si="19">IF(C168=0,0,E168/C168)</f>
        <v>0.52292208201041546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82152</v>
      </c>
      <c r="D169" s="511">
        <v>65438</v>
      </c>
      <c r="E169" s="511">
        <f t="shared" si="18"/>
        <v>-16714</v>
      </c>
      <c r="F169" s="449">
        <f t="shared" si="19"/>
        <v>-0.20345213750121727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0.73890322986841273</v>
      </c>
      <c r="D170" s="453">
        <f>IF(LN_IE14=0,0,LN_IE15/LN_IE14)</f>
        <v>0.38647531301677296</v>
      </c>
      <c r="E170" s="454">
        <f t="shared" si="18"/>
        <v>-0.35242791685163977</v>
      </c>
      <c r="F170" s="449">
        <f t="shared" si="19"/>
        <v>-0.47696085577322722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1.3556674632980539</v>
      </c>
      <c r="D171" s="453">
        <f>IF(LN_IE1=0,0,LN_IE14/LN_IE1)</f>
        <v>2.316849566240661</v>
      </c>
      <c r="E171" s="454">
        <f t="shared" si="18"/>
        <v>0.96118210294260709</v>
      </c>
      <c r="F171" s="449">
        <f t="shared" si="19"/>
        <v>0.70901023220270631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9.4896722430863765</v>
      </c>
      <c r="D172" s="463">
        <f>LN_IE17*LN_IE4</f>
        <v>11.584247831203305</v>
      </c>
      <c r="E172" s="463">
        <f t="shared" si="18"/>
        <v>2.0945755881169283</v>
      </c>
      <c r="F172" s="449">
        <f t="shared" si="19"/>
        <v>0.22072159443050463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8656.9902411383246</v>
      </c>
      <c r="D173" s="465">
        <f>IF(LN_IE18=0,0,LN_IE15/LN_IE18)</f>
        <v>5648.8777651783612</v>
      </c>
      <c r="E173" s="465">
        <f t="shared" si="18"/>
        <v>-3008.1124759599634</v>
      </c>
      <c r="F173" s="449">
        <f t="shared" si="19"/>
        <v>-0.34747786380367002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5329.8172844973269</v>
      </c>
      <c r="D174" s="465">
        <f>LN_IB18-LN_IE19</f>
        <v>7587.6873802448581</v>
      </c>
      <c r="E174" s="465">
        <f t="shared" si="18"/>
        <v>2257.8700957475312</v>
      </c>
      <c r="F174" s="449">
        <f t="shared" si="19"/>
        <v>0.42362992485969969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2418.6096256750516</v>
      </c>
      <c r="D175" s="465">
        <f>LN_IA16-LN_IE19</f>
        <v>6172.5774460913899</v>
      </c>
      <c r="E175" s="465">
        <f t="shared" si="18"/>
        <v>3753.9678204163383</v>
      </c>
      <c r="F175" s="449">
        <f t="shared" si="19"/>
        <v>1.5521181180152537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22951.81263163007</v>
      </c>
      <c r="D176" s="441">
        <f>LN_IE21*LN_IE18</f>
        <v>71504.666892818612</v>
      </c>
      <c r="E176" s="441">
        <f t="shared" si="18"/>
        <v>48552.854261188542</v>
      </c>
      <c r="F176" s="449">
        <f t="shared" si="19"/>
        <v>2.1154256981985586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193193</v>
      </c>
      <c r="D179" s="448">
        <f>LN_IE1+LN_IE14</f>
        <v>242402</v>
      </c>
      <c r="E179" s="448">
        <f>D179-C179</f>
        <v>49209</v>
      </c>
      <c r="F179" s="449">
        <f>IF(C179=0,0,E179/C179)</f>
        <v>0.25471419771937909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107762</v>
      </c>
      <c r="D180" s="448">
        <f>LN_IE15+LN_IE2</f>
        <v>81071</v>
      </c>
      <c r="E180" s="448">
        <f>D180-C180</f>
        <v>-26691</v>
      </c>
      <c r="F180" s="449">
        <f>IF(C180=0,0,E180/C180)</f>
        <v>-0.24768471260741262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85431</v>
      </c>
      <c r="D181" s="448">
        <f>LN_IE23-LN_IE24</f>
        <v>161331</v>
      </c>
      <c r="E181" s="448">
        <f>D181-C181</f>
        <v>75900</v>
      </c>
      <c r="F181" s="449">
        <f>IF(C181=0,0,E181/C181)</f>
        <v>0.8884362819117182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86309.630030781787</v>
      </c>
      <c r="D183" s="448">
        <f>LN_IE10+LN_IE22</f>
        <v>120311.43196800697</v>
      </c>
      <c r="E183" s="441">
        <f>D183-C183</f>
        <v>34001.801937225187</v>
      </c>
      <c r="F183" s="449">
        <f>IF(C183=0,0,E183/C183)</f>
        <v>0.39395142726366289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64003572</v>
      </c>
      <c r="D188" s="448">
        <f>LN_ID1+LN_IE1</f>
        <v>65279852</v>
      </c>
      <c r="E188" s="448">
        <f t="shared" ref="E188:E200" si="20">D188-C188</f>
        <v>1276280</v>
      </c>
      <c r="F188" s="449">
        <f t="shared" ref="F188:F200" si="21">IF(C188=0,0,E188/C188)</f>
        <v>1.9940762056217736E-2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23278271</v>
      </c>
      <c r="D189" s="448">
        <f>LN_1D2+LN_IE2</f>
        <v>24596200</v>
      </c>
      <c r="E189" s="448">
        <f t="shared" si="20"/>
        <v>1317929</v>
      </c>
      <c r="F189" s="449">
        <f t="shared" si="21"/>
        <v>5.6616275323884663E-2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0.36370268521888122</v>
      </c>
      <c r="D190" s="453">
        <f>IF(LN_IF1=0,0,LN_IF2/LN_IF1)</f>
        <v>0.3767808787311589</v>
      </c>
      <c r="E190" s="454">
        <f t="shared" si="20"/>
        <v>1.307819351227768E-2</v>
      </c>
      <c r="F190" s="449">
        <f t="shared" si="21"/>
        <v>3.5958473895805983E-2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2169</v>
      </c>
      <c r="D191" s="456">
        <f>LN_ID4+LN_IE4</f>
        <v>2277</v>
      </c>
      <c r="E191" s="456">
        <f t="shared" si="20"/>
        <v>108</v>
      </c>
      <c r="F191" s="449">
        <f t="shared" si="21"/>
        <v>4.9792531120331947E-2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1.3780476717381283</v>
      </c>
      <c r="D192" s="459">
        <f>IF((LN_ID4+LN_IE4)=0,0,(LN_ID6+LN_IE6)/(LN_ID4+LN_IE4))</f>
        <v>1.3758803249890208</v>
      </c>
      <c r="E192" s="460">
        <f t="shared" si="20"/>
        <v>-2.1673467491074572E-3</v>
      </c>
      <c r="F192" s="449">
        <f t="shared" si="21"/>
        <v>-1.5727661629976761E-3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2988.9854</v>
      </c>
      <c r="D193" s="463">
        <f>LN_IF4*LN_IF5</f>
        <v>3132.8795000000005</v>
      </c>
      <c r="E193" s="463">
        <f t="shared" si="20"/>
        <v>143.89410000000044</v>
      </c>
      <c r="F193" s="449">
        <f t="shared" si="21"/>
        <v>4.8141452949218295E-2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7788.0176330068389</v>
      </c>
      <c r="D194" s="465">
        <f>IF(LN_IF6=0,0,LN_IF2/LN_IF6)</f>
        <v>7850.9882043021435</v>
      </c>
      <c r="E194" s="465">
        <f t="shared" si="20"/>
        <v>62.97057129530458</v>
      </c>
      <c r="F194" s="449">
        <f t="shared" si="21"/>
        <v>8.0855712278340812E-3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2970.8289095300624</v>
      </c>
      <c r="D195" s="465">
        <f>LN_IB7-LN_IF7</f>
        <v>2806.7412944400467</v>
      </c>
      <c r="E195" s="465">
        <f t="shared" si="20"/>
        <v>-164.08761509001579</v>
      </c>
      <c r="F195" s="449">
        <f t="shared" si="21"/>
        <v>-5.5232940060480233E-2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3612.8508634757727</v>
      </c>
      <c r="D196" s="465">
        <f>LN_IA7-LN_IF7</f>
        <v>3926.3607996617347</v>
      </c>
      <c r="E196" s="465">
        <f t="shared" si="20"/>
        <v>313.50993618596203</v>
      </c>
      <c r="F196" s="449">
        <f t="shared" si="21"/>
        <v>8.6776329284831658E-2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10798758.483306475</v>
      </c>
      <c r="D197" s="479">
        <f>LN_IF9*LN_IF6</f>
        <v>12300815.258863857</v>
      </c>
      <c r="E197" s="479">
        <f t="shared" si="20"/>
        <v>1502056.775557382</v>
      </c>
      <c r="F197" s="449">
        <f t="shared" si="21"/>
        <v>0.13909532080742182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10743</v>
      </c>
      <c r="D198" s="456">
        <f>LN_ID11+LN_IE11</f>
        <v>9692</v>
      </c>
      <c r="E198" s="456">
        <f t="shared" si="20"/>
        <v>-1051</v>
      </c>
      <c r="F198" s="449">
        <f t="shared" si="21"/>
        <v>-9.7831145862422045E-2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2166.8315181978965</v>
      </c>
      <c r="D199" s="519">
        <f>IF(LN_IF11=0,0,LN_IF2/LN_IF11)</f>
        <v>2537.7837391663229</v>
      </c>
      <c r="E199" s="519">
        <f t="shared" si="20"/>
        <v>370.95222096842645</v>
      </c>
      <c r="F199" s="449">
        <f t="shared" si="21"/>
        <v>0.17119569189068232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4.9529737206085755</v>
      </c>
      <c r="D200" s="466">
        <f>IF(LN_IF4=0,0,LN_IF11/LN_IF4)</f>
        <v>4.2564778216952126</v>
      </c>
      <c r="E200" s="466">
        <f t="shared" si="20"/>
        <v>-0.69649589891336294</v>
      </c>
      <c r="F200" s="449">
        <f t="shared" si="21"/>
        <v>-0.14062176344997526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63407774</v>
      </c>
      <c r="D203" s="448">
        <f>LN_ID14+LN_IE14</f>
        <v>79359601</v>
      </c>
      <c r="E203" s="448">
        <f t="shared" ref="E203:E211" si="22">D203-C203</f>
        <v>15951827</v>
      </c>
      <c r="F203" s="449">
        <f t="shared" ref="F203:F211" si="23">IF(C203=0,0,E203/C203)</f>
        <v>0.25157525637156103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23931590</v>
      </c>
      <c r="D204" s="448">
        <f>LN_ID15+LN_IE15</f>
        <v>27352035</v>
      </c>
      <c r="E204" s="448">
        <f t="shared" si="22"/>
        <v>3420445</v>
      </c>
      <c r="F204" s="449">
        <f t="shared" si="23"/>
        <v>0.14292594014856513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0.37742359477877269</v>
      </c>
      <c r="D205" s="453">
        <f>IF(LN_IF14=0,0,LN_IF15/LN_IF14)</f>
        <v>0.34465943194447263</v>
      </c>
      <c r="E205" s="454">
        <f t="shared" si="22"/>
        <v>-3.2764162834300059E-2</v>
      </c>
      <c r="F205" s="449">
        <f t="shared" si="23"/>
        <v>-8.6810054505216644E-2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0.99069117579875077</v>
      </c>
      <c r="D206" s="453">
        <f>IF(LN_IF1=0,0,LN_IF14/LN_IF1)</f>
        <v>1.2156829185213227</v>
      </c>
      <c r="E206" s="454">
        <f t="shared" si="22"/>
        <v>0.22499174272257194</v>
      </c>
      <c r="F206" s="449">
        <f t="shared" si="23"/>
        <v>0.22710583097822687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2150.3515984226101</v>
      </c>
      <c r="D207" s="463">
        <f>LN_ID18+LN_IE18</f>
        <v>2770.8118315928277</v>
      </c>
      <c r="E207" s="463">
        <f t="shared" si="22"/>
        <v>620.46023317021763</v>
      </c>
      <c r="F207" s="449">
        <f t="shared" si="23"/>
        <v>0.28853896898784187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11129.152096594349</v>
      </c>
      <c r="D208" s="465">
        <f>IF(LN_IF18=0,0,LN_IF15/LN_IF18)</f>
        <v>9871.4877308274026</v>
      </c>
      <c r="E208" s="465">
        <f t="shared" si="22"/>
        <v>-1257.6643657669465</v>
      </c>
      <c r="F208" s="449">
        <f t="shared" si="23"/>
        <v>-0.11300630585791047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2857.6554290413023</v>
      </c>
      <c r="D209" s="465">
        <f>LN_IB18-LN_IF19</f>
        <v>3365.0774145958167</v>
      </c>
      <c r="E209" s="465">
        <f t="shared" si="22"/>
        <v>507.42198555451432</v>
      </c>
      <c r="F209" s="449">
        <f t="shared" si="23"/>
        <v>0.17756583960325345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-53.552229780972993</v>
      </c>
      <c r="D210" s="465">
        <f>LN_IA16-LN_IF19</f>
        <v>1949.9674804423485</v>
      </c>
      <c r="E210" s="465">
        <f t="shared" si="22"/>
        <v>2003.5197102233215</v>
      </c>
      <c r="F210" s="449">
        <f t="shared" si="23"/>
        <v>-37.412442365474917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-115156.12290860841</v>
      </c>
      <c r="D211" s="441">
        <f>LN_IF21*LN_IF18</f>
        <v>5402992.9660309153</v>
      </c>
      <c r="E211" s="441">
        <f t="shared" si="22"/>
        <v>5518149.0889395233</v>
      </c>
      <c r="F211" s="449">
        <f t="shared" si="23"/>
        <v>-47.918850943938985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127411346</v>
      </c>
      <c r="D214" s="448">
        <f>LN_IF1+LN_IF14</f>
        <v>144639453</v>
      </c>
      <c r="E214" s="448">
        <f>D214-C214</f>
        <v>17228107</v>
      </c>
      <c r="F214" s="449">
        <f>IF(C214=0,0,E214/C214)</f>
        <v>0.13521642727171251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47209861</v>
      </c>
      <c r="D215" s="448">
        <f>LN_IF2+LN_IF15</f>
        <v>51948235</v>
      </c>
      <c r="E215" s="448">
        <f>D215-C215</f>
        <v>4738374</v>
      </c>
      <c r="F215" s="449">
        <f>IF(C215=0,0,E215/C215)</f>
        <v>0.10036831076456675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80201485</v>
      </c>
      <c r="D216" s="448">
        <f>LN_IF23-LN_IF24</f>
        <v>92691218</v>
      </c>
      <c r="E216" s="448">
        <f>D216-C216</f>
        <v>12489733</v>
      </c>
      <c r="F216" s="449">
        <f>IF(C216=0,0,E216/C216)</f>
        <v>0.15572944815173934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705873</v>
      </c>
      <c r="D221" s="448">
        <v>903866</v>
      </c>
      <c r="E221" s="448">
        <f t="shared" ref="E221:E230" si="24">D221-C221</f>
        <v>197993</v>
      </c>
      <c r="F221" s="449">
        <f t="shared" ref="F221:F230" si="25">IF(C221=0,0,E221/C221)</f>
        <v>0.28049379987618167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261142</v>
      </c>
      <c r="D222" s="448">
        <v>394304</v>
      </c>
      <c r="E222" s="448">
        <f t="shared" si="24"/>
        <v>133162</v>
      </c>
      <c r="F222" s="449">
        <f t="shared" si="25"/>
        <v>0.50992180499498352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0.36995606858457541</v>
      </c>
      <c r="D223" s="453">
        <f>IF(LN_IG1=0,0,LN_IG2/LN_IG1)</f>
        <v>0.43624165528961151</v>
      </c>
      <c r="E223" s="454">
        <f t="shared" si="24"/>
        <v>6.6285586705036093E-2</v>
      </c>
      <c r="F223" s="449">
        <f t="shared" si="25"/>
        <v>0.17917150800807202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35</v>
      </c>
      <c r="D224" s="456">
        <v>38</v>
      </c>
      <c r="E224" s="456">
        <f t="shared" si="24"/>
        <v>3</v>
      </c>
      <c r="F224" s="449">
        <f t="shared" si="25"/>
        <v>8.5714285714285715E-2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1.0742</v>
      </c>
      <c r="D225" s="459">
        <v>1.5103</v>
      </c>
      <c r="E225" s="460">
        <f t="shared" si="24"/>
        <v>0.43609999999999993</v>
      </c>
      <c r="F225" s="449">
        <f t="shared" si="25"/>
        <v>0.40597654068143729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37.597000000000001</v>
      </c>
      <c r="D226" s="463">
        <f>LN_IG3*LN_IG4</f>
        <v>57.391399999999997</v>
      </c>
      <c r="E226" s="463">
        <f t="shared" si="24"/>
        <v>19.794399999999996</v>
      </c>
      <c r="F226" s="449">
        <f t="shared" si="25"/>
        <v>0.52648881559698901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6945.8201452243529</v>
      </c>
      <c r="D227" s="465">
        <f>IF(LN_IG5=0,0,LN_IG2/LN_IG5)</f>
        <v>6870.4370341200947</v>
      </c>
      <c r="E227" s="465">
        <f t="shared" si="24"/>
        <v>-75.383111104258205</v>
      </c>
      <c r="F227" s="449">
        <f t="shared" si="25"/>
        <v>-1.0853018006244861E-2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105</v>
      </c>
      <c r="D228" s="456">
        <v>121</v>
      </c>
      <c r="E228" s="456">
        <f t="shared" si="24"/>
        <v>16</v>
      </c>
      <c r="F228" s="449">
        <f t="shared" si="25"/>
        <v>0.15238095238095239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2487.0666666666666</v>
      </c>
      <c r="D229" s="465">
        <f>IF(LN_IG6=0,0,LN_IG2/LN_IG6)</f>
        <v>3258.7107438016528</v>
      </c>
      <c r="E229" s="465">
        <f t="shared" si="24"/>
        <v>771.64407713498622</v>
      </c>
      <c r="F229" s="449">
        <f t="shared" si="25"/>
        <v>0.31026272334275434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3</v>
      </c>
      <c r="D230" s="466">
        <f>IF(LN_IG3=0,0,LN_IG6/LN_IG3)</f>
        <v>3.1842105263157894</v>
      </c>
      <c r="E230" s="466">
        <f t="shared" si="24"/>
        <v>0.18421052631578938</v>
      </c>
      <c r="F230" s="449">
        <f t="shared" si="25"/>
        <v>6.1403508771929793E-2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1835075</v>
      </c>
      <c r="D233" s="448">
        <v>2211538</v>
      </c>
      <c r="E233" s="448">
        <f>D233-C233</f>
        <v>376463</v>
      </c>
      <c r="F233" s="449">
        <f>IF(C233=0,0,E233/C233)</f>
        <v>0.20514856341021484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718631</v>
      </c>
      <c r="D234" s="448">
        <v>747511</v>
      </c>
      <c r="E234" s="448">
        <f>D234-C234</f>
        <v>28880</v>
      </c>
      <c r="F234" s="449">
        <f>IF(C234=0,0,E234/C234)</f>
        <v>4.0187523221235935E-2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2540948</v>
      </c>
      <c r="D237" s="448">
        <f>LN_IG1+LN_IG9</f>
        <v>3115404</v>
      </c>
      <c r="E237" s="448">
        <f>D237-C237</f>
        <v>574456</v>
      </c>
      <c r="F237" s="449">
        <f>IF(C237=0,0,E237/C237)</f>
        <v>0.22607940028682208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979773</v>
      </c>
      <c r="D238" s="448">
        <f>LN_IG2+LN_IG10</f>
        <v>1141815</v>
      </c>
      <c r="E238" s="448">
        <f>D238-C238</f>
        <v>162042</v>
      </c>
      <c r="F238" s="449">
        <f>IF(C238=0,0,E238/C238)</f>
        <v>0.16538728868829822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1561175</v>
      </c>
      <c r="D239" s="448">
        <f>LN_IG13-LN_IG14</f>
        <v>1973589</v>
      </c>
      <c r="E239" s="448">
        <f>D239-C239</f>
        <v>412414</v>
      </c>
      <c r="F239" s="449">
        <f>IF(C239=0,0,E239/C239)</f>
        <v>0.26416897529104683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23409670</v>
      </c>
      <c r="D243" s="448">
        <v>21955590</v>
      </c>
      <c r="E243" s="441">
        <f>D243-C243</f>
        <v>-1454080</v>
      </c>
      <c r="F243" s="503">
        <f>IF(C243=0,0,E243/C243)</f>
        <v>-6.2114502254837424E-2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309096761</v>
      </c>
      <c r="D244" s="448">
        <v>326572641</v>
      </c>
      <c r="E244" s="441">
        <f>D244-C244</f>
        <v>17475880</v>
      </c>
      <c r="F244" s="503">
        <f>IF(C244=0,0,E244/C244)</f>
        <v>5.6538541340457465E-2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823539</v>
      </c>
      <c r="D248" s="441">
        <v>583681</v>
      </c>
      <c r="E248" s="441">
        <f>D248-C248</f>
        <v>-239858</v>
      </c>
      <c r="F248" s="449">
        <f>IF(C248=0,0,E248/C248)</f>
        <v>-0.29125275184296068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1521412</v>
      </c>
      <c r="D249" s="441">
        <v>5899534</v>
      </c>
      <c r="E249" s="441">
        <f>D249-C249</f>
        <v>4378122</v>
      </c>
      <c r="F249" s="449">
        <f>IF(C249=0,0,E249/C249)</f>
        <v>2.8776702168774797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2344951</v>
      </c>
      <c r="D250" s="441">
        <f>LN_IH4+LN_IH5</f>
        <v>6483215</v>
      </c>
      <c r="E250" s="441">
        <f>D250-C250</f>
        <v>4138264</v>
      </c>
      <c r="F250" s="449">
        <f>IF(C250=0,0,E250/C250)</f>
        <v>1.7647549991449716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1102334.4364750909</v>
      </c>
      <c r="D251" s="441">
        <f>LN_IH6*LN_III10</f>
        <v>2821240.5477630808</v>
      </c>
      <c r="E251" s="441">
        <f>D251-C251</f>
        <v>1718906.1112879899</v>
      </c>
      <c r="F251" s="449">
        <f>IF(C251=0,0,E251/C251)</f>
        <v>1.5593326801841516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127411346</v>
      </c>
      <c r="D254" s="441">
        <f>LN_IF23</f>
        <v>144639453</v>
      </c>
      <c r="E254" s="441">
        <f>D254-C254</f>
        <v>17228107</v>
      </c>
      <c r="F254" s="449">
        <f>IF(C254=0,0,E254/C254)</f>
        <v>0.13521642727171251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47209861</v>
      </c>
      <c r="D255" s="441">
        <f>LN_IF24</f>
        <v>51948235</v>
      </c>
      <c r="E255" s="441">
        <f>D255-C255</f>
        <v>4738374</v>
      </c>
      <c r="F255" s="449">
        <f>IF(C255=0,0,E255/C255)</f>
        <v>0.10036831076456675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59894605.172322504</v>
      </c>
      <c r="D256" s="441">
        <f>LN_IH8*LN_III10</f>
        <v>62941409.410280608</v>
      </c>
      <c r="E256" s="441">
        <f>D256-C256</f>
        <v>3046804.2379581034</v>
      </c>
      <c r="F256" s="449">
        <f>IF(C256=0,0,E256/C256)</f>
        <v>5.0869426873958956E-2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12684744.172322504</v>
      </c>
      <c r="D257" s="441">
        <f>LN_IH10-LN_IH9</f>
        <v>10993174.410280608</v>
      </c>
      <c r="E257" s="441">
        <f>D257-C257</f>
        <v>-1691569.7620418966</v>
      </c>
      <c r="F257" s="449">
        <f>IF(C257=0,0,E257/C257)</f>
        <v>-0.13335466124203116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257095549</v>
      </c>
      <c r="D261" s="448">
        <f>LN_IA1+LN_IB1+LN_IF1+LN_IG1</f>
        <v>275367921</v>
      </c>
      <c r="E261" s="448">
        <f t="shared" ref="E261:E274" si="26">D261-C261</f>
        <v>18272372</v>
      </c>
      <c r="F261" s="503">
        <f t="shared" ref="F261:F274" si="27">IF(C261=0,0,E261/C261)</f>
        <v>7.1072300049815337E-2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129616570</v>
      </c>
      <c r="D262" s="448">
        <f>+LN_IA2+LN_IB2+LN_IF2+LN_IG2</f>
        <v>133222639</v>
      </c>
      <c r="E262" s="448">
        <f t="shared" si="26"/>
        <v>3606069</v>
      </c>
      <c r="F262" s="503">
        <f t="shared" si="27"/>
        <v>2.7821049422924862E-2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0.50415719176841911</v>
      </c>
      <c r="D263" s="453">
        <f>IF(LN_IIA1=0,0,LN_IIA2/LN_IIA1)</f>
        <v>0.48379868837372675</v>
      </c>
      <c r="E263" s="454">
        <f t="shared" si="26"/>
        <v>-2.0358503394692362E-2</v>
      </c>
      <c r="F263" s="458">
        <f t="shared" si="27"/>
        <v>-4.0381261493625364E-2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8578</v>
      </c>
      <c r="D264" s="456">
        <f>LN_IA4+LN_IB4+LN_IF4+LN_IG3</f>
        <v>8669</v>
      </c>
      <c r="E264" s="456">
        <f t="shared" si="26"/>
        <v>91</v>
      </c>
      <c r="F264" s="503">
        <f t="shared" si="27"/>
        <v>1.0608533457682444E-2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1.4601388202378176</v>
      </c>
      <c r="D265" s="525">
        <f>IF(LN_IIA4=0,0,LN_IIA6/LN_IIA4)</f>
        <v>1.4642609412850387</v>
      </c>
      <c r="E265" s="525">
        <f t="shared" si="26"/>
        <v>4.1221210472210945E-3</v>
      </c>
      <c r="F265" s="503">
        <f t="shared" si="27"/>
        <v>2.8231021530882323E-3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12525.0708</v>
      </c>
      <c r="D266" s="463">
        <f>LN_IA6+LN_IB6+LN_IF6+LN_IG5</f>
        <v>12693.678100000001</v>
      </c>
      <c r="E266" s="463">
        <f t="shared" si="26"/>
        <v>168.60730000000149</v>
      </c>
      <c r="F266" s="503">
        <f t="shared" si="27"/>
        <v>1.3461584584416202E-2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343726098</v>
      </c>
      <c r="D267" s="448">
        <f>LN_IA11+LN_IB13+LN_IF14+LN_IG9</f>
        <v>391982760</v>
      </c>
      <c r="E267" s="448">
        <f t="shared" si="26"/>
        <v>48256662</v>
      </c>
      <c r="F267" s="503">
        <f t="shared" si="27"/>
        <v>0.14039277867111505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1.3369585717720847</v>
      </c>
      <c r="D268" s="453">
        <f>IF(LN_IIA1=0,0,LN_IIA7/LN_IIA1)</f>
        <v>1.4234873785461741</v>
      </c>
      <c r="E268" s="454">
        <f t="shared" si="26"/>
        <v>8.6528806774089473E-2</v>
      </c>
      <c r="F268" s="458">
        <f t="shared" si="27"/>
        <v>6.4720634282181999E-2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151996201</v>
      </c>
      <c r="D269" s="448">
        <f>LN_IA12+LN_IB14+LN_IF15+LN_IG10</f>
        <v>160518043</v>
      </c>
      <c r="E269" s="448">
        <f t="shared" si="26"/>
        <v>8521842</v>
      </c>
      <c r="F269" s="503">
        <f t="shared" si="27"/>
        <v>5.6066151284925862E-2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0.44220151418354042</v>
      </c>
      <c r="D270" s="453">
        <f>IF(LN_IIA7=0,0,LN_IIA9/LN_IIA7)</f>
        <v>0.40950281333801519</v>
      </c>
      <c r="E270" s="454">
        <f t="shared" si="26"/>
        <v>-3.269870084552523E-2</v>
      </c>
      <c r="F270" s="458">
        <f t="shared" si="27"/>
        <v>-7.3945248482241266E-2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600821647</v>
      </c>
      <c r="D271" s="441">
        <f>LN_IIA1+LN_IIA7</f>
        <v>667350681</v>
      </c>
      <c r="E271" s="441">
        <f t="shared" si="26"/>
        <v>66529034</v>
      </c>
      <c r="F271" s="503">
        <f t="shared" si="27"/>
        <v>0.11073008825862095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281612771</v>
      </c>
      <c r="D272" s="441">
        <f>LN_IIA2+LN_IIA9</f>
        <v>293740682</v>
      </c>
      <c r="E272" s="441">
        <f t="shared" si="26"/>
        <v>12127911</v>
      </c>
      <c r="F272" s="503">
        <f t="shared" si="27"/>
        <v>4.306591266061581E-2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0.46871275761474018</v>
      </c>
      <c r="D273" s="453">
        <f>IF(LN_IIA11=0,0,LN_IIA12/LN_IIA11)</f>
        <v>0.4401594099819312</v>
      </c>
      <c r="E273" s="454">
        <f t="shared" si="26"/>
        <v>-2.8553347632808979E-2</v>
      </c>
      <c r="F273" s="458">
        <f t="shared" si="27"/>
        <v>-6.0918648295633732E-2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40704</v>
      </c>
      <c r="D274" s="508">
        <f>LN_IA8+LN_IB10+LN_IF11+LN_IG6</f>
        <v>38723</v>
      </c>
      <c r="E274" s="528">
        <f t="shared" si="26"/>
        <v>-1981</v>
      </c>
      <c r="F274" s="458">
        <f t="shared" si="27"/>
        <v>-4.8668435534591194E-2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191345158</v>
      </c>
      <c r="D277" s="448">
        <f>LN_IA1+LN_IF1+LN_IG1</f>
        <v>209873187</v>
      </c>
      <c r="E277" s="448">
        <f t="shared" ref="E277:E291" si="28">D277-C277</f>
        <v>18528029</v>
      </c>
      <c r="F277" s="503">
        <f t="shared" ref="F277:F291" si="29">IF(C277=0,0,E277/C277)</f>
        <v>9.6830404247804383E-2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92517244</v>
      </c>
      <c r="D278" s="448">
        <f>LN_IA2+LN_IF2+LN_IG2</f>
        <v>98070561</v>
      </c>
      <c r="E278" s="448">
        <f t="shared" si="28"/>
        <v>5553317</v>
      </c>
      <c r="F278" s="503">
        <f t="shared" si="29"/>
        <v>6.002466956322218E-2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0.48350972121280433</v>
      </c>
      <c r="D279" s="453">
        <f>IF(D277=0,0,LN_IIB2/D277)</f>
        <v>0.46728485139933573</v>
      </c>
      <c r="E279" s="454">
        <f t="shared" si="28"/>
        <v>-1.6224869813468601E-2</v>
      </c>
      <c r="F279" s="458">
        <f t="shared" si="29"/>
        <v>-3.3556450060137764E-2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6026</v>
      </c>
      <c r="D280" s="456">
        <f>LN_IA4+LN_IF4+LN_IG3</f>
        <v>6161</v>
      </c>
      <c r="E280" s="456">
        <f t="shared" si="28"/>
        <v>135</v>
      </c>
      <c r="F280" s="503">
        <f t="shared" si="29"/>
        <v>2.2402920677066049E-2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1.5062742117490873</v>
      </c>
      <c r="D281" s="525">
        <f>IF(LN_IIB4=0,0,LN_IIB6/LN_IIB4)</f>
        <v>1.5249808959584483</v>
      </c>
      <c r="E281" s="525">
        <f t="shared" si="28"/>
        <v>1.8706684209361057E-2</v>
      </c>
      <c r="F281" s="503">
        <f t="shared" si="29"/>
        <v>1.2419175780510001E-2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9076.8083999999999</v>
      </c>
      <c r="D282" s="463">
        <f>LN_IA6+LN_IF6+LN_IG5</f>
        <v>9395.4073000000008</v>
      </c>
      <c r="E282" s="463">
        <f t="shared" si="28"/>
        <v>318.59890000000087</v>
      </c>
      <c r="F282" s="503">
        <f t="shared" si="29"/>
        <v>3.5100322267461417E-2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179507696</v>
      </c>
      <c r="D283" s="448">
        <f>LN_IA11+LN_IF14+LN_IG9</f>
        <v>212413820</v>
      </c>
      <c r="E283" s="448">
        <f t="shared" si="28"/>
        <v>32906124</v>
      </c>
      <c r="F283" s="503">
        <f t="shared" si="29"/>
        <v>0.18331316558149127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0.93813555501623924</v>
      </c>
      <c r="D284" s="453">
        <f>IF(D277=0,0,LN_IIB7/D277)</f>
        <v>1.0121055625843238</v>
      </c>
      <c r="E284" s="454">
        <f t="shared" si="28"/>
        <v>7.3970007568084584E-2</v>
      </c>
      <c r="F284" s="458">
        <f t="shared" si="29"/>
        <v>7.8847888423548937E-2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62845913</v>
      </c>
      <c r="D285" s="448">
        <f>LN_IA12+LN_IF15+LN_IG10</f>
        <v>69499963</v>
      </c>
      <c r="E285" s="448">
        <f t="shared" si="28"/>
        <v>6654050</v>
      </c>
      <c r="F285" s="503">
        <f t="shared" si="29"/>
        <v>0.10587880233357418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0.35010149648402816</v>
      </c>
      <c r="D286" s="453">
        <f>IF(LN_IIB7=0,0,LN_IIB9/LN_IIB7)</f>
        <v>0.32719134282317414</v>
      </c>
      <c r="E286" s="454">
        <f t="shared" si="28"/>
        <v>-2.2910153660854027E-2</v>
      </c>
      <c r="F286" s="458">
        <f t="shared" si="29"/>
        <v>-6.5438605349975143E-2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370852854</v>
      </c>
      <c r="D287" s="441">
        <f>D277+LN_IIB7</f>
        <v>422287007</v>
      </c>
      <c r="E287" s="441">
        <f t="shared" si="28"/>
        <v>51434153</v>
      </c>
      <c r="F287" s="503">
        <f t="shared" si="29"/>
        <v>0.1386915388279579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155363157</v>
      </c>
      <c r="D288" s="441">
        <f>LN_IIB2+LN_IIB9</f>
        <v>167570524</v>
      </c>
      <c r="E288" s="441">
        <f t="shared" si="28"/>
        <v>12207367</v>
      </c>
      <c r="F288" s="503">
        <f t="shared" si="29"/>
        <v>7.8573113701596572E-2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0.41893477513860522</v>
      </c>
      <c r="D289" s="453">
        <f>IF(LN_IIB11=0,0,LN_IIB12/LN_IIB11)</f>
        <v>0.3968166702320538</v>
      </c>
      <c r="E289" s="454">
        <f t="shared" si="28"/>
        <v>-2.2118104906551417E-2</v>
      </c>
      <c r="F289" s="458">
        <f t="shared" si="29"/>
        <v>-5.2796058525419874E-2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30243</v>
      </c>
      <c r="D290" s="508">
        <f>LN_IA8+LN_IF11+LN_IG6</f>
        <v>29263</v>
      </c>
      <c r="E290" s="528">
        <f t="shared" si="28"/>
        <v>-980</v>
      </c>
      <c r="F290" s="458">
        <f t="shared" si="29"/>
        <v>-3.2404192705750089E-2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215489697</v>
      </c>
      <c r="D291" s="516">
        <f>LN_IIB11-LN_IIB12</f>
        <v>254716483</v>
      </c>
      <c r="E291" s="441">
        <f t="shared" si="28"/>
        <v>39226786</v>
      </c>
      <c r="F291" s="503">
        <f t="shared" si="29"/>
        <v>0.18203555226122944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5.0745682888540031</v>
      </c>
      <c r="D294" s="466">
        <f>IF(LN_IA4=0,0,LN_IA8/LN_IA4)</f>
        <v>5.0572022880915233</v>
      </c>
      <c r="E294" s="466">
        <f t="shared" ref="E294:E300" si="30">D294-C294</f>
        <v>-1.736600076247985E-2</v>
      </c>
      <c r="F294" s="503">
        <f t="shared" ref="F294:F300" si="31">IF(C294=0,0,E294/C294)</f>
        <v>-3.4221631819643201E-3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4.0991379310344831</v>
      </c>
      <c r="D295" s="466">
        <f>IF(LN_IB4=0,0,(LN_IB10)/(LN_IB4))</f>
        <v>3.7719298245614037</v>
      </c>
      <c r="E295" s="466">
        <f t="shared" si="30"/>
        <v>-0.32720810647307941</v>
      </c>
      <c r="F295" s="503">
        <f t="shared" si="31"/>
        <v>-7.9823639013411579E-2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3.3714285714285714</v>
      </c>
      <c r="D296" s="466">
        <f>IF(LN_IC4=0,0,LN_IC11/LN_IC4)</f>
        <v>3.6222222222222222</v>
      </c>
      <c r="E296" s="466">
        <f t="shared" si="30"/>
        <v>0.25079365079365079</v>
      </c>
      <c r="F296" s="503">
        <f t="shared" si="31"/>
        <v>7.4387947269303201E-2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4.9629972247918595</v>
      </c>
      <c r="D297" s="466">
        <f>IF(LN_ID4=0,0,LN_ID11/LN_ID4)</f>
        <v>4.259242957746479</v>
      </c>
      <c r="E297" s="466">
        <f t="shared" si="30"/>
        <v>-0.70375426704538047</v>
      </c>
      <c r="F297" s="503">
        <f t="shared" si="31"/>
        <v>-0.14180025399367313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1.8571428571428572</v>
      </c>
      <c r="D298" s="466">
        <f>IF(LN_IE4=0,0,LN_IE11/LN_IE4)</f>
        <v>3</v>
      </c>
      <c r="E298" s="466">
        <f t="shared" si="30"/>
        <v>1.1428571428571428</v>
      </c>
      <c r="F298" s="503">
        <f t="shared" si="31"/>
        <v>0.61538461538461531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</v>
      </c>
      <c r="D299" s="466">
        <f>IF(LN_IG3=0,0,LN_IG6/LN_IG3)</f>
        <v>3.1842105263157894</v>
      </c>
      <c r="E299" s="466">
        <f t="shared" si="30"/>
        <v>0.18421052631578938</v>
      </c>
      <c r="F299" s="503">
        <f t="shared" si="31"/>
        <v>6.1403508771929793E-2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4.7451620424341341</v>
      </c>
      <c r="D300" s="466">
        <f>IF(LN_IIA4=0,0,LN_IIA14/LN_IIA4)</f>
        <v>4.4668358518860307</v>
      </c>
      <c r="E300" s="466">
        <f t="shared" si="30"/>
        <v>-0.27832619054810337</v>
      </c>
      <c r="F300" s="503">
        <f t="shared" si="31"/>
        <v>-5.8654728344183144E-2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600821647</v>
      </c>
      <c r="D304" s="441">
        <f>LN_IIA11</f>
        <v>667350681</v>
      </c>
      <c r="E304" s="441">
        <f t="shared" ref="E304:E316" si="32">D304-C304</f>
        <v>66529034</v>
      </c>
      <c r="F304" s="449">
        <f>IF(C304=0,0,E304/C304)</f>
        <v>0.11073008825862095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215489697</v>
      </c>
      <c r="D305" s="441">
        <f>LN_IIB14</f>
        <v>254716483</v>
      </c>
      <c r="E305" s="441">
        <f t="shared" si="32"/>
        <v>39226786</v>
      </c>
      <c r="F305" s="449">
        <f>IF(C305=0,0,E305/C305)</f>
        <v>0.18203555226122944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2344951</v>
      </c>
      <c r="D306" s="441">
        <f>LN_IH6</f>
        <v>6483215</v>
      </c>
      <c r="E306" s="441">
        <f t="shared" si="32"/>
        <v>4138264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100547668</v>
      </c>
      <c r="D307" s="441">
        <f>LN_IB32-LN_IB33</f>
        <v>115746176</v>
      </c>
      <c r="E307" s="441">
        <f t="shared" si="32"/>
        <v>15198508</v>
      </c>
      <c r="F307" s="449">
        <f t="shared" ref="F307:F316" si="33">IF(C307=0,0,E307/C307)</f>
        <v>0.15115724016592808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318382316</v>
      </c>
      <c r="D309" s="441">
        <f>LN_III2+LN_III3+LN_III4+LN_III5</f>
        <v>376945874</v>
      </c>
      <c r="E309" s="441">
        <f t="shared" si="32"/>
        <v>58563558</v>
      </c>
      <c r="F309" s="449">
        <f t="shared" si="33"/>
        <v>0.1839409887325526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282439331</v>
      </c>
      <c r="D310" s="441">
        <f>LN_III1-LN_III6</f>
        <v>290404807</v>
      </c>
      <c r="E310" s="441">
        <f t="shared" si="32"/>
        <v>7965476</v>
      </c>
      <c r="F310" s="449">
        <f t="shared" si="33"/>
        <v>2.820243190563286E-2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282439331</v>
      </c>
      <c r="D312" s="441">
        <f>LN_III7+LN_III8</f>
        <v>290404807</v>
      </c>
      <c r="E312" s="441">
        <f t="shared" si="32"/>
        <v>7965476</v>
      </c>
      <c r="F312" s="449">
        <f t="shared" si="33"/>
        <v>2.820243190563286E-2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0.47008847369309248</v>
      </c>
      <c r="D313" s="532">
        <f>IF(LN_III1=0,0,LN_III9/LN_III1)</f>
        <v>0.43516072623892327</v>
      </c>
      <c r="E313" s="532">
        <f t="shared" si="32"/>
        <v>-3.4927747454169211E-2</v>
      </c>
      <c r="F313" s="449">
        <f t="shared" si="33"/>
        <v>-7.4300369842661904E-2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1102334.4364750909</v>
      </c>
      <c r="D314" s="441">
        <f>D313*LN_III5</f>
        <v>2821240.5477630808</v>
      </c>
      <c r="E314" s="441">
        <f t="shared" si="32"/>
        <v>1718906.1112879899</v>
      </c>
      <c r="F314" s="449">
        <f t="shared" si="33"/>
        <v>1.5593326801841516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12684744.172322504</v>
      </c>
      <c r="D315" s="441">
        <f>D313*LN_IH8-LN_IH9</f>
        <v>10993174.410280608</v>
      </c>
      <c r="E315" s="441">
        <f t="shared" si="32"/>
        <v>-1691569.7620418966</v>
      </c>
      <c r="F315" s="449">
        <f t="shared" si="33"/>
        <v>-0.13335466124203116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13787078.608797595</v>
      </c>
      <c r="D318" s="441">
        <f>D314+D315+D316</f>
        <v>13814414.958043689</v>
      </c>
      <c r="E318" s="441">
        <f>D318-C318</f>
        <v>27336.349246094003</v>
      </c>
      <c r="F318" s="449">
        <f>IF(C318=0,0,E318/C318)</f>
        <v>1.9827513878575087E-3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-138107.93554023848</v>
      </c>
      <c r="D322" s="441">
        <f>LN_ID22</f>
        <v>5331488.2991380962</v>
      </c>
      <c r="E322" s="441">
        <f>LN_IV2-C322</f>
        <v>5469596.2346783346</v>
      </c>
      <c r="F322" s="449">
        <f>IF(C322=0,0,E322/C322)</f>
        <v>-39.603779560405769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86309.630030781787</v>
      </c>
      <c r="D323" s="441">
        <f>LN_IE10+LN_IE22</f>
        <v>120311.43196800697</v>
      </c>
      <c r="E323" s="441">
        <f>LN_IV3-C323</f>
        <v>34001.801937225187</v>
      </c>
      <c r="F323" s="449">
        <f>IF(C323=0,0,E323/C323)</f>
        <v>0.39395142726366289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1019815.4813236503</v>
      </c>
      <c r="D324" s="441">
        <f>LN_IC10+LN_IC22</f>
        <v>1369568.8670608257</v>
      </c>
      <c r="E324" s="441">
        <f>LN_IV1-C324</f>
        <v>349753.38573717535</v>
      </c>
      <c r="F324" s="449">
        <f>IF(C324=0,0,E324/C324)</f>
        <v>0.34295751745523567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968017.17581419367</v>
      </c>
      <c r="D325" s="516">
        <f>LN_IV1+LN_IV2+LN_IV3</f>
        <v>6821368.5981669296</v>
      </c>
      <c r="E325" s="441">
        <f>LN_IV4-C325</f>
        <v>5853351.4223527359</v>
      </c>
      <c r="F325" s="449">
        <f>IF(C325=0,0,E325/C325)</f>
        <v>6.0467433518723626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0</v>
      </c>
      <c r="D330" s="516">
        <v>0</v>
      </c>
      <c r="E330" s="518">
        <f t="shared" si="34"/>
        <v>0</v>
      </c>
      <c r="F330" s="543">
        <f t="shared" si="35"/>
        <v>0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281612773</v>
      </c>
      <c r="D331" s="516">
        <v>293740681</v>
      </c>
      <c r="E331" s="518">
        <f t="shared" si="34"/>
        <v>12127908</v>
      </c>
      <c r="F331" s="542">
        <f t="shared" si="35"/>
        <v>4.3065901701837932E-2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600821647</v>
      </c>
      <c r="D333" s="516">
        <v>667350681</v>
      </c>
      <c r="E333" s="518">
        <f t="shared" si="34"/>
        <v>66529034</v>
      </c>
      <c r="F333" s="542">
        <f t="shared" si="35"/>
        <v>0.11073008825862095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2344951</v>
      </c>
      <c r="D335" s="516">
        <v>6483215</v>
      </c>
      <c r="E335" s="516">
        <f t="shared" si="34"/>
        <v>4138264</v>
      </c>
      <c r="F335" s="542">
        <f t="shared" si="35"/>
        <v>1.7647549991449716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FILING&amp;RJOHN DEMPSEY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65750391</v>
      </c>
      <c r="D14" s="589">
        <v>65494734</v>
      </c>
      <c r="E14" s="590">
        <f t="shared" ref="E14:E22" si="0">D14-C14</f>
        <v>-255657</v>
      </c>
    </row>
    <row r="15" spans="1:5" s="421" customFormat="1" x14ac:dyDescent="0.2">
      <c r="A15" s="588">
        <v>2</v>
      </c>
      <c r="B15" s="587" t="s">
        <v>635</v>
      </c>
      <c r="C15" s="589">
        <v>126635713</v>
      </c>
      <c r="D15" s="591">
        <v>143689469</v>
      </c>
      <c r="E15" s="590">
        <f t="shared" si="0"/>
        <v>17053756</v>
      </c>
    </row>
    <row r="16" spans="1:5" s="421" customFormat="1" x14ac:dyDescent="0.2">
      <c r="A16" s="588">
        <v>3</v>
      </c>
      <c r="B16" s="587" t="s">
        <v>777</v>
      </c>
      <c r="C16" s="589">
        <v>64003572</v>
      </c>
      <c r="D16" s="591">
        <v>65279852</v>
      </c>
      <c r="E16" s="590">
        <f t="shared" si="0"/>
        <v>1276280</v>
      </c>
    </row>
    <row r="17" spans="1:5" s="421" customFormat="1" x14ac:dyDescent="0.2">
      <c r="A17" s="588">
        <v>4</v>
      </c>
      <c r="B17" s="587" t="s">
        <v>115</v>
      </c>
      <c r="C17" s="589">
        <v>63921560</v>
      </c>
      <c r="D17" s="591">
        <v>65206770</v>
      </c>
      <c r="E17" s="590">
        <f t="shared" si="0"/>
        <v>1285210</v>
      </c>
    </row>
    <row r="18" spans="1:5" s="421" customFormat="1" x14ac:dyDescent="0.2">
      <c r="A18" s="588">
        <v>5</v>
      </c>
      <c r="B18" s="587" t="s">
        <v>743</v>
      </c>
      <c r="C18" s="589">
        <v>82012</v>
      </c>
      <c r="D18" s="591">
        <v>73082</v>
      </c>
      <c r="E18" s="590">
        <f t="shared" si="0"/>
        <v>-8930</v>
      </c>
    </row>
    <row r="19" spans="1:5" s="421" customFormat="1" x14ac:dyDescent="0.2">
      <c r="A19" s="588">
        <v>6</v>
      </c>
      <c r="B19" s="587" t="s">
        <v>424</v>
      </c>
      <c r="C19" s="589">
        <v>705873</v>
      </c>
      <c r="D19" s="591">
        <v>903866</v>
      </c>
      <c r="E19" s="590">
        <f t="shared" si="0"/>
        <v>197993</v>
      </c>
    </row>
    <row r="20" spans="1:5" s="421" customFormat="1" x14ac:dyDescent="0.2">
      <c r="A20" s="588">
        <v>7</v>
      </c>
      <c r="B20" s="587" t="s">
        <v>758</v>
      </c>
      <c r="C20" s="589">
        <v>746040</v>
      </c>
      <c r="D20" s="591">
        <v>976305</v>
      </c>
      <c r="E20" s="590">
        <f t="shared" si="0"/>
        <v>230265</v>
      </c>
    </row>
    <row r="21" spans="1:5" s="421" customFormat="1" x14ac:dyDescent="0.2">
      <c r="A21" s="588"/>
      <c r="B21" s="592" t="s">
        <v>778</v>
      </c>
      <c r="C21" s="593">
        <f>SUM(C15+C16+C19)</f>
        <v>191345158</v>
      </c>
      <c r="D21" s="593">
        <f>SUM(D15+D16+D19)</f>
        <v>209873187</v>
      </c>
      <c r="E21" s="593">
        <f t="shared" si="0"/>
        <v>18528029</v>
      </c>
    </row>
    <row r="22" spans="1:5" s="421" customFormat="1" x14ac:dyDescent="0.2">
      <c r="A22" s="588"/>
      <c r="B22" s="592" t="s">
        <v>465</v>
      </c>
      <c r="C22" s="593">
        <f>SUM(C14+C21)</f>
        <v>257095549</v>
      </c>
      <c r="D22" s="593">
        <f>SUM(D14+D21)</f>
        <v>275367921</v>
      </c>
      <c r="E22" s="593">
        <f t="shared" si="0"/>
        <v>18272372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164218402</v>
      </c>
      <c r="D25" s="589">
        <v>179568940</v>
      </c>
      <c r="E25" s="590">
        <f t="shared" ref="E25:E33" si="1">D25-C25</f>
        <v>15350538</v>
      </c>
    </row>
    <row r="26" spans="1:5" s="421" customFormat="1" x14ac:dyDescent="0.2">
      <c r="A26" s="588">
        <v>2</v>
      </c>
      <c r="B26" s="587" t="s">
        <v>635</v>
      </c>
      <c r="C26" s="589">
        <v>114264847</v>
      </c>
      <c r="D26" s="591">
        <v>130842681</v>
      </c>
      <c r="E26" s="590">
        <f t="shared" si="1"/>
        <v>16577834</v>
      </c>
    </row>
    <row r="27" spans="1:5" s="421" customFormat="1" x14ac:dyDescent="0.2">
      <c r="A27" s="588">
        <v>3</v>
      </c>
      <c r="B27" s="587" t="s">
        <v>777</v>
      </c>
      <c r="C27" s="589">
        <v>63407774</v>
      </c>
      <c r="D27" s="591">
        <v>79359601</v>
      </c>
      <c r="E27" s="590">
        <f t="shared" si="1"/>
        <v>15951827</v>
      </c>
    </row>
    <row r="28" spans="1:5" s="421" customFormat="1" x14ac:dyDescent="0.2">
      <c r="A28" s="588">
        <v>4</v>
      </c>
      <c r="B28" s="587" t="s">
        <v>115</v>
      </c>
      <c r="C28" s="589">
        <v>63296593</v>
      </c>
      <c r="D28" s="591">
        <v>79190281</v>
      </c>
      <c r="E28" s="590">
        <f t="shared" si="1"/>
        <v>15893688</v>
      </c>
    </row>
    <row r="29" spans="1:5" s="421" customFormat="1" x14ac:dyDescent="0.2">
      <c r="A29" s="588">
        <v>5</v>
      </c>
      <c r="B29" s="587" t="s">
        <v>743</v>
      </c>
      <c r="C29" s="589">
        <v>111181</v>
      </c>
      <c r="D29" s="591">
        <v>169320</v>
      </c>
      <c r="E29" s="590">
        <f t="shared" si="1"/>
        <v>58139</v>
      </c>
    </row>
    <row r="30" spans="1:5" s="421" customFormat="1" x14ac:dyDescent="0.2">
      <c r="A30" s="588">
        <v>6</v>
      </c>
      <c r="B30" s="587" t="s">
        <v>424</v>
      </c>
      <c r="C30" s="589">
        <v>1835075</v>
      </c>
      <c r="D30" s="591">
        <v>2211538</v>
      </c>
      <c r="E30" s="590">
        <f t="shared" si="1"/>
        <v>376463</v>
      </c>
    </row>
    <row r="31" spans="1:5" s="421" customFormat="1" x14ac:dyDescent="0.2">
      <c r="A31" s="588">
        <v>7</v>
      </c>
      <c r="B31" s="587" t="s">
        <v>758</v>
      </c>
      <c r="C31" s="590">
        <v>3705669</v>
      </c>
      <c r="D31" s="594">
        <v>2995796</v>
      </c>
      <c r="E31" s="590">
        <f t="shared" si="1"/>
        <v>-709873</v>
      </c>
    </row>
    <row r="32" spans="1:5" s="421" customFormat="1" x14ac:dyDescent="0.2">
      <c r="A32" s="588"/>
      <c r="B32" s="592" t="s">
        <v>780</v>
      </c>
      <c r="C32" s="593">
        <f>SUM(C26+C27+C30)</f>
        <v>179507696</v>
      </c>
      <c r="D32" s="593">
        <f>SUM(D26+D27+D30)</f>
        <v>212413820</v>
      </c>
      <c r="E32" s="593">
        <f t="shared" si="1"/>
        <v>32906124</v>
      </c>
    </row>
    <row r="33" spans="1:5" s="421" customFormat="1" x14ac:dyDescent="0.2">
      <c r="A33" s="588"/>
      <c r="B33" s="592" t="s">
        <v>467</v>
      </c>
      <c r="C33" s="593">
        <f>SUM(C25+C32)</f>
        <v>343726098</v>
      </c>
      <c r="D33" s="593">
        <f>SUM(D25+D32)</f>
        <v>391982760</v>
      </c>
      <c r="E33" s="593">
        <f t="shared" si="1"/>
        <v>48256662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229968793</v>
      </c>
      <c r="D36" s="590">
        <f t="shared" si="2"/>
        <v>245063674</v>
      </c>
      <c r="E36" s="590">
        <f t="shared" ref="E36:E44" si="3">D36-C36</f>
        <v>15094881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240900560</v>
      </c>
      <c r="D37" s="590">
        <f t="shared" si="2"/>
        <v>274532150</v>
      </c>
      <c r="E37" s="590">
        <f t="shared" si="3"/>
        <v>33631590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127411346</v>
      </c>
      <c r="D38" s="590">
        <f t="shared" si="2"/>
        <v>144639453</v>
      </c>
      <c r="E38" s="590">
        <f t="shared" si="3"/>
        <v>17228107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127218153</v>
      </c>
      <c r="D39" s="590">
        <f t="shared" si="2"/>
        <v>144397051</v>
      </c>
      <c r="E39" s="590">
        <f t="shared" si="3"/>
        <v>17178898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193193</v>
      </c>
      <c r="D40" s="590">
        <f t="shared" si="2"/>
        <v>242402</v>
      </c>
      <c r="E40" s="590">
        <f t="shared" si="3"/>
        <v>49209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2540948</v>
      </c>
      <c r="D41" s="590">
        <f t="shared" si="2"/>
        <v>3115404</v>
      </c>
      <c r="E41" s="590">
        <f t="shared" si="3"/>
        <v>574456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4451709</v>
      </c>
      <c r="D42" s="590">
        <f t="shared" si="2"/>
        <v>3972101</v>
      </c>
      <c r="E42" s="590">
        <f t="shared" si="3"/>
        <v>-479608</v>
      </c>
    </row>
    <row r="43" spans="1:5" s="421" customFormat="1" x14ac:dyDescent="0.2">
      <c r="A43" s="588"/>
      <c r="B43" s="592" t="s">
        <v>788</v>
      </c>
      <c r="C43" s="593">
        <f>SUM(C37+C38+C41)</f>
        <v>370852854</v>
      </c>
      <c r="D43" s="593">
        <f>SUM(D37+D38+D41)</f>
        <v>422287007</v>
      </c>
      <c r="E43" s="593">
        <f t="shared" si="3"/>
        <v>51434153</v>
      </c>
    </row>
    <row r="44" spans="1:5" s="421" customFormat="1" x14ac:dyDescent="0.2">
      <c r="A44" s="588"/>
      <c r="B44" s="592" t="s">
        <v>725</v>
      </c>
      <c r="C44" s="593">
        <f>SUM(C36+C43)</f>
        <v>600821647</v>
      </c>
      <c r="D44" s="593">
        <f>SUM(D36+D43)</f>
        <v>667350681</v>
      </c>
      <c r="E44" s="593">
        <f t="shared" si="3"/>
        <v>66529034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37099326</v>
      </c>
      <c r="D47" s="589">
        <v>35152078</v>
      </c>
      <c r="E47" s="590">
        <f t="shared" ref="E47:E55" si="4">D47-C47</f>
        <v>-1947248</v>
      </c>
    </row>
    <row r="48" spans="1:5" s="421" customFormat="1" x14ac:dyDescent="0.2">
      <c r="A48" s="588">
        <v>2</v>
      </c>
      <c r="B48" s="587" t="s">
        <v>635</v>
      </c>
      <c r="C48" s="589">
        <v>68977831</v>
      </c>
      <c r="D48" s="591">
        <v>73080057</v>
      </c>
      <c r="E48" s="590">
        <f t="shared" si="4"/>
        <v>4102226</v>
      </c>
    </row>
    <row r="49" spans="1:5" s="421" customFormat="1" x14ac:dyDescent="0.2">
      <c r="A49" s="588">
        <v>3</v>
      </c>
      <c r="B49" s="587" t="s">
        <v>777</v>
      </c>
      <c r="C49" s="589">
        <v>23278271</v>
      </c>
      <c r="D49" s="591">
        <v>24596200</v>
      </c>
      <c r="E49" s="590">
        <f t="shared" si="4"/>
        <v>1317929</v>
      </c>
    </row>
    <row r="50" spans="1:5" s="421" customFormat="1" x14ac:dyDescent="0.2">
      <c r="A50" s="588">
        <v>4</v>
      </c>
      <c r="B50" s="587" t="s">
        <v>115</v>
      </c>
      <c r="C50" s="589">
        <v>23252661</v>
      </c>
      <c r="D50" s="591">
        <v>24580567</v>
      </c>
      <c r="E50" s="590">
        <f t="shared" si="4"/>
        <v>1327906</v>
      </c>
    </row>
    <row r="51" spans="1:5" s="421" customFormat="1" x14ac:dyDescent="0.2">
      <c r="A51" s="588">
        <v>5</v>
      </c>
      <c r="B51" s="587" t="s">
        <v>743</v>
      </c>
      <c r="C51" s="589">
        <v>25610</v>
      </c>
      <c r="D51" s="591">
        <v>15633</v>
      </c>
      <c r="E51" s="590">
        <f t="shared" si="4"/>
        <v>-9977</v>
      </c>
    </row>
    <row r="52" spans="1:5" s="421" customFormat="1" x14ac:dyDescent="0.2">
      <c r="A52" s="588">
        <v>6</v>
      </c>
      <c r="B52" s="587" t="s">
        <v>424</v>
      </c>
      <c r="C52" s="589">
        <v>261142</v>
      </c>
      <c r="D52" s="591">
        <v>394304</v>
      </c>
      <c r="E52" s="590">
        <f t="shared" si="4"/>
        <v>133162</v>
      </c>
    </row>
    <row r="53" spans="1:5" s="421" customFormat="1" x14ac:dyDescent="0.2">
      <c r="A53" s="588">
        <v>7</v>
      </c>
      <c r="B53" s="587" t="s">
        <v>758</v>
      </c>
      <c r="C53" s="589">
        <v>52199</v>
      </c>
      <c r="D53" s="591">
        <v>124500</v>
      </c>
      <c r="E53" s="590">
        <f t="shared" si="4"/>
        <v>72301</v>
      </c>
    </row>
    <row r="54" spans="1:5" s="421" customFormat="1" x14ac:dyDescent="0.2">
      <c r="A54" s="588"/>
      <c r="B54" s="592" t="s">
        <v>790</v>
      </c>
      <c r="C54" s="593">
        <f>SUM(C48+C49+C52)</f>
        <v>92517244</v>
      </c>
      <c r="D54" s="593">
        <f>SUM(D48+D49+D52)</f>
        <v>98070561</v>
      </c>
      <c r="E54" s="593">
        <f t="shared" si="4"/>
        <v>5553317</v>
      </c>
    </row>
    <row r="55" spans="1:5" s="421" customFormat="1" x14ac:dyDescent="0.2">
      <c r="A55" s="588"/>
      <c r="B55" s="592" t="s">
        <v>466</v>
      </c>
      <c r="C55" s="593">
        <f>SUM(C47+C54)</f>
        <v>129616570</v>
      </c>
      <c r="D55" s="593">
        <f>SUM(D47+D54)</f>
        <v>133222639</v>
      </c>
      <c r="E55" s="593">
        <f t="shared" si="4"/>
        <v>3606069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89150288</v>
      </c>
      <c r="D58" s="589">
        <v>91018080</v>
      </c>
      <c r="E58" s="590">
        <f t="shared" ref="E58:E66" si="5">D58-C58</f>
        <v>1867792</v>
      </c>
    </row>
    <row r="59" spans="1:5" s="421" customFormat="1" x14ac:dyDescent="0.2">
      <c r="A59" s="588">
        <v>2</v>
      </c>
      <c r="B59" s="587" t="s">
        <v>635</v>
      </c>
      <c r="C59" s="589">
        <v>38195692</v>
      </c>
      <c r="D59" s="591">
        <v>41400417</v>
      </c>
      <c r="E59" s="590">
        <f t="shared" si="5"/>
        <v>3204725</v>
      </c>
    </row>
    <row r="60" spans="1:5" s="421" customFormat="1" x14ac:dyDescent="0.2">
      <c r="A60" s="588">
        <v>3</v>
      </c>
      <c r="B60" s="587" t="s">
        <v>777</v>
      </c>
      <c r="C60" s="589">
        <f>C61+C62</f>
        <v>23931590</v>
      </c>
      <c r="D60" s="591">
        <f>D61+D62</f>
        <v>27352035</v>
      </c>
      <c r="E60" s="590">
        <f t="shared" si="5"/>
        <v>3420445</v>
      </c>
    </row>
    <row r="61" spans="1:5" s="421" customFormat="1" x14ac:dyDescent="0.2">
      <c r="A61" s="588">
        <v>4</v>
      </c>
      <c r="B61" s="587" t="s">
        <v>115</v>
      </c>
      <c r="C61" s="589">
        <v>23849438</v>
      </c>
      <c r="D61" s="591">
        <v>27286597</v>
      </c>
      <c r="E61" s="590">
        <f t="shared" si="5"/>
        <v>3437159</v>
      </c>
    </row>
    <row r="62" spans="1:5" s="421" customFormat="1" x14ac:dyDescent="0.2">
      <c r="A62" s="588">
        <v>5</v>
      </c>
      <c r="B62" s="587" t="s">
        <v>743</v>
      </c>
      <c r="C62" s="589">
        <v>82152</v>
      </c>
      <c r="D62" s="591">
        <v>65438</v>
      </c>
      <c r="E62" s="590">
        <f t="shared" si="5"/>
        <v>-16714</v>
      </c>
    </row>
    <row r="63" spans="1:5" s="421" customFormat="1" x14ac:dyDescent="0.2">
      <c r="A63" s="588">
        <v>6</v>
      </c>
      <c r="B63" s="587" t="s">
        <v>424</v>
      </c>
      <c r="C63" s="589">
        <v>718631</v>
      </c>
      <c r="D63" s="591">
        <v>747511</v>
      </c>
      <c r="E63" s="590">
        <f t="shared" si="5"/>
        <v>28880</v>
      </c>
    </row>
    <row r="64" spans="1:5" s="421" customFormat="1" x14ac:dyDescent="0.2">
      <c r="A64" s="588">
        <v>7</v>
      </c>
      <c r="B64" s="587" t="s">
        <v>758</v>
      </c>
      <c r="C64" s="589">
        <v>1227999</v>
      </c>
      <c r="D64" s="591">
        <v>700261</v>
      </c>
      <c r="E64" s="590">
        <f t="shared" si="5"/>
        <v>-527738</v>
      </c>
    </row>
    <row r="65" spans="1:5" s="421" customFormat="1" x14ac:dyDescent="0.2">
      <c r="A65" s="588"/>
      <c r="B65" s="592" t="s">
        <v>792</v>
      </c>
      <c r="C65" s="593">
        <f>SUM(C59+C60+C63)</f>
        <v>62845913</v>
      </c>
      <c r="D65" s="593">
        <f>SUM(D59+D60+D63)</f>
        <v>69499963</v>
      </c>
      <c r="E65" s="593">
        <f t="shared" si="5"/>
        <v>6654050</v>
      </c>
    </row>
    <row r="66" spans="1:5" s="421" customFormat="1" x14ac:dyDescent="0.2">
      <c r="A66" s="588"/>
      <c r="B66" s="592" t="s">
        <v>468</v>
      </c>
      <c r="C66" s="593">
        <f>SUM(C58+C65)</f>
        <v>151996201</v>
      </c>
      <c r="D66" s="593">
        <f>SUM(D58+D65)</f>
        <v>160518043</v>
      </c>
      <c r="E66" s="593">
        <f t="shared" si="5"/>
        <v>8521842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126249614</v>
      </c>
      <c r="D69" s="590">
        <f t="shared" si="6"/>
        <v>126170158</v>
      </c>
      <c r="E69" s="590">
        <f t="shared" ref="E69:E77" si="7">D69-C69</f>
        <v>-79456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107173523</v>
      </c>
      <c r="D70" s="590">
        <f t="shared" si="6"/>
        <v>114480474</v>
      </c>
      <c r="E70" s="590">
        <f t="shared" si="7"/>
        <v>7306951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47209861</v>
      </c>
      <c r="D71" s="590">
        <f t="shared" si="6"/>
        <v>51948235</v>
      </c>
      <c r="E71" s="590">
        <f t="shared" si="7"/>
        <v>4738374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47102099</v>
      </c>
      <c r="D72" s="590">
        <f t="shared" si="6"/>
        <v>51867164</v>
      </c>
      <c r="E72" s="590">
        <f t="shared" si="7"/>
        <v>4765065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107762</v>
      </c>
      <c r="D73" s="590">
        <f t="shared" si="6"/>
        <v>81071</v>
      </c>
      <c r="E73" s="590">
        <f t="shared" si="7"/>
        <v>-26691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979773</v>
      </c>
      <c r="D74" s="590">
        <f t="shared" si="6"/>
        <v>1141815</v>
      </c>
      <c r="E74" s="590">
        <f t="shared" si="7"/>
        <v>162042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1280198</v>
      </c>
      <c r="D75" s="590">
        <f t="shared" si="6"/>
        <v>824761</v>
      </c>
      <c r="E75" s="590">
        <f t="shared" si="7"/>
        <v>-455437</v>
      </c>
    </row>
    <row r="76" spans="1:5" s="421" customFormat="1" x14ac:dyDescent="0.2">
      <c r="A76" s="588"/>
      <c r="B76" s="592" t="s">
        <v>793</v>
      </c>
      <c r="C76" s="593">
        <f>SUM(C70+C71+C74)</f>
        <v>155363157</v>
      </c>
      <c r="D76" s="593">
        <f>SUM(D70+D71+D74)</f>
        <v>167570524</v>
      </c>
      <c r="E76" s="593">
        <f t="shared" si="7"/>
        <v>12207367</v>
      </c>
    </row>
    <row r="77" spans="1:5" s="421" customFormat="1" x14ac:dyDescent="0.2">
      <c r="A77" s="588"/>
      <c r="B77" s="592" t="s">
        <v>726</v>
      </c>
      <c r="C77" s="593">
        <f>SUM(C69+C76)</f>
        <v>281612771</v>
      </c>
      <c r="D77" s="593">
        <f>SUM(D69+D76)</f>
        <v>293740682</v>
      </c>
      <c r="E77" s="593">
        <f t="shared" si="7"/>
        <v>12127911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0.10943412463299612</v>
      </c>
      <c r="D83" s="599">
        <f t="shared" si="8"/>
        <v>9.8141405807601181E-2</v>
      </c>
      <c r="E83" s="599">
        <f t="shared" ref="E83:E91" si="9">D83-C83</f>
        <v>-1.129271882539494E-2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0.2107708895515211</v>
      </c>
      <c r="D84" s="599">
        <f t="shared" si="8"/>
        <v>0.21531328743785308</v>
      </c>
      <c r="E84" s="599">
        <f t="shared" si="9"/>
        <v>4.5423978863319836E-3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0.10652674103801058</v>
      </c>
      <c r="D85" s="599">
        <f t="shared" si="8"/>
        <v>9.7819413178961007E-2</v>
      </c>
      <c r="E85" s="599">
        <f t="shared" si="9"/>
        <v>-8.7073278590495684E-3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0.10639024129568354</v>
      </c>
      <c r="D86" s="599">
        <f t="shared" si="8"/>
        <v>9.7709902539231841E-2</v>
      </c>
      <c r="E86" s="599">
        <f t="shared" si="9"/>
        <v>-8.6803387564517026E-3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1.3649974232702705E-4</v>
      </c>
      <c r="D87" s="599">
        <f t="shared" si="8"/>
        <v>1.0951063972915913E-4</v>
      </c>
      <c r="E87" s="599">
        <f t="shared" si="9"/>
        <v>-2.6989102597867914E-5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1.1748461519729499E-3</v>
      </c>
      <c r="D88" s="599">
        <f t="shared" si="8"/>
        <v>1.3544093468902897E-3</v>
      </c>
      <c r="E88" s="599">
        <f t="shared" si="9"/>
        <v>1.7956319491733985E-4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1.2416996020784186E-3</v>
      </c>
      <c r="D89" s="599">
        <f t="shared" si="8"/>
        <v>1.4629564752028775E-3</v>
      </c>
      <c r="E89" s="599">
        <f t="shared" si="9"/>
        <v>2.2125687312445899E-4</v>
      </c>
    </row>
    <row r="90" spans="1:5" s="421" customFormat="1" x14ac:dyDescent="0.2">
      <c r="A90" s="588"/>
      <c r="B90" s="592" t="s">
        <v>796</v>
      </c>
      <c r="C90" s="600">
        <f>SUM(C84+C85+C88)</f>
        <v>0.31847247674150458</v>
      </c>
      <c r="D90" s="600">
        <f>SUM(D84+D85+D88)</f>
        <v>0.31448710996370438</v>
      </c>
      <c r="E90" s="601">
        <f t="shared" si="9"/>
        <v>-3.9853667778002033E-3</v>
      </c>
    </row>
    <row r="91" spans="1:5" s="421" customFormat="1" x14ac:dyDescent="0.2">
      <c r="A91" s="588"/>
      <c r="B91" s="592" t="s">
        <v>797</v>
      </c>
      <c r="C91" s="600">
        <f>SUM(C83+C90)</f>
        <v>0.42790660137450071</v>
      </c>
      <c r="D91" s="600">
        <f>SUM(D83+D90)</f>
        <v>0.41262851577130555</v>
      </c>
      <c r="E91" s="601">
        <f t="shared" si="9"/>
        <v>-1.5278085603195157E-2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0.27332304490021148</v>
      </c>
      <c r="D95" s="599">
        <f t="shared" si="10"/>
        <v>0.26907733087336133</v>
      </c>
      <c r="E95" s="599">
        <f t="shared" ref="E95:E103" si="11">D95-C95</f>
        <v>-4.2457140268501448E-3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0.19018097561987476</v>
      </c>
      <c r="D96" s="599">
        <f t="shared" si="10"/>
        <v>0.19606285679357838</v>
      </c>
      <c r="E96" s="599">
        <f t="shared" si="11"/>
        <v>5.8818811737036125E-3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0.10553510233295572</v>
      </c>
      <c r="D97" s="599">
        <f t="shared" si="10"/>
        <v>0.11891738970144244</v>
      </c>
      <c r="E97" s="599">
        <f t="shared" si="11"/>
        <v>1.338228736848672E-2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0.1053500540735344</v>
      </c>
      <c r="D98" s="599">
        <f t="shared" si="10"/>
        <v>0.1186636700232872</v>
      </c>
      <c r="E98" s="599">
        <f t="shared" si="11"/>
        <v>1.3313615949752805E-2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1.8504825942131876E-4</v>
      </c>
      <c r="D99" s="599">
        <f t="shared" si="10"/>
        <v>2.5371967815523966E-4</v>
      </c>
      <c r="E99" s="599">
        <f t="shared" si="11"/>
        <v>6.8671418733920903E-5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3.0542757724573129E-3</v>
      </c>
      <c r="D100" s="599">
        <f t="shared" si="10"/>
        <v>3.313906860312322E-3</v>
      </c>
      <c r="E100" s="599">
        <f t="shared" si="11"/>
        <v>2.5963108785500904E-4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6.1676689222217723E-3</v>
      </c>
      <c r="D101" s="599">
        <f t="shared" si="10"/>
        <v>4.4890880990949341E-3</v>
      </c>
      <c r="E101" s="599">
        <f t="shared" si="11"/>
        <v>-1.6785808231268382E-3</v>
      </c>
    </row>
    <row r="102" spans="1:5" s="421" customFormat="1" x14ac:dyDescent="0.2">
      <c r="A102" s="588"/>
      <c r="B102" s="592" t="s">
        <v>799</v>
      </c>
      <c r="C102" s="600">
        <f>SUM(C96+C97+C100)</f>
        <v>0.29877035372528782</v>
      </c>
      <c r="D102" s="600">
        <f>SUM(D96+D97+D100)</f>
        <v>0.31829415335533312</v>
      </c>
      <c r="E102" s="601">
        <f t="shared" si="11"/>
        <v>1.9523799630045302E-2</v>
      </c>
    </row>
    <row r="103" spans="1:5" s="421" customFormat="1" x14ac:dyDescent="0.2">
      <c r="A103" s="588"/>
      <c r="B103" s="592" t="s">
        <v>800</v>
      </c>
      <c r="C103" s="600">
        <f>SUM(C95+C102)</f>
        <v>0.57209339862549924</v>
      </c>
      <c r="D103" s="600">
        <f>SUM(D95+D102)</f>
        <v>0.58737148422869445</v>
      </c>
      <c r="E103" s="601">
        <f t="shared" si="11"/>
        <v>1.5278085603195213E-2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0.13173879106498335</v>
      </c>
      <c r="D109" s="599">
        <f t="shared" si="12"/>
        <v>0.1196704445589869</v>
      </c>
      <c r="E109" s="599">
        <f t="shared" ref="E109:E117" si="13">D109-C109</f>
        <v>-1.2068346505996447E-2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0.24493857560174356</v>
      </c>
      <c r="D110" s="599">
        <f t="shared" si="12"/>
        <v>0.2487910646302646</v>
      </c>
      <c r="E110" s="599">
        <f t="shared" si="13"/>
        <v>3.8524890285210334E-3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8.2660565844863615E-2</v>
      </c>
      <c r="D111" s="599">
        <f t="shared" si="12"/>
        <v>8.3734400807307985E-2</v>
      </c>
      <c r="E111" s="599">
        <f t="shared" si="13"/>
        <v>1.0738349624443699E-3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8.256962536688367E-2</v>
      </c>
      <c r="D112" s="599">
        <f t="shared" si="12"/>
        <v>8.3681180395706989E-2</v>
      </c>
      <c r="E112" s="599">
        <f t="shared" si="13"/>
        <v>1.1115550288233189E-3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9.0940477979956389E-5</v>
      </c>
      <c r="D113" s="599">
        <f t="shared" si="12"/>
        <v>5.3220411601005268E-5</v>
      </c>
      <c r="E113" s="599">
        <f t="shared" si="13"/>
        <v>-3.7720066378951121E-5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9.2730879736984653E-4</v>
      </c>
      <c r="D114" s="599">
        <f t="shared" si="12"/>
        <v>1.3423540699752307E-3</v>
      </c>
      <c r="E114" s="599">
        <f t="shared" si="13"/>
        <v>4.1504527260538418E-4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1.853573607995214E-4</v>
      </c>
      <c r="D115" s="599">
        <f t="shared" si="12"/>
        <v>4.2384323190207613E-4</v>
      </c>
      <c r="E115" s="599">
        <f t="shared" si="13"/>
        <v>2.3848587110255473E-4</v>
      </c>
    </row>
    <row r="116" spans="1:5" s="421" customFormat="1" x14ac:dyDescent="0.2">
      <c r="A116" s="588"/>
      <c r="B116" s="592" t="s">
        <v>796</v>
      </c>
      <c r="C116" s="600">
        <f>SUM(C110+C111+C114)</f>
        <v>0.32852645024397703</v>
      </c>
      <c r="D116" s="600">
        <f>SUM(D110+D111+D114)</f>
        <v>0.33386781950754779</v>
      </c>
      <c r="E116" s="601">
        <f t="shared" si="13"/>
        <v>5.341369263570761E-3</v>
      </c>
    </row>
    <row r="117" spans="1:5" s="421" customFormat="1" x14ac:dyDescent="0.2">
      <c r="A117" s="588"/>
      <c r="B117" s="592" t="s">
        <v>797</v>
      </c>
      <c r="C117" s="600">
        <f>SUM(C109+C116)</f>
        <v>0.4602652413089604</v>
      </c>
      <c r="D117" s="600">
        <f>SUM(D109+D116)</f>
        <v>0.45353826406653469</v>
      </c>
      <c r="E117" s="601">
        <f t="shared" si="13"/>
        <v>-6.7269772424257135E-3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0.31657047257988169</v>
      </c>
      <c r="D121" s="599">
        <f t="shared" si="14"/>
        <v>0.30985861195760417</v>
      </c>
      <c r="E121" s="599">
        <f t="shared" ref="E121:E129" si="15">D121-C121</f>
        <v>-6.7118606222775212E-3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0.13563195967415839</v>
      </c>
      <c r="D122" s="599">
        <f t="shared" si="14"/>
        <v>0.14094206058934663</v>
      </c>
      <c r="E122" s="599">
        <f t="shared" si="15"/>
        <v>5.3101009151882428E-3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8.4980485490837351E-2</v>
      </c>
      <c r="D123" s="599">
        <f t="shared" si="14"/>
        <v>9.3116264365451423E-2</v>
      </c>
      <c r="E123" s="599">
        <f t="shared" si="15"/>
        <v>8.1357788746140719E-3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8.4688765766237212E-2</v>
      </c>
      <c r="D124" s="599">
        <f t="shared" si="14"/>
        <v>9.2893489639273047E-2</v>
      </c>
      <c r="E124" s="599">
        <f t="shared" si="15"/>
        <v>8.2047238730358352E-3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2.9171972460013187E-4</v>
      </c>
      <c r="D125" s="599">
        <f t="shared" si="14"/>
        <v>2.2277472617837797E-4</v>
      </c>
      <c r="E125" s="599">
        <f t="shared" si="15"/>
        <v>-6.8944998421753892E-5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2.5518409461622038E-3</v>
      </c>
      <c r="D126" s="599">
        <f t="shared" si="14"/>
        <v>2.5447990210630748E-3</v>
      </c>
      <c r="E126" s="599">
        <f t="shared" si="15"/>
        <v>-7.0419250991289768E-6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4.3605941436512478E-3</v>
      </c>
      <c r="D127" s="599">
        <f t="shared" si="14"/>
        <v>2.3839428547387932E-3</v>
      </c>
      <c r="E127" s="599">
        <f t="shared" si="15"/>
        <v>-1.9766512889124546E-3</v>
      </c>
    </row>
    <row r="128" spans="1:5" s="421" customFormat="1" x14ac:dyDescent="0.2">
      <c r="A128" s="588"/>
      <c r="B128" s="592" t="s">
        <v>799</v>
      </c>
      <c r="C128" s="600">
        <f>SUM(C122+C123+C126)</f>
        <v>0.22316428611115793</v>
      </c>
      <c r="D128" s="600">
        <f>SUM(D122+D123+D126)</f>
        <v>0.23660312397586114</v>
      </c>
      <c r="E128" s="601">
        <f t="shared" si="15"/>
        <v>1.3438837864703207E-2</v>
      </c>
    </row>
    <row r="129" spans="1:5" s="421" customFormat="1" x14ac:dyDescent="0.2">
      <c r="A129" s="588"/>
      <c r="B129" s="592" t="s">
        <v>800</v>
      </c>
      <c r="C129" s="600">
        <f>SUM(C121+C128)</f>
        <v>0.5397347586910396</v>
      </c>
      <c r="D129" s="600">
        <f>SUM(D121+D128)</f>
        <v>0.54646173593346536</v>
      </c>
      <c r="E129" s="601">
        <f t="shared" si="15"/>
        <v>6.726977242425769E-3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2552</v>
      </c>
      <c r="D137" s="606">
        <v>2508</v>
      </c>
      <c r="E137" s="607">
        <f t="shared" ref="E137:E145" si="16">D137-C137</f>
        <v>-44</v>
      </c>
    </row>
    <row r="138" spans="1:5" s="421" customFormat="1" x14ac:dyDescent="0.2">
      <c r="A138" s="588">
        <v>2</v>
      </c>
      <c r="B138" s="587" t="s">
        <v>635</v>
      </c>
      <c r="C138" s="606">
        <v>3822</v>
      </c>
      <c r="D138" s="606">
        <v>3846</v>
      </c>
      <c r="E138" s="607">
        <f t="shared" si="16"/>
        <v>24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2169</v>
      </c>
      <c r="D139" s="606">
        <f>D140+D141</f>
        <v>2277</v>
      </c>
      <c r="E139" s="607">
        <f t="shared" si="16"/>
        <v>108</v>
      </c>
    </row>
    <row r="140" spans="1:5" s="421" customFormat="1" x14ac:dyDescent="0.2">
      <c r="A140" s="588">
        <v>4</v>
      </c>
      <c r="B140" s="587" t="s">
        <v>115</v>
      </c>
      <c r="C140" s="606">
        <v>2162</v>
      </c>
      <c r="D140" s="606">
        <v>2272</v>
      </c>
      <c r="E140" s="607">
        <f t="shared" si="16"/>
        <v>110</v>
      </c>
    </row>
    <row r="141" spans="1:5" s="421" customFormat="1" x14ac:dyDescent="0.2">
      <c r="A141" s="588">
        <v>5</v>
      </c>
      <c r="B141" s="587" t="s">
        <v>743</v>
      </c>
      <c r="C141" s="606">
        <v>7</v>
      </c>
      <c r="D141" s="606">
        <v>5</v>
      </c>
      <c r="E141" s="607">
        <f t="shared" si="16"/>
        <v>-2</v>
      </c>
    </row>
    <row r="142" spans="1:5" s="421" customFormat="1" x14ac:dyDescent="0.2">
      <c r="A142" s="588">
        <v>6</v>
      </c>
      <c r="B142" s="587" t="s">
        <v>424</v>
      </c>
      <c r="C142" s="606">
        <v>35</v>
      </c>
      <c r="D142" s="606">
        <v>38</v>
      </c>
      <c r="E142" s="607">
        <f t="shared" si="16"/>
        <v>3</v>
      </c>
    </row>
    <row r="143" spans="1:5" s="421" customFormat="1" x14ac:dyDescent="0.2">
      <c r="A143" s="588">
        <v>7</v>
      </c>
      <c r="B143" s="587" t="s">
        <v>758</v>
      </c>
      <c r="C143" s="606">
        <v>35</v>
      </c>
      <c r="D143" s="606">
        <v>45</v>
      </c>
      <c r="E143" s="607">
        <f t="shared" si="16"/>
        <v>10</v>
      </c>
    </row>
    <row r="144" spans="1:5" s="421" customFormat="1" x14ac:dyDescent="0.2">
      <c r="A144" s="588"/>
      <c r="B144" s="592" t="s">
        <v>807</v>
      </c>
      <c r="C144" s="608">
        <f>SUM(C138+C139+C142)</f>
        <v>6026</v>
      </c>
      <c r="D144" s="608">
        <f>SUM(D138+D139+D142)</f>
        <v>6161</v>
      </c>
      <c r="E144" s="609">
        <f t="shared" si="16"/>
        <v>135</v>
      </c>
    </row>
    <row r="145" spans="1:5" s="421" customFormat="1" x14ac:dyDescent="0.2">
      <c r="A145" s="588"/>
      <c r="B145" s="592" t="s">
        <v>138</v>
      </c>
      <c r="C145" s="608">
        <f>SUM(C137+C144)</f>
        <v>8578</v>
      </c>
      <c r="D145" s="608">
        <f>SUM(D137+D144)</f>
        <v>8669</v>
      </c>
      <c r="E145" s="609">
        <f t="shared" si="16"/>
        <v>91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10461</v>
      </c>
      <c r="D149" s="610">
        <v>9460</v>
      </c>
      <c r="E149" s="607">
        <f t="shared" ref="E149:E157" si="17">D149-C149</f>
        <v>-1001</v>
      </c>
    </row>
    <row r="150" spans="1:5" s="421" customFormat="1" x14ac:dyDescent="0.2">
      <c r="A150" s="588">
        <v>2</v>
      </c>
      <c r="B150" s="587" t="s">
        <v>635</v>
      </c>
      <c r="C150" s="610">
        <v>19395</v>
      </c>
      <c r="D150" s="610">
        <v>19450</v>
      </c>
      <c r="E150" s="607">
        <f t="shared" si="17"/>
        <v>55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10743</v>
      </c>
      <c r="D151" s="610">
        <f>D152+D153</f>
        <v>9692</v>
      </c>
      <c r="E151" s="607">
        <f t="shared" si="17"/>
        <v>-1051</v>
      </c>
    </row>
    <row r="152" spans="1:5" s="421" customFormat="1" x14ac:dyDescent="0.2">
      <c r="A152" s="588">
        <v>4</v>
      </c>
      <c r="B152" s="587" t="s">
        <v>115</v>
      </c>
      <c r="C152" s="610">
        <v>10730</v>
      </c>
      <c r="D152" s="610">
        <v>9677</v>
      </c>
      <c r="E152" s="607">
        <f t="shared" si="17"/>
        <v>-1053</v>
      </c>
    </row>
    <row r="153" spans="1:5" s="421" customFormat="1" x14ac:dyDescent="0.2">
      <c r="A153" s="588">
        <v>5</v>
      </c>
      <c r="B153" s="587" t="s">
        <v>743</v>
      </c>
      <c r="C153" s="611">
        <v>13</v>
      </c>
      <c r="D153" s="610">
        <v>15</v>
      </c>
      <c r="E153" s="607">
        <f t="shared" si="17"/>
        <v>2</v>
      </c>
    </row>
    <row r="154" spans="1:5" s="421" customFormat="1" x14ac:dyDescent="0.2">
      <c r="A154" s="588">
        <v>6</v>
      </c>
      <c r="B154" s="587" t="s">
        <v>424</v>
      </c>
      <c r="C154" s="610">
        <v>105</v>
      </c>
      <c r="D154" s="610">
        <v>121</v>
      </c>
      <c r="E154" s="607">
        <f t="shared" si="17"/>
        <v>16</v>
      </c>
    </row>
    <row r="155" spans="1:5" s="421" customFormat="1" x14ac:dyDescent="0.2">
      <c r="A155" s="588">
        <v>7</v>
      </c>
      <c r="B155" s="587" t="s">
        <v>758</v>
      </c>
      <c r="C155" s="610">
        <v>118</v>
      </c>
      <c r="D155" s="610">
        <v>163</v>
      </c>
      <c r="E155" s="607">
        <f t="shared" si="17"/>
        <v>45</v>
      </c>
    </row>
    <row r="156" spans="1:5" s="421" customFormat="1" x14ac:dyDescent="0.2">
      <c r="A156" s="588"/>
      <c r="B156" s="592" t="s">
        <v>808</v>
      </c>
      <c r="C156" s="608">
        <f>SUM(C150+C151+C154)</f>
        <v>30243</v>
      </c>
      <c r="D156" s="608">
        <f>SUM(D150+D151+D154)</f>
        <v>29263</v>
      </c>
      <c r="E156" s="609">
        <f t="shared" si="17"/>
        <v>-980</v>
      </c>
    </row>
    <row r="157" spans="1:5" s="421" customFormat="1" x14ac:dyDescent="0.2">
      <c r="A157" s="588"/>
      <c r="B157" s="592" t="s">
        <v>140</v>
      </c>
      <c r="C157" s="608">
        <f>SUM(C149+C156)</f>
        <v>40704</v>
      </c>
      <c r="D157" s="608">
        <f>SUM(D149+D156)</f>
        <v>38723</v>
      </c>
      <c r="E157" s="609">
        <f t="shared" si="17"/>
        <v>-1981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4.0991379310344831</v>
      </c>
      <c r="D161" s="612">
        <f t="shared" si="18"/>
        <v>3.7719298245614037</v>
      </c>
      <c r="E161" s="613">
        <f t="shared" ref="E161:E169" si="19">D161-C161</f>
        <v>-0.32720810647307941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5.0745682888540031</v>
      </c>
      <c r="D162" s="612">
        <f t="shared" si="18"/>
        <v>5.0572022880915233</v>
      </c>
      <c r="E162" s="613">
        <f t="shared" si="19"/>
        <v>-1.736600076247985E-2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4.9529737206085755</v>
      </c>
      <c r="D163" s="612">
        <f t="shared" si="18"/>
        <v>4.2564778216952126</v>
      </c>
      <c r="E163" s="613">
        <f t="shared" si="19"/>
        <v>-0.69649589891336294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4.9629972247918595</v>
      </c>
      <c r="D164" s="612">
        <f t="shared" si="18"/>
        <v>4.259242957746479</v>
      </c>
      <c r="E164" s="613">
        <f t="shared" si="19"/>
        <v>-0.70375426704538047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1.8571428571428572</v>
      </c>
      <c r="D165" s="612">
        <f t="shared" si="18"/>
        <v>3</v>
      </c>
      <c r="E165" s="613">
        <f t="shared" si="19"/>
        <v>1.1428571428571428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</v>
      </c>
      <c r="D166" s="612">
        <f t="shared" si="18"/>
        <v>3.1842105263157894</v>
      </c>
      <c r="E166" s="613">
        <f t="shared" si="19"/>
        <v>0.18421052631578938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3.3714285714285714</v>
      </c>
      <c r="D167" s="612">
        <f t="shared" si="18"/>
        <v>3.6222222222222222</v>
      </c>
      <c r="E167" s="613">
        <f t="shared" si="19"/>
        <v>0.25079365079365079</v>
      </c>
    </row>
    <row r="168" spans="1:5" s="421" customFormat="1" x14ac:dyDescent="0.2">
      <c r="A168" s="588"/>
      <c r="B168" s="592" t="s">
        <v>810</v>
      </c>
      <c r="C168" s="614">
        <f t="shared" si="18"/>
        <v>5.0187520743445075</v>
      </c>
      <c r="D168" s="614">
        <f t="shared" si="18"/>
        <v>4.7497159552020776</v>
      </c>
      <c r="E168" s="615">
        <f t="shared" si="19"/>
        <v>-0.26903611914242997</v>
      </c>
    </row>
    <row r="169" spans="1:5" s="421" customFormat="1" x14ac:dyDescent="0.2">
      <c r="A169" s="588"/>
      <c r="B169" s="592" t="s">
        <v>744</v>
      </c>
      <c r="C169" s="614">
        <f t="shared" si="18"/>
        <v>4.7451620424341341</v>
      </c>
      <c r="D169" s="614">
        <f t="shared" si="18"/>
        <v>4.4668358518860307</v>
      </c>
      <c r="E169" s="615">
        <f t="shared" si="19"/>
        <v>-0.27832619054810337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1.3512</v>
      </c>
      <c r="D173" s="617">
        <f t="shared" si="20"/>
        <v>1.3150999999999999</v>
      </c>
      <c r="E173" s="618">
        <f t="shared" ref="E173:E181" si="21">D173-C173</f>
        <v>-3.6100000000000021E-2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1.583</v>
      </c>
      <c r="D174" s="617">
        <f t="shared" si="20"/>
        <v>1.6133999999999999</v>
      </c>
      <c r="E174" s="618">
        <f t="shared" si="21"/>
        <v>3.0399999999999983E-2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1.3780476717381283</v>
      </c>
      <c r="D175" s="617">
        <f t="shared" si="20"/>
        <v>1.3758803249890208</v>
      </c>
      <c r="E175" s="618">
        <f t="shared" si="21"/>
        <v>-2.1673467491074572E-3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1.3789</v>
      </c>
      <c r="D176" s="617">
        <f t="shared" si="20"/>
        <v>1.3765000000000001</v>
      </c>
      <c r="E176" s="618">
        <f t="shared" si="21"/>
        <v>-2.3999999999999577E-3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1.1148</v>
      </c>
      <c r="D177" s="617">
        <f t="shared" si="20"/>
        <v>1.0943000000000001</v>
      </c>
      <c r="E177" s="618">
        <f t="shared" si="21"/>
        <v>-2.0499999999999963E-2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1.0742</v>
      </c>
      <c r="D178" s="617">
        <f t="shared" si="20"/>
        <v>1.5103</v>
      </c>
      <c r="E178" s="618">
        <f t="shared" si="21"/>
        <v>0.43609999999999993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0.93859999999999999</v>
      </c>
      <c r="D179" s="617">
        <f t="shared" si="20"/>
        <v>1.0604</v>
      </c>
      <c r="E179" s="618">
        <f t="shared" si="21"/>
        <v>0.12180000000000002</v>
      </c>
    </row>
    <row r="180" spans="1:5" s="421" customFormat="1" x14ac:dyDescent="0.2">
      <c r="A180" s="588"/>
      <c r="B180" s="592" t="s">
        <v>812</v>
      </c>
      <c r="C180" s="619">
        <f t="shared" si="20"/>
        <v>1.5062742117490873</v>
      </c>
      <c r="D180" s="619">
        <f t="shared" si="20"/>
        <v>1.5249808959584483</v>
      </c>
      <c r="E180" s="620">
        <f t="shared" si="21"/>
        <v>1.8706684209361057E-2</v>
      </c>
    </row>
    <row r="181" spans="1:5" s="421" customFormat="1" x14ac:dyDescent="0.2">
      <c r="A181" s="588"/>
      <c r="B181" s="592" t="s">
        <v>723</v>
      </c>
      <c r="C181" s="619">
        <f t="shared" si="20"/>
        <v>1.4601388202378176</v>
      </c>
      <c r="D181" s="619">
        <f t="shared" si="20"/>
        <v>1.4642609412850387</v>
      </c>
      <c r="E181" s="620">
        <f t="shared" si="21"/>
        <v>4.1221210472210945E-3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814</v>
      </c>
      <c r="C185" s="589">
        <v>225517085</v>
      </c>
      <c r="D185" s="589">
        <v>241091573</v>
      </c>
      <c r="E185" s="590">
        <f>D185-C185</f>
        <v>15574488</v>
      </c>
    </row>
    <row r="186" spans="1:5" s="421" customFormat="1" ht="25.5" x14ac:dyDescent="0.2">
      <c r="A186" s="588">
        <v>2</v>
      </c>
      <c r="B186" s="587" t="s">
        <v>815</v>
      </c>
      <c r="C186" s="589">
        <v>124969417</v>
      </c>
      <c r="D186" s="589">
        <v>125345397</v>
      </c>
      <c r="E186" s="590">
        <f>D186-C186</f>
        <v>375980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100547668</v>
      </c>
      <c r="D188" s="622">
        <f>+D185-D186</f>
        <v>115746176</v>
      </c>
      <c r="E188" s="590">
        <f t="shared" ref="E188:E197" si="22">D188-C188</f>
        <v>15198508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0.44585388286656863</v>
      </c>
      <c r="D189" s="623">
        <f>IF(D185=0,0,+D188/D185)</f>
        <v>0.48009216813231376</v>
      </c>
      <c r="E189" s="599">
        <f t="shared" si="22"/>
        <v>3.4238285265745128E-2</v>
      </c>
    </row>
    <row r="190" spans="1:5" s="421" customFormat="1" x14ac:dyDescent="0.2">
      <c r="A190" s="588">
        <v>5</v>
      </c>
      <c r="B190" s="587" t="s">
        <v>762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748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823539</v>
      </c>
      <c r="D193" s="589">
        <v>583681</v>
      </c>
      <c r="E193" s="622">
        <f t="shared" si="22"/>
        <v>-239858</v>
      </c>
    </row>
    <row r="194" spans="1:5" s="421" customFormat="1" x14ac:dyDescent="0.2">
      <c r="A194" s="588">
        <v>9</v>
      </c>
      <c r="B194" s="587" t="s">
        <v>818</v>
      </c>
      <c r="C194" s="589">
        <v>1521412</v>
      </c>
      <c r="D194" s="589">
        <v>5899534</v>
      </c>
      <c r="E194" s="622">
        <f t="shared" si="22"/>
        <v>4378122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2344951</v>
      </c>
      <c r="D195" s="589">
        <f>+D193+D194</f>
        <v>6483215</v>
      </c>
      <c r="E195" s="625">
        <f t="shared" si="22"/>
        <v>4138264</v>
      </c>
    </row>
    <row r="196" spans="1:5" s="421" customFormat="1" x14ac:dyDescent="0.2">
      <c r="A196" s="588">
        <v>11</v>
      </c>
      <c r="B196" s="587" t="s">
        <v>820</v>
      </c>
      <c r="C196" s="589">
        <v>23409670</v>
      </c>
      <c r="D196" s="589">
        <v>21955590</v>
      </c>
      <c r="E196" s="622">
        <f t="shared" si="22"/>
        <v>-1454080</v>
      </c>
    </row>
    <row r="197" spans="1:5" s="421" customFormat="1" x14ac:dyDescent="0.2">
      <c r="A197" s="588">
        <v>12</v>
      </c>
      <c r="B197" s="587" t="s">
        <v>710</v>
      </c>
      <c r="C197" s="589">
        <v>309096761</v>
      </c>
      <c r="D197" s="589">
        <v>326572641</v>
      </c>
      <c r="E197" s="622">
        <f t="shared" si="22"/>
        <v>17475880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3448.2624000000001</v>
      </c>
      <c r="D203" s="629">
        <v>3298.2707999999998</v>
      </c>
      <c r="E203" s="630">
        <f t="shared" ref="E203:E211" si="23">D203-C203</f>
        <v>-149.99160000000029</v>
      </c>
    </row>
    <row r="204" spans="1:5" s="421" customFormat="1" x14ac:dyDescent="0.2">
      <c r="A204" s="588">
        <v>2</v>
      </c>
      <c r="B204" s="587" t="s">
        <v>635</v>
      </c>
      <c r="C204" s="629">
        <v>6050.2259999999997</v>
      </c>
      <c r="D204" s="629">
        <v>6205.1363999999994</v>
      </c>
      <c r="E204" s="630">
        <f t="shared" si="23"/>
        <v>154.91039999999975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2988.9854</v>
      </c>
      <c r="D205" s="629">
        <f>D206+D207</f>
        <v>3132.8795000000005</v>
      </c>
      <c r="E205" s="630">
        <f t="shared" si="23"/>
        <v>143.89410000000044</v>
      </c>
    </row>
    <row r="206" spans="1:5" s="421" customFormat="1" x14ac:dyDescent="0.2">
      <c r="A206" s="588">
        <v>4</v>
      </c>
      <c r="B206" s="587" t="s">
        <v>115</v>
      </c>
      <c r="C206" s="629">
        <v>2981.1817999999998</v>
      </c>
      <c r="D206" s="629">
        <v>3127.4080000000004</v>
      </c>
      <c r="E206" s="630">
        <f t="shared" si="23"/>
        <v>146.22620000000052</v>
      </c>
    </row>
    <row r="207" spans="1:5" s="421" customFormat="1" x14ac:dyDescent="0.2">
      <c r="A207" s="588">
        <v>5</v>
      </c>
      <c r="B207" s="587" t="s">
        <v>743</v>
      </c>
      <c r="C207" s="629">
        <v>7.8036000000000003</v>
      </c>
      <c r="D207" s="629">
        <v>5.4715000000000007</v>
      </c>
      <c r="E207" s="630">
        <f t="shared" si="23"/>
        <v>-2.3320999999999996</v>
      </c>
    </row>
    <row r="208" spans="1:5" s="421" customFormat="1" x14ac:dyDescent="0.2">
      <c r="A208" s="588">
        <v>6</v>
      </c>
      <c r="B208" s="587" t="s">
        <v>424</v>
      </c>
      <c r="C208" s="629">
        <v>37.597000000000001</v>
      </c>
      <c r="D208" s="629">
        <v>57.391399999999997</v>
      </c>
      <c r="E208" s="630">
        <f t="shared" si="23"/>
        <v>19.794399999999996</v>
      </c>
    </row>
    <row r="209" spans="1:5" s="421" customFormat="1" x14ac:dyDescent="0.2">
      <c r="A209" s="588">
        <v>7</v>
      </c>
      <c r="B209" s="587" t="s">
        <v>758</v>
      </c>
      <c r="C209" s="629">
        <v>32.850999999999999</v>
      </c>
      <c r="D209" s="629">
        <v>47.718000000000004</v>
      </c>
      <c r="E209" s="630">
        <f t="shared" si="23"/>
        <v>14.867000000000004</v>
      </c>
    </row>
    <row r="210" spans="1:5" s="421" customFormat="1" x14ac:dyDescent="0.2">
      <c r="A210" s="588"/>
      <c r="B210" s="592" t="s">
        <v>823</v>
      </c>
      <c r="C210" s="631">
        <f>C204+C205+C208</f>
        <v>9076.8083999999999</v>
      </c>
      <c r="D210" s="631">
        <f>D204+D205+D208</f>
        <v>9395.4073000000008</v>
      </c>
      <c r="E210" s="632">
        <f t="shared" si="23"/>
        <v>318.59890000000087</v>
      </c>
    </row>
    <row r="211" spans="1:5" s="421" customFormat="1" x14ac:dyDescent="0.2">
      <c r="A211" s="588"/>
      <c r="B211" s="592" t="s">
        <v>724</v>
      </c>
      <c r="C211" s="631">
        <f>C210+C203</f>
        <v>12525.0708</v>
      </c>
      <c r="D211" s="631">
        <f>D210+D203</f>
        <v>12693.678100000001</v>
      </c>
      <c r="E211" s="632">
        <f t="shared" si="23"/>
        <v>168.60730000000149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6373.8839500437343</v>
      </c>
      <c r="D215" s="633">
        <f>IF(D14*D137=0,0,D25/D14*D137)</f>
        <v>6876.2612505609995</v>
      </c>
      <c r="E215" s="633">
        <f t="shared" ref="E215:E223" si="24">D215-C215</f>
        <v>502.37730051726521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3448.6341561009731</v>
      </c>
      <c r="D216" s="633">
        <f>IF(D15*D138=0,0,D26/D15*D138)</f>
        <v>3502.1421863978076</v>
      </c>
      <c r="E216" s="633">
        <f t="shared" si="24"/>
        <v>53.508030296834477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2150.3515984226101</v>
      </c>
      <c r="D217" s="633">
        <f>D218+D219</f>
        <v>2770.8118315928277</v>
      </c>
      <c r="E217" s="633">
        <f t="shared" si="24"/>
        <v>620.46023317021763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2140.8619261795238</v>
      </c>
      <c r="D218" s="633">
        <f t="shared" si="25"/>
        <v>2759.2275837616244</v>
      </c>
      <c r="E218" s="633">
        <f t="shared" si="24"/>
        <v>618.36565758210054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9.4896722430863765</v>
      </c>
      <c r="D219" s="633">
        <f t="shared" si="25"/>
        <v>11.584247831203305</v>
      </c>
      <c r="E219" s="633">
        <f t="shared" si="24"/>
        <v>2.0945755881169283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90.990341038685429</v>
      </c>
      <c r="D220" s="633">
        <f t="shared" si="25"/>
        <v>92.976662469879372</v>
      </c>
      <c r="E220" s="633">
        <f t="shared" si="24"/>
        <v>1.986321431193943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173.84914347756154</v>
      </c>
      <c r="D221" s="633">
        <f t="shared" si="25"/>
        <v>138.08268932352084</v>
      </c>
      <c r="E221" s="633">
        <f t="shared" si="24"/>
        <v>-35.766454154040701</v>
      </c>
    </row>
    <row r="222" spans="1:5" s="421" customFormat="1" x14ac:dyDescent="0.2">
      <c r="A222" s="588"/>
      <c r="B222" s="592" t="s">
        <v>825</v>
      </c>
      <c r="C222" s="634">
        <f>C216+C218+C219+C220</f>
        <v>5689.9760955622687</v>
      </c>
      <c r="D222" s="634">
        <f>D216+D218+D219+D220</f>
        <v>6365.9306804605148</v>
      </c>
      <c r="E222" s="634">
        <f t="shared" si="24"/>
        <v>675.95458489824614</v>
      </c>
    </row>
    <row r="223" spans="1:5" s="421" customFormat="1" x14ac:dyDescent="0.2">
      <c r="A223" s="588"/>
      <c r="B223" s="592" t="s">
        <v>826</v>
      </c>
      <c r="C223" s="634">
        <f>C215+C222</f>
        <v>12063.860045606003</v>
      </c>
      <c r="D223" s="634">
        <f>D215+D222</f>
        <v>13242.191931021514</v>
      </c>
      <c r="E223" s="634">
        <f t="shared" si="24"/>
        <v>1178.3318854155114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10758.846542536901</v>
      </c>
      <c r="D227" s="636">
        <f t="shared" si="26"/>
        <v>10657.72949874219</v>
      </c>
      <c r="E227" s="636">
        <f t="shared" ref="E227:E235" si="27">D227-C227</f>
        <v>-101.11704379471121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11400.868496482612</v>
      </c>
      <c r="D228" s="636">
        <f t="shared" si="26"/>
        <v>11777.349003963878</v>
      </c>
      <c r="E228" s="636">
        <f t="shared" si="27"/>
        <v>376.48050748126661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7788.0176330068389</v>
      </c>
      <c r="D229" s="636">
        <f t="shared" si="26"/>
        <v>7850.9882043021435</v>
      </c>
      <c r="E229" s="636">
        <f t="shared" si="27"/>
        <v>62.97057129530458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7799.8131479267722</v>
      </c>
      <c r="D230" s="636">
        <f t="shared" si="26"/>
        <v>7859.7250502652669</v>
      </c>
      <c r="E230" s="636">
        <f t="shared" si="27"/>
        <v>59.911902338494656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3281.8186478035777</v>
      </c>
      <c r="D231" s="636">
        <f t="shared" si="26"/>
        <v>2857.1689664625783</v>
      </c>
      <c r="E231" s="636">
        <f t="shared" si="27"/>
        <v>-424.64968134099945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6945.8201452243529</v>
      </c>
      <c r="D232" s="636">
        <f t="shared" si="26"/>
        <v>6870.4370341200947</v>
      </c>
      <c r="E232" s="636">
        <f t="shared" si="27"/>
        <v>-75.383111104258205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1588.962284253143</v>
      </c>
      <c r="D233" s="636">
        <f t="shared" si="26"/>
        <v>2609.0783352194139</v>
      </c>
      <c r="E233" s="636">
        <f t="shared" si="27"/>
        <v>1020.1160509662709</v>
      </c>
    </row>
    <row r="234" spans="1:5" x14ac:dyDescent="0.2">
      <c r="A234" s="588"/>
      <c r="B234" s="592" t="s">
        <v>828</v>
      </c>
      <c r="C234" s="637">
        <f t="shared" si="26"/>
        <v>10192.706502430965</v>
      </c>
      <c r="D234" s="637">
        <f t="shared" si="26"/>
        <v>10438.138323178389</v>
      </c>
      <c r="E234" s="637">
        <f t="shared" si="27"/>
        <v>245.43182074742435</v>
      </c>
    </row>
    <row r="235" spans="1:5" s="421" customFormat="1" x14ac:dyDescent="0.2">
      <c r="A235" s="588"/>
      <c r="B235" s="592" t="s">
        <v>829</v>
      </c>
      <c r="C235" s="637">
        <f t="shared" si="26"/>
        <v>10348.569846008377</v>
      </c>
      <c r="D235" s="637">
        <f t="shared" si="26"/>
        <v>10495.195951124677</v>
      </c>
      <c r="E235" s="637">
        <f t="shared" si="27"/>
        <v>146.6261051163001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13986.807525635651</v>
      </c>
      <c r="D239" s="636">
        <f t="shared" si="28"/>
        <v>13236.565145423219</v>
      </c>
      <c r="E239" s="638">
        <f t="shared" ref="E239:E247" si="29">D239-C239</f>
        <v>-750.24238021243218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11075.599866813376</v>
      </c>
      <c r="D240" s="636">
        <f t="shared" si="28"/>
        <v>11821.455211269751</v>
      </c>
      <c r="E240" s="638">
        <f t="shared" si="29"/>
        <v>745.85534445637495</v>
      </c>
    </row>
    <row r="241" spans="1:5" x14ac:dyDescent="0.2">
      <c r="A241" s="588">
        <v>3</v>
      </c>
      <c r="B241" s="587" t="s">
        <v>777</v>
      </c>
      <c r="C241" s="636">
        <f t="shared" si="28"/>
        <v>11129.152096594349</v>
      </c>
      <c r="D241" s="636">
        <f t="shared" si="28"/>
        <v>9871.4877308274026</v>
      </c>
      <c r="E241" s="638">
        <f t="shared" si="29"/>
        <v>-1257.6643657669465</v>
      </c>
    </row>
    <row r="242" spans="1:5" x14ac:dyDescent="0.2">
      <c r="A242" s="588">
        <v>4</v>
      </c>
      <c r="B242" s="587" t="s">
        <v>115</v>
      </c>
      <c r="C242" s="636">
        <f t="shared" si="28"/>
        <v>11140.110302470803</v>
      </c>
      <c r="D242" s="636">
        <f t="shared" si="28"/>
        <v>9889.215793791278</v>
      </c>
      <c r="E242" s="638">
        <f t="shared" si="29"/>
        <v>-1250.8945086795247</v>
      </c>
    </row>
    <row r="243" spans="1:5" x14ac:dyDescent="0.2">
      <c r="A243" s="588">
        <v>5</v>
      </c>
      <c r="B243" s="587" t="s">
        <v>743</v>
      </c>
      <c r="C243" s="636">
        <f t="shared" si="28"/>
        <v>8656.9902411383246</v>
      </c>
      <c r="D243" s="636">
        <f t="shared" si="28"/>
        <v>5648.8777651783612</v>
      </c>
      <c r="E243" s="638">
        <f t="shared" si="29"/>
        <v>-3008.1124759599634</v>
      </c>
    </row>
    <row r="244" spans="1:5" x14ac:dyDescent="0.2">
      <c r="A244" s="588">
        <v>6</v>
      </c>
      <c r="B244" s="587" t="s">
        <v>424</v>
      </c>
      <c r="C244" s="636">
        <f t="shared" si="28"/>
        <v>7897.8822564745315</v>
      </c>
      <c r="D244" s="636">
        <f t="shared" si="28"/>
        <v>8039.7701976252692</v>
      </c>
      <c r="E244" s="638">
        <f t="shared" si="29"/>
        <v>141.88794115073779</v>
      </c>
    </row>
    <row r="245" spans="1:5" x14ac:dyDescent="0.2">
      <c r="A245" s="588">
        <v>7</v>
      </c>
      <c r="B245" s="587" t="s">
        <v>758</v>
      </c>
      <c r="C245" s="636">
        <f t="shared" si="28"/>
        <v>7063.5895894333016</v>
      </c>
      <c r="D245" s="636">
        <f t="shared" si="28"/>
        <v>5071.3163498671693</v>
      </c>
      <c r="E245" s="638">
        <f t="shared" si="29"/>
        <v>-1992.2732395661324</v>
      </c>
    </row>
    <row r="246" spans="1:5" ht="25.5" x14ac:dyDescent="0.2">
      <c r="A246" s="588"/>
      <c r="B246" s="592" t="s">
        <v>831</v>
      </c>
      <c r="C246" s="637">
        <f t="shared" si="28"/>
        <v>11045.022324261579</v>
      </c>
      <c r="D246" s="637">
        <f t="shared" si="28"/>
        <v>10917.486615636904</v>
      </c>
      <c r="E246" s="639">
        <f t="shared" si="29"/>
        <v>-127.53570862467495</v>
      </c>
    </row>
    <row r="247" spans="1:5" x14ac:dyDescent="0.2">
      <c r="A247" s="588"/>
      <c r="B247" s="592" t="s">
        <v>832</v>
      </c>
      <c r="C247" s="637">
        <f t="shared" si="28"/>
        <v>12599.300756590033</v>
      </c>
      <c r="D247" s="637">
        <f t="shared" si="28"/>
        <v>12121.712465439057</v>
      </c>
      <c r="E247" s="639">
        <f t="shared" si="29"/>
        <v>-477.58829115097615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-138107.93554023848</v>
      </c>
      <c r="D251" s="622">
        <f>((IF((IF(D15=0,0,D26/D15)*D138)=0,0,D59/(IF(D15=0,0,D26/D15)*D138)))-(IF((IF(D17=0,0,D28/D17)*D140)=0,0,D61/(IF(D17=0,0,D28/D17)*D140))))*(IF(D17=0,0,D28/D17)*D140)</f>
        <v>5331488.2991380962</v>
      </c>
      <c r="E251" s="622">
        <f>D251-C251</f>
        <v>5469596.2346783346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86309.630030781787</v>
      </c>
      <c r="D252" s="622">
        <f>IF(D231=0,0,(D228-D231)*D207)+IF(D243=0,0,(D240-D243)*D219)</f>
        <v>120311.43196800697</v>
      </c>
      <c r="E252" s="622">
        <f>D252-C252</f>
        <v>34001.801937225187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1019815.4813236503</v>
      </c>
      <c r="D253" s="622">
        <f>IF(D233=0,0,(D228-D233)*D209+IF(D221=0,0,(D240-D245)*D221))</f>
        <v>1369568.8670608257</v>
      </c>
      <c r="E253" s="622">
        <f>D253-C253</f>
        <v>349753.38573717535</v>
      </c>
    </row>
    <row r="254" spans="1:5" ht="15" customHeight="1" x14ac:dyDescent="0.2">
      <c r="A254" s="588"/>
      <c r="B254" s="592" t="s">
        <v>759</v>
      </c>
      <c r="C254" s="640">
        <f>+C251+C252+C253</f>
        <v>968017.17581419367</v>
      </c>
      <c r="D254" s="640">
        <f>+D251+D252+D253</f>
        <v>6821368.5981669296</v>
      </c>
      <c r="E254" s="640">
        <f>D254-C254</f>
        <v>5853351.4223527359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600821647</v>
      </c>
      <c r="D258" s="625">
        <f>+D44</f>
        <v>667350681</v>
      </c>
      <c r="E258" s="622">
        <f t="shared" ref="E258:E271" si="30">D258-C258</f>
        <v>66529034</v>
      </c>
    </row>
    <row r="259" spans="1:5" x14ac:dyDescent="0.2">
      <c r="A259" s="588">
        <v>2</v>
      </c>
      <c r="B259" s="587" t="s">
        <v>742</v>
      </c>
      <c r="C259" s="622">
        <f>+(C43-C76)</f>
        <v>215489697</v>
      </c>
      <c r="D259" s="625">
        <f>+(D43-D76)</f>
        <v>254716483</v>
      </c>
      <c r="E259" s="622">
        <f t="shared" si="30"/>
        <v>39226786</v>
      </c>
    </row>
    <row r="260" spans="1:5" x14ac:dyDescent="0.2">
      <c r="A260" s="588">
        <v>3</v>
      </c>
      <c r="B260" s="587" t="s">
        <v>746</v>
      </c>
      <c r="C260" s="622">
        <f>C195</f>
        <v>2344951</v>
      </c>
      <c r="D260" s="622">
        <f>D195</f>
        <v>6483215</v>
      </c>
      <c r="E260" s="622">
        <f t="shared" si="30"/>
        <v>4138264</v>
      </c>
    </row>
    <row r="261" spans="1:5" x14ac:dyDescent="0.2">
      <c r="A261" s="588">
        <v>4</v>
      </c>
      <c r="B261" s="587" t="s">
        <v>747</v>
      </c>
      <c r="C261" s="622">
        <f>C188</f>
        <v>100547668</v>
      </c>
      <c r="D261" s="622">
        <f>D188</f>
        <v>115746176</v>
      </c>
      <c r="E261" s="622">
        <f t="shared" si="30"/>
        <v>15198508</v>
      </c>
    </row>
    <row r="262" spans="1:5" x14ac:dyDescent="0.2">
      <c r="A262" s="588">
        <v>5</v>
      </c>
      <c r="B262" s="587" t="s">
        <v>748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749</v>
      </c>
      <c r="C263" s="622">
        <f>+C259+C260+C261+C262</f>
        <v>318382316</v>
      </c>
      <c r="D263" s="622">
        <f>+D259+D260+D261+D262</f>
        <v>376945874</v>
      </c>
      <c r="E263" s="622">
        <f t="shared" si="30"/>
        <v>58563558</v>
      </c>
    </row>
    <row r="264" spans="1:5" x14ac:dyDescent="0.2">
      <c r="A264" s="588">
        <v>7</v>
      </c>
      <c r="B264" s="587" t="s">
        <v>654</v>
      </c>
      <c r="C264" s="622">
        <f>+C258-C263</f>
        <v>282439331</v>
      </c>
      <c r="D264" s="622">
        <f>+D258-D263</f>
        <v>290404807</v>
      </c>
      <c r="E264" s="622">
        <f t="shared" si="30"/>
        <v>7965476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282439331</v>
      </c>
      <c r="D266" s="622">
        <f>+D264+D265</f>
        <v>290404807</v>
      </c>
      <c r="E266" s="641">
        <f t="shared" si="30"/>
        <v>7965476</v>
      </c>
    </row>
    <row r="267" spans="1:5" x14ac:dyDescent="0.2">
      <c r="A267" s="588">
        <v>10</v>
      </c>
      <c r="B267" s="587" t="s">
        <v>837</v>
      </c>
      <c r="C267" s="642">
        <f>IF(C258=0,0,C266/C258)</f>
        <v>0.47008847369309248</v>
      </c>
      <c r="D267" s="642">
        <f>IF(D258=0,0,D266/D258)</f>
        <v>0.43516072623892327</v>
      </c>
      <c r="E267" s="643">
        <f t="shared" si="30"/>
        <v>-3.4927747454169211E-2</v>
      </c>
    </row>
    <row r="268" spans="1:5" x14ac:dyDescent="0.2">
      <c r="A268" s="588">
        <v>11</v>
      </c>
      <c r="B268" s="587" t="s">
        <v>716</v>
      </c>
      <c r="C268" s="622">
        <f>+C260*C267</f>
        <v>1102334.4364750909</v>
      </c>
      <c r="D268" s="644">
        <f>+D260*D267</f>
        <v>2821240.5477630808</v>
      </c>
      <c r="E268" s="622">
        <f t="shared" si="30"/>
        <v>1718906.1112879899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12684744.172322504</v>
      </c>
      <c r="D269" s="644">
        <f>((D17+D18+D28+D29)*D267)-(D50+D51+D61+D62)</f>
        <v>10993174.410280608</v>
      </c>
      <c r="E269" s="622">
        <f t="shared" si="30"/>
        <v>-1691569.7620418966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840</v>
      </c>
      <c r="C271" s="622">
        <f>+C268+C269+C270</f>
        <v>13787078.608797595</v>
      </c>
      <c r="D271" s="622">
        <f>+D268+D269+D270</f>
        <v>13814414.958043689</v>
      </c>
      <c r="E271" s="625">
        <f t="shared" si="30"/>
        <v>27336.349246094003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0.56424494874866982</v>
      </c>
      <c r="D276" s="623">
        <f t="shared" si="31"/>
        <v>0.53671609690024846</v>
      </c>
      <c r="E276" s="650">
        <f t="shared" ref="E276:E284" si="32">D276-C276</f>
        <v>-2.7528851848421354E-2</v>
      </c>
    </row>
    <row r="277" spans="1:5" x14ac:dyDescent="0.2">
      <c r="A277" s="588">
        <v>2</v>
      </c>
      <c r="B277" s="587" t="s">
        <v>635</v>
      </c>
      <c r="C277" s="623">
        <f t="shared" si="31"/>
        <v>0.54469493135794955</v>
      </c>
      <c r="D277" s="623">
        <f t="shared" si="31"/>
        <v>0.50859716796642906</v>
      </c>
      <c r="E277" s="650">
        <f t="shared" si="32"/>
        <v>-3.6097763391520488E-2</v>
      </c>
    </row>
    <row r="278" spans="1:5" x14ac:dyDescent="0.2">
      <c r="A278" s="588">
        <v>3</v>
      </c>
      <c r="B278" s="587" t="s">
        <v>777</v>
      </c>
      <c r="C278" s="623">
        <f t="shared" si="31"/>
        <v>0.36370268521888122</v>
      </c>
      <c r="D278" s="623">
        <f t="shared" si="31"/>
        <v>0.3767808787311589</v>
      </c>
      <c r="E278" s="650">
        <f t="shared" si="32"/>
        <v>1.307819351227768E-2</v>
      </c>
    </row>
    <row r="279" spans="1:5" x14ac:dyDescent="0.2">
      <c r="A279" s="588">
        <v>4</v>
      </c>
      <c r="B279" s="587" t="s">
        <v>115</v>
      </c>
      <c r="C279" s="623">
        <f t="shared" si="31"/>
        <v>0.36376867210374714</v>
      </c>
      <c r="D279" s="623">
        <f t="shared" si="31"/>
        <v>0.37696341959584873</v>
      </c>
      <c r="E279" s="650">
        <f t="shared" si="32"/>
        <v>1.3194747492101588E-2</v>
      </c>
    </row>
    <row r="280" spans="1:5" x14ac:dyDescent="0.2">
      <c r="A280" s="588">
        <v>5</v>
      </c>
      <c r="B280" s="587" t="s">
        <v>743</v>
      </c>
      <c r="C280" s="623">
        <f t="shared" si="31"/>
        <v>0.31227137492074331</v>
      </c>
      <c r="D280" s="623">
        <f t="shared" si="31"/>
        <v>0.21391040201417585</v>
      </c>
      <c r="E280" s="650">
        <f t="shared" si="32"/>
        <v>-9.8360972906567451E-2</v>
      </c>
    </row>
    <row r="281" spans="1:5" x14ac:dyDescent="0.2">
      <c r="A281" s="588">
        <v>6</v>
      </c>
      <c r="B281" s="587" t="s">
        <v>424</v>
      </c>
      <c r="C281" s="623">
        <f t="shared" si="31"/>
        <v>0.36995606858457541</v>
      </c>
      <c r="D281" s="623">
        <f t="shared" si="31"/>
        <v>0.43624165528961151</v>
      </c>
      <c r="E281" s="650">
        <f t="shared" si="32"/>
        <v>6.6285586705036093E-2</v>
      </c>
    </row>
    <row r="282" spans="1:5" x14ac:dyDescent="0.2">
      <c r="A282" s="588">
        <v>7</v>
      </c>
      <c r="B282" s="587" t="s">
        <v>758</v>
      </c>
      <c r="C282" s="623">
        <f t="shared" si="31"/>
        <v>6.9968098225296232E-2</v>
      </c>
      <c r="D282" s="623">
        <f t="shared" si="31"/>
        <v>0.12752162490205418</v>
      </c>
      <c r="E282" s="650">
        <f t="shared" si="32"/>
        <v>5.7553526676757949E-2</v>
      </c>
    </row>
    <row r="283" spans="1:5" ht="29.25" customHeight="1" x14ac:dyDescent="0.2">
      <c r="A283" s="588"/>
      <c r="B283" s="592" t="s">
        <v>844</v>
      </c>
      <c r="C283" s="651">
        <f t="shared" si="31"/>
        <v>0.48350972121280433</v>
      </c>
      <c r="D283" s="651">
        <f t="shared" si="31"/>
        <v>0.46728485139933573</v>
      </c>
      <c r="E283" s="652">
        <f t="shared" si="32"/>
        <v>-1.6224869813468601E-2</v>
      </c>
    </row>
    <row r="284" spans="1:5" x14ac:dyDescent="0.2">
      <c r="A284" s="588"/>
      <c r="B284" s="592" t="s">
        <v>845</v>
      </c>
      <c r="C284" s="651">
        <f t="shared" si="31"/>
        <v>0.50415719176841911</v>
      </c>
      <c r="D284" s="651">
        <f t="shared" si="31"/>
        <v>0.48379868837372675</v>
      </c>
      <c r="E284" s="652">
        <f t="shared" si="32"/>
        <v>-2.0358503394692362E-2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0.54287635803446677</v>
      </c>
      <c r="D287" s="623">
        <f t="shared" si="33"/>
        <v>0.50686984063056784</v>
      </c>
      <c r="E287" s="650">
        <f t="shared" ref="E287:E295" si="34">D287-C287</f>
        <v>-3.600651740389893E-2</v>
      </c>
    </row>
    <row r="288" spans="1:5" x14ac:dyDescent="0.2">
      <c r="A288" s="588">
        <v>2</v>
      </c>
      <c r="B288" s="587" t="s">
        <v>635</v>
      </c>
      <c r="C288" s="623">
        <f t="shared" si="33"/>
        <v>0.33427333955122701</v>
      </c>
      <c r="D288" s="623">
        <f t="shared" si="33"/>
        <v>0.31641370142820596</v>
      </c>
      <c r="E288" s="650">
        <f t="shared" si="34"/>
        <v>-1.7859638123021049E-2</v>
      </c>
    </row>
    <row r="289" spans="1:5" x14ac:dyDescent="0.2">
      <c r="A289" s="588">
        <v>3</v>
      </c>
      <c r="B289" s="587" t="s">
        <v>777</v>
      </c>
      <c r="C289" s="623">
        <f t="shared" si="33"/>
        <v>0.37742359477877269</v>
      </c>
      <c r="D289" s="623">
        <f t="shared" si="33"/>
        <v>0.34465943194447263</v>
      </c>
      <c r="E289" s="650">
        <f t="shared" si="34"/>
        <v>-3.2764162834300059E-2</v>
      </c>
    </row>
    <row r="290" spans="1:5" x14ac:dyDescent="0.2">
      <c r="A290" s="588">
        <v>4</v>
      </c>
      <c r="B290" s="587" t="s">
        <v>115</v>
      </c>
      <c r="C290" s="623">
        <f t="shared" si="33"/>
        <v>0.37678865274786588</v>
      </c>
      <c r="D290" s="623">
        <f t="shared" si="33"/>
        <v>0.34457002368762907</v>
      </c>
      <c r="E290" s="650">
        <f t="shared" si="34"/>
        <v>-3.2218629060236814E-2</v>
      </c>
    </row>
    <row r="291" spans="1:5" x14ac:dyDescent="0.2">
      <c r="A291" s="588">
        <v>5</v>
      </c>
      <c r="B291" s="587" t="s">
        <v>743</v>
      </c>
      <c r="C291" s="623">
        <f t="shared" si="33"/>
        <v>0.73890322986841273</v>
      </c>
      <c r="D291" s="623">
        <f t="shared" si="33"/>
        <v>0.38647531301677296</v>
      </c>
      <c r="E291" s="650">
        <f t="shared" si="34"/>
        <v>-0.35242791685163977</v>
      </c>
    </row>
    <row r="292" spans="1:5" x14ac:dyDescent="0.2">
      <c r="A292" s="588">
        <v>6</v>
      </c>
      <c r="B292" s="587" t="s">
        <v>424</v>
      </c>
      <c r="C292" s="623">
        <f t="shared" si="33"/>
        <v>0.39160851736305058</v>
      </c>
      <c r="D292" s="623">
        <f t="shared" si="33"/>
        <v>0.33800504445322666</v>
      </c>
      <c r="E292" s="650">
        <f t="shared" si="34"/>
        <v>-5.3603472909823924E-2</v>
      </c>
    </row>
    <row r="293" spans="1:5" x14ac:dyDescent="0.2">
      <c r="A293" s="588">
        <v>7</v>
      </c>
      <c r="B293" s="587" t="s">
        <v>758</v>
      </c>
      <c r="C293" s="623">
        <f t="shared" si="33"/>
        <v>0.33138388776763383</v>
      </c>
      <c r="D293" s="623">
        <f t="shared" si="33"/>
        <v>0.23374789204605387</v>
      </c>
      <c r="E293" s="650">
        <f t="shared" si="34"/>
        <v>-9.7635995721579966E-2</v>
      </c>
    </row>
    <row r="294" spans="1:5" ht="29.25" customHeight="1" x14ac:dyDescent="0.2">
      <c r="A294" s="588"/>
      <c r="B294" s="592" t="s">
        <v>847</v>
      </c>
      <c r="C294" s="651">
        <f t="shared" si="33"/>
        <v>0.35010149648402816</v>
      </c>
      <c r="D294" s="651">
        <f t="shared" si="33"/>
        <v>0.32719134282317414</v>
      </c>
      <c r="E294" s="652">
        <f t="shared" si="34"/>
        <v>-2.2910153660854027E-2</v>
      </c>
    </row>
    <row r="295" spans="1:5" x14ac:dyDescent="0.2">
      <c r="A295" s="588"/>
      <c r="B295" s="592" t="s">
        <v>848</v>
      </c>
      <c r="C295" s="651">
        <f t="shared" si="33"/>
        <v>0.44220151418354042</v>
      </c>
      <c r="D295" s="651">
        <f t="shared" si="33"/>
        <v>0.40950281333801519</v>
      </c>
      <c r="E295" s="652">
        <f t="shared" si="34"/>
        <v>-3.269870084552523E-2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281612771</v>
      </c>
      <c r="D301" s="590">
        <f>+D48+D47+D50+D51+D52+D59+D58+D61+D62+D63</f>
        <v>293740682</v>
      </c>
      <c r="E301" s="590">
        <f>D301-C301</f>
        <v>12127911</v>
      </c>
    </row>
    <row r="302" spans="1:5" ht="25.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281612771</v>
      </c>
      <c r="D303" s="593">
        <f>+D301+D302</f>
        <v>293740682</v>
      </c>
      <c r="E303" s="593">
        <f>D303-C303</f>
        <v>12127911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0</v>
      </c>
      <c r="D305" s="654">
        <v>0</v>
      </c>
      <c r="E305" s="655">
        <f>D305-C305</f>
        <v>0</v>
      </c>
    </row>
    <row r="306" spans="1:5" x14ac:dyDescent="0.2">
      <c r="A306" s="588">
        <v>4</v>
      </c>
      <c r="B306" s="592" t="s">
        <v>855</v>
      </c>
      <c r="C306" s="593">
        <f>+C303+C305+C194+C190-C191</f>
        <v>283134183</v>
      </c>
      <c r="D306" s="593">
        <f>+D303+D305</f>
        <v>293740682</v>
      </c>
      <c r="E306" s="656">
        <f>D306-C306</f>
        <v>10606499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856</v>
      </c>
      <c r="C308" s="589">
        <v>281612773</v>
      </c>
      <c r="D308" s="589">
        <v>293740681</v>
      </c>
      <c r="E308" s="590">
        <f>D308-C308</f>
        <v>12127908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1521410</v>
      </c>
      <c r="D310" s="658">
        <f>D306-D308</f>
        <v>1</v>
      </c>
      <c r="E310" s="656">
        <f>D310-C310</f>
        <v>-1521409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600821647</v>
      </c>
      <c r="D314" s="590">
        <f>+D14+D15+D16+D19+D25+D26+D27+D30</f>
        <v>667350681</v>
      </c>
      <c r="E314" s="590">
        <f>D314-C314</f>
        <v>66529034</v>
      </c>
    </row>
    <row r="315" spans="1:5" x14ac:dyDescent="0.2">
      <c r="A315" s="588">
        <v>2</v>
      </c>
      <c r="B315" s="659" t="s">
        <v>860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861</v>
      </c>
      <c r="C316" s="657">
        <f>C314+C315</f>
        <v>600821647</v>
      </c>
      <c r="D316" s="657">
        <f>D314+D315</f>
        <v>667350681</v>
      </c>
      <c r="E316" s="593">
        <f>D316-C316</f>
        <v>66529034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862</v>
      </c>
      <c r="C318" s="589">
        <v>600821647</v>
      </c>
      <c r="D318" s="589">
        <v>667350681</v>
      </c>
      <c r="E318" s="590">
        <f>D318-C318</f>
        <v>66529034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2344951</v>
      </c>
      <c r="D324" s="589">
        <f>+D193+D194</f>
        <v>6483215</v>
      </c>
      <c r="E324" s="590">
        <f>D324-C324</f>
        <v>4138264</v>
      </c>
    </row>
    <row r="325" spans="1:5" x14ac:dyDescent="0.2">
      <c r="A325" s="588">
        <v>2</v>
      </c>
      <c r="B325" s="587" t="s">
        <v>865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866</v>
      </c>
      <c r="C326" s="657">
        <f>C324+C325</f>
        <v>2344951</v>
      </c>
      <c r="D326" s="657">
        <f>D324+D325</f>
        <v>6483215</v>
      </c>
      <c r="E326" s="593">
        <f>D326-C326</f>
        <v>4138264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867</v>
      </c>
      <c r="C328" s="589">
        <v>2344951</v>
      </c>
      <c r="D328" s="589">
        <v>6483215</v>
      </c>
      <c r="E328" s="590">
        <f>D328-C328</f>
        <v>4138264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FILING&amp;RJOHN DEMPSEY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65494734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143689469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65279852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65206770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73082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903866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976305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209873187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275367921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179568940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130842681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79359601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79190281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169320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2211538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2995796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212413820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391982760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245063674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422287007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667350681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35152078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73080057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24596200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24580567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15633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394304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124500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98070561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133222639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91018080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41400417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27352035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27286597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65438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747511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700261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69499963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160518043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126170158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167570524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293740682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2508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3846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2277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2272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5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38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45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6161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8669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1.3150999999999999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1.6133999999999999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1.3758803249890208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1.3765000000000001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1.0943000000000001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1.5103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1.0604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1.5249808959584481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1.4642609412850387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241091573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125345397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115746176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0.48009216813231376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583681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5899534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6483215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21955590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326572641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293740682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293740682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0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293740682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293740681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1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667350681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667350681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667350681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6483215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6483215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6483215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FILING&amp;RJOHN DEMPSEY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882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403</v>
      </c>
      <c r="D12" s="185">
        <v>227</v>
      </c>
      <c r="E12" s="185">
        <f>+D12-C12</f>
        <v>-176</v>
      </c>
      <c r="F12" s="77">
        <f>IF(C12=0,0,+E12/C12)</f>
        <v>-0.43672456575682383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213</v>
      </c>
      <c r="D13" s="185">
        <v>148</v>
      </c>
      <c r="E13" s="185">
        <f>+D13-C13</f>
        <v>-65</v>
      </c>
      <c r="F13" s="77">
        <f>IF(C13=0,0,+E13/C13)</f>
        <v>-0.30516431924882631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823539</v>
      </c>
      <c r="D15" s="76">
        <v>583681</v>
      </c>
      <c r="E15" s="76">
        <f>+D15-C15</f>
        <v>-239858</v>
      </c>
      <c r="F15" s="77">
        <f>IF(C15=0,0,+E15/C15)</f>
        <v>-0.29125275184296068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3866.3802816901407</v>
      </c>
      <c r="D16" s="79">
        <f>IF(D13=0,0,+D15/+D13)</f>
        <v>3943.7905405405404</v>
      </c>
      <c r="E16" s="79">
        <f>+D16-C16</f>
        <v>77.410258850399714</v>
      </c>
      <c r="F16" s="80">
        <f>IF(C16=0,0,+E16/C16)</f>
        <v>2.002137741519848E-2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0.53543300000000005</v>
      </c>
      <c r="D18" s="704">
        <v>0.49516399999999999</v>
      </c>
      <c r="E18" s="704">
        <f>+D18-C18</f>
        <v>-4.0269000000000055E-2</v>
      </c>
      <c r="F18" s="77">
        <f>IF(C18=0,0,+E18/C18)</f>
        <v>-7.5208289365803094E-2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440949.95738700003</v>
      </c>
      <c r="D19" s="79">
        <f>+D15*D18</f>
        <v>289017.818684</v>
      </c>
      <c r="E19" s="79">
        <f>+D19-C19</f>
        <v>-151932.13870300003</v>
      </c>
      <c r="F19" s="80">
        <f>IF(C19=0,0,+E19/C19)</f>
        <v>-0.34455641996957193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2070.1875933661972</v>
      </c>
      <c r="D20" s="79">
        <f>IF(D13=0,0,+D19/D13)</f>
        <v>1952.8230992162162</v>
      </c>
      <c r="E20" s="79">
        <f>+D20-C20</f>
        <v>-117.36449414998106</v>
      </c>
      <c r="F20" s="80">
        <f>IF(C20=0,0,+E20/C20)</f>
        <v>-5.6692685496748774E-2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153668</v>
      </c>
      <c r="D22" s="76">
        <v>194619</v>
      </c>
      <c r="E22" s="76">
        <f>+D22-C22</f>
        <v>40951</v>
      </c>
      <c r="F22" s="77">
        <f>IF(C22=0,0,+E22/C22)</f>
        <v>0.26649009553062447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449919</v>
      </c>
      <c r="D23" s="185">
        <v>219922</v>
      </c>
      <c r="E23" s="185">
        <f>+D23-C23</f>
        <v>-229997</v>
      </c>
      <c r="F23" s="77">
        <f>IF(C23=0,0,+E23/C23)</f>
        <v>-0.51119645980720974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219952</v>
      </c>
      <c r="D24" s="185">
        <v>169140</v>
      </c>
      <c r="E24" s="185">
        <f>+D24-C24</f>
        <v>-50812</v>
      </c>
      <c r="F24" s="77">
        <f>IF(C24=0,0,+E24/C24)</f>
        <v>-0.23101403942678403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823539</v>
      </c>
      <c r="D25" s="79">
        <f>+D22+D23+D24</f>
        <v>583681</v>
      </c>
      <c r="E25" s="79">
        <f>+E22+E23+E24</f>
        <v>-239858</v>
      </c>
      <c r="F25" s="80">
        <f>IF(C25=0,0,+E25/C25)</f>
        <v>-0.29125275184296068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74</v>
      </c>
      <c r="D27" s="185">
        <v>120</v>
      </c>
      <c r="E27" s="185">
        <f>+D27-C27</f>
        <v>46</v>
      </c>
      <c r="F27" s="77">
        <f>IF(C27=0,0,+E27/C27)</f>
        <v>0.6216216216216216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12</v>
      </c>
      <c r="D28" s="185">
        <v>15</v>
      </c>
      <c r="E28" s="185">
        <f>+D28-C28</f>
        <v>3</v>
      </c>
      <c r="F28" s="77">
        <f>IF(C28=0,0,+E28/C28)</f>
        <v>0.25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184</v>
      </c>
      <c r="D29" s="185">
        <v>119</v>
      </c>
      <c r="E29" s="185">
        <f>+D29-C29</f>
        <v>-65</v>
      </c>
      <c r="F29" s="77">
        <f>IF(C29=0,0,+E29/C29)</f>
        <v>-0.35326086956521741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757</v>
      </c>
      <c r="D30" s="185">
        <v>554</v>
      </c>
      <c r="E30" s="185">
        <f>+D30-C30</f>
        <v>-203</v>
      </c>
      <c r="F30" s="77">
        <f>IF(C30=0,0,+E30/C30)</f>
        <v>-0.26816380449141347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463916</v>
      </c>
      <c r="D33" s="76">
        <v>1670965</v>
      </c>
      <c r="E33" s="76">
        <f>+D33-C33</f>
        <v>1207049</v>
      </c>
      <c r="F33" s="77">
        <f>IF(C33=0,0,+E33/C33)</f>
        <v>2.6018697350382398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500646</v>
      </c>
      <c r="D34" s="185">
        <v>2010407</v>
      </c>
      <c r="E34" s="185">
        <f>+D34-C34</f>
        <v>1509761</v>
      </c>
      <c r="F34" s="77">
        <f>IF(C34=0,0,+E34/C34)</f>
        <v>3.0156258114516046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556850</v>
      </c>
      <c r="D35" s="185">
        <v>2218162</v>
      </c>
      <c r="E35" s="185">
        <f>+D35-C35</f>
        <v>1661312</v>
      </c>
      <c r="F35" s="77">
        <f>IF(C35=0,0,+E35/C35)</f>
        <v>2.9834102541079286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1521412</v>
      </c>
      <c r="D36" s="79">
        <f>+D33+D34+D35</f>
        <v>5899534</v>
      </c>
      <c r="E36" s="79">
        <f>+E33+E34+E35</f>
        <v>4378122</v>
      </c>
      <c r="F36" s="80">
        <f>IF(C36=0,0,+E36/C36)</f>
        <v>2.8776702168774797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823539</v>
      </c>
      <c r="D39" s="76">
        <f>+D25</f>
        <v>583681</v>
      </c>
      <c r="E39" s="76">
        <f>+D39-C39</f>
        <v>-239858</v>
      </c>
      <c r="F39" s="77">
        <f>IF(C39=0,0,+E39/C39)</f>
        <v>-0.29125275184296068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1521412</v>
      </c>
      <c r="D40" s="185">
        <f>+D36</f>
        <v>5899534</v>
      </c>
      <c r="E40" s="185">
        <f>+D40-C40</f>
        <v>4378122</v>
      </c>
      <c r="F40" s="77">
        <f>IF(C40=0,0,+E40/C40)</f>
        <v>2.8776702168774797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2344951</v>
      </c>
      <c r="D41" s="79">
        <f>+D39+D40</f>
        <v>6483215</v>
      </c>
      <c r="E41" s="79">
        <f>+E39+E40</f>
        <v>4138264</v>
      </c>
      <c r="F41" s="80">
        <f>IF(C41=0,0,+E41/C41)</f>
        <v>1.7647549991449716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617584</v>
      </c>
      <c r="D43" s="76">
        <f t="shared" si="0"/>
        <v>1865584</v>
      </c>
      <c r="E43" s="76">
        <f>+D43-C43</f>
        <v>1248000</v>
      </c>
      <c r="F43" s="77">
        <f>IF(C43=0,0,+E43/C43)</f>
        <v>2.0207777403559679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950565</v>
      </c>
      <c r="D44" s="185">
        <f t="shared" si="0"/>
        <v>2230329</v>
      </c>
      <c r="E44" s="185">
        <f>+D44-C44</f>
        <v>1279764</v>
      </c>
      <c r="F44" s="77">
        <f>IF(C44=0,0,+E44/C44)</f>
        <v>1.346319294314434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776802</v>
      </c>
      <c r="D45" s="185">
        <f t="shared" si="0"/>
        <v>2387302</v>
      </c>
      <c r="E45" s="185">
        <f>+D45-C45</f>
        <v>1610500</v>
      </c>
      <c r="F45" s="77">
        <f>IF(C45=0,0,+E45/C45)</f>
        <v>2.0732438896913243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2344951</v>
      </c>
      <c r="D46" s="79">
        <f>+D43+D44+D45</f>
        <v>6483215</v>
      </c>
      <c r="E46" s="79">
        <f>+E43+E44+E45</f>
        <v>4138264</v>
      </c>
      <c r="F46" s="80">
        <f>IF(C46=0,0,+E46/C46)</f>
        <v>1.7647549991449716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911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FILING&amp;RJOHN DEMPSEY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912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913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225517085</v>
      </c>
      <c r="D15" s="76">
        <v>241091573</v>
      </c>
      <c r="E15" s="76">
        <f>+D15-C15</f>
        <v>15574488</v>
      </c>
      <c r="F15" s="77">
        <f>IF(C15=0,0,E15/C15)</f>
        <v>6.906123320989184E-2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100547668</v>
      </c>
      <c r="D17" s="76">
        <v>115746176</v>
      </c>
      <c r="E17" s="76">
        <f>+D17-C17</f>
        <v>15198508</v>
      </c>
      <c r="F17" s="77">
        <f>IF(C17=0,0,E17/C17)</f>
        <v>0.15115724016592808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124969417</v>
      </c>
      <c r="D19" s="79">
        <f>+D15-D17</f>
        <v>125345397</v>
      </c>
      <c r="E19" s="79">
        <f>+D19-C19</f>
        <v>375980</v>
      </c>
      <c r="F19" s="80">
        <f>IF(C19=0,0,E19/C19)</f>
        <v>3.0085760902605475E-3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0.44585388286656863</v>
      </c>
      <c r="D21" s="720">
        <f>IF(D15=0,0,D17/D15)</f>
        <v>0.48009216813231376</v>
      </c>
      <c r="E21" s="720">
        <f>+D21-C21</f>
        <v>3.4238285265745128E-2</v>
      </c>
      <c r="F21" s="80">
        <f>IF(C21=0,0,E21/C21)</f>
        <v>7.6792614310351698E-2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FILING&amp;R&amp;12JOHN DEMPSEY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232681945</v>
      </c>
      <c r="D10" s="744">
        <v>257095549</v>
      </c>
      <c r="E10" s="744">
        <v>275367921</v>
      </c>
    </row>
    <row r="11" spans="1:6" ht="26.1" customHeight="1" x14ac:dyDescent="0.25">
      <c r="A11" s="742">
        <v>2</v>
      </c>
      <c r="B11" s="743" t="s">
        <v>932</v>
      </c>
      <c r="C11" s="744">
        <v>302459446</v>
      </c>
      <c r="D11" s="744">
        <v>343726098</v>
      </c>
      <c r="E11" s="744">
        <v>391982760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535141391</v>
      </c>
      <c r="D12" s="744">
        <f>+D11+D10</f>
        <v>600821647</v>
      </c>
      <c r="E12" s="744">
        <f>+E11+E10</f>
        <v>667350681</v>
      </c>
    </row>
    <row r="13" spans="1:6" ht="26.1" customHeight="1" x14ac:dyDescent="0.25">
      <c r="A13" s="742">
        <v>4</v>
      </c>
      <c r="B13" s="743" t="s">
        <v>507</v>
      </c>
      <c r="C13" s="744">
        <v>278985670</v>
      </c>
      <c r="D13" s="744">
        <v>281412882</v>
      </c>
      <c r="E13" s="744">
        <v>286757590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303434488</v>
      </c>
      <c r="D16" s="744">
        <v>309096761</v>
      </c>
      <c r="E16" s="744">
        <v>326572641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40295</v>
      </c>
      <c r="D19" s="747">
        <v>40704</v>
      </c>
      <c r="E19" s="747">
        <v>38723</v>
      </c>
    </row>
    <row r="20" spans="1:5" ht="26.1" customHeight="1" x14ac:dyDescent="0.25">
      <c r="A20" s="742">
        <v>2</v>
      </c>
      <c r="B20" s="743" t="s">
        <v>381</v>
      </c>
      <c r="C20" s="748">
        <v>8374</v>
      </c>
      <c r="D20" s="748">
        <v>8578</v>
      </c>
      <c r="E20" s="748">
        <v>8669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4.8119178409362311</v>
      </c>
      <c r="D21" s="749">
        <f>IF(D20=0,0,+D19/D20)</f>
        <v>4.7451620424341341</v>
      </c>
      <c r="E21" s="749">
        <f>IF(E20=0,0,+E19/E20)</f>
        <v>4.4668358518860307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92673.809952658761</v>
      </c>
      <c r="D22" s="748">
        <f>IF(D10=0,0,D19*(D12/D10))</f>
        <v>95123.561705410932</v>
      </c>
      <c r="E22" s="748">
        <f>IF(E10=0,0,E19*(E12/E10))</f>
        <v>93844.701759443502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19259.225326803931</v>
      </c>
      <c r="D23" s="748">
        <f>IF(D10=0,0,D20*(D12/D10))</f>
        <v>20046.430628660939</v>
      </c>
      <c r="E23" s="748">
        <f>IF(E10=0,0,E20*(E12/E10))</f>
        <v>21009.212084616782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1.4200279078098879</v>
      </c>
      <c r="D26" s="750">
        <v>1.4601388202378176</v>
      </c>
      <c r="E26" s="750">
        <v>1.4642609412850387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57220.024545199434</v>
      </c>
      <c r="D27" s="748">
        <f>D19*D26</f>
        <v>59433.490538960126</v>
      </c>
      <c r="E27" s="748">
        <f>E19*E26</f>
        <v>56700.576429380555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11891.313700000001</v>
      </c>
      <c r="D28" s="748">
        <f>D20*D26</f>
        <v>12525.0708</v>
      </c>
      <c r="E28" s="748">
        <f>E20*E26</f>
        <v>12693.678100000001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131599.39645584518</v>
      </c>
      <c r="D29" s="748">
        <f>D22*D26</f>
        <v>138893.60516535796</v>
      </c>
      <c r="E29" s="748">
        <f>E22*E26</f>
        <v>137413.13133289648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27348.63744686059</v>
      </c>
      <c r="D30" s="748">
        <f>D23*D26</f>
        <v>29270.571568112235</v>
      </c>
      <c r="E30" s="748">
        <f>E23*E26</f>
        <v>30762.96866267798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13280.590420647723</v>
      </c>
      <c r="D33" s="744">
        <f>IF(D19=0,0,D12/D19)</f>
        <v>14760.751940841195</v>
      </c>
      <c r="E33" s="744">
        <f>IF(E19=0,0,E12/E19)</f>
        <v>17233.961237507425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63905.109983281589</v>
      </c>
      <c r="D34" s="744">
        <f>IF(D20=0,0,D12/D20)</f>
        <v>70042.159827465613</v>
      </c>
      <c r="E34" s="744">
        <f>IF(E20=0,0,E12/E20)</f>
        <v>76981.275925712311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5774.4619679861025</v>
      </c>
      <c r="D35" s="744">
        <f>IF(D22=0,0,D12/D22)</f>
        <v>6316.2231967374219</v>
      </c>
      <c r="E35" s="744">
        <f>IF(E22=0,0,E12/E22)</f>
        <v>7111.2238462929008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27786.23656556007</v>
      </c>
      <c r="D36" s="744">
        <f>IF(D23=0,0,D12/D23)</f>
        <v>29971.5025647004</v>
      </c>
      <c r="E36" s="744">
        <f>IF(E23=0,0,E12/E23)</f>
        <v>31764.66962740801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4066.442593295274</v>
      </c>
      <c r="D37" s="744">
        <f>IF(D29=0,0,D12/D29)</f>
        <v>4325.7689674387793</v>
      </c>
      <c r="E37" s="744">
        <f>IF(E29=0,0,E12/E29)</f>
        <v>4856.5277170147519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19567.387663820526</v>
      </c>
      <c r="D38" s="744">
        <f>IF(D30=0,0,D12/D30)</f>
        <v>20526.474708629994</v>
      </c>
      <c r="E38" s="744">
        <f>IF(E30=0,0,E12/E30)</f>
        <v>21693.312122039712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2510.7626968057384</v>
      </c>
      <c r="D39" s="744">
        <f>IF(D22=0,0,D10/D22)</f>
        <v>2702.7536016386944</v>
      </c>
      <c r="E39" s="744">
        <f>IF(E22=0,0,E10/E22)</f>
        <v>2934.2937410133545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12081.583815116699</v>
      </c>
      <c r="D40" s="744">
        <f>IF(D23=0,0,D10/D23)</f>
        <v>12825.003800548082</v>
      </c>
      <c r="E40" s="744">
        <f>IF(E23=0,0,E10/E23)</f>
        <v>13107.008482323236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6923.5803449559498</v>
      </c>
      <c r="D43" s="744">
        <f>IF(D19=0,0,D13/D19)</f>
        <v>6913.6419516509432</v>
      </c>
      <c r="E43" s="744">
        <f>IF(E19=0,0,E13/E19)</f>
        <v>7405.3557317356608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33315.699785048964</v>
      </c>
      <c r="D44" s="744">
        <f>IF(D20=0,0,D13/D20)</f>
        <v>32806.351363954302</v>
      </c>
      <c r="E44" s="744">
        <f>IF(E20=0,0,E13/E20)</f>
        <v>33078.508478486561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3010.4046671062329</v>
      </c>
      <c r="D45" s="744">
        <f>IF(D22=0,0,D13/D22)</f>
        <v>2958.3930306511256</v>
      </c>
      <c r="E45" s="744">
        <f>IF(E22=0,0,E13/E22)</f>
        <v>3055.6609443446164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14485.81992608618</v>
      </c>
      <c r="D46" s="744">
        <f>IF(D23=0,0,D13/D23)</f>
        <v>14038.054315647405</v>
      </c>
      <c r="E46" s="744">
        <f>IF(E23=0,0,E13/E23)</f>
        <v>13649.135857406458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2119.9616222678233</v>
      </c>
      <c r="D47" s="744">
        <f>IF(D29=0,0,D13/D29)</f>
        <v>2026.1039496020539</v>
      </c>
      <c r="E47" s="744">
        <f>IF(E29=0,0,E13/E29)</f>
        <v>2086.8281453051404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10201.081152290655</v>
      </c>
      <c r="D48" s="744">
        <f>IF(D30=0,0,D13/D30)</f>
        <v>9614.1915556775493</v>
      </c>
      <c r="E48" s="744">
        <f>IF(E30=0,0,E13/E30)</f>
        <v>9321.5187761738325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7530.3260454150641</v>
      </c>
      <c r="D51" s="744">
        <f>IF(D19=0,0,D16/D19)</f>
        <v>7593.7686959512575</v>
      </c>
      <c r="E51" s="744">
        <f>IF(E19=0,0,E16/E19)</f>
        <v>8433.5573431810553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36235.310245999521</v>
      </c>
      <c r="D52" s="744">
        <f>IF(D20=0,0,D16/D20)</f>
        <v>36033.662975052459</v>
      </c>
      <c r="E52" s="744">
        <f>IF(E20=0,0,E16/E20)</f>
        <v>37671.316299457838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3274.2204961143352</v>
      </c>
      <c r="D53" s="744">
        <f>IF(D22=0,0,D16/D22)</f>
        <v>3249.4237543085774</v>
      </c>
      <c r="E53" s="744">
        <f>IF(E22=0,0,E16/E22)</f>
        <v>3479.926249188994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15755.28002041165</v>
      </c>
      <c r="D54" s="744">
        <f>IF(D23=0,0,D16/D23)</f>
        <v>15419.042258728881</v>
      </c>
      <c r="E54" s="744">
        <f>IF(E23=0,0,E16/E23)</f>
        <v>15544.25933179668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2305.7437660955361</v>
      </c>
      <c r="D55" s="744">
        <f>IF(D29=0,0,D16/D29)</f>
        <v>2225.4211101512478</v>
      </c>
      <c r="E55" s="744">
        <f>IF(E29=0,0,E16/E29)</f>
        <v>2376.5752066943769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11095.049564702607</v>
      </c>
      <c r="D56" s="744">
        <f>IF(D30=0,0,D16/D30)</f>
        <v>10559.983780321334</v>
      </c>
      <c r="E56" s="744">
        <f>IF(E30=0,0,E16/E30)</f>
        <v>10615.771337965898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35440601</v>
      </c>
      <c r="D59" s="752">
        <v>35730736</v>
      </c>
      <c r="E59" s="752">
        <v>36895430</v>
      </c>
    </row>
    <row r="60" spans="1:6" ht="26.1" customHeight="1" x14ac:dyDescent="0.25">
      <c r="A60" s="742">
        <v>2</v>
      </c>
      <c r="B60" s="743" t="s">
        <v>968</v>
      </c>
      <c r="C60" s="752">
        <v>14550177</v>
      </c>
      <c r="D60" s="752">
        <v>16166065</v>
      </c>
      <c r="E60" s="752">
        <v>19514370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49990778</v>
      </c>
      <c r="D61" s="755">
        <f>D59+D60</f>
        <v>51896801</v>
      </c>
      <c r="E61" s="755">
        <f>E59+E60</f>
        <v>56409800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2152218</v>
      </c>
      <c r="D64" s="744">
        <v>2771716</v>
      </c>
      <c r="E64" s="752">
        <v>2571218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523653</v>
      </c>
      <c r="D65" s="752">
        <v>613879</v>
      </c>
      <c r="E65" s="752">
        <v>618052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2675871</v>
      </c>
      <c r="D66" s="757">
        <f>D64+D65</f>
        <v>3385595</v>
      </c>
      <c r="E66" s="757">
        <f>E64+E65</f>
        <v>3189270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68454474</v>
      </c>
      <c r="D69" s="752">
        <v>71634404</v>
      </c>
      <c r="E69" s="752">
        <v>65156560</v>
      </c>
    </row>
    <row r="70" spans="1:6" ht="26.1" customHeight="1" x14ac:dyDescent="0.25">
      <c r="A70" s="742">
        <v>2</v>
      </c>
      <c r="B70" s="743" t="s">
        <v>976</v>
      </c>
      <c r="C70" s="752">
        <v>30957333</v>
      </c>
      <c r="D70" s="752">
        <v>33994236</v>
      </c>
      <c r="E70" s="752">
        <v>35596592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99411807</v>
      </c>
      <c r="D71" s="755">
        <f>D69+D70</f>
        <v>105628640</v>
      </c>
      <c r="E71" s="755">
        <f>E69+E70</f>
        <v>100753152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106047293</v>
      </c>
      <c r="D75" s="744">
        <f t="shared" si="0"/>
        <v>110136856</v>
      </c>
      <c r="E75" s="744">
        <f t="shared" si="0"/>
        <v>104623208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46031163</v>
      </c>
      <c r="D76" s="744">
        <f t="shared" si="0"/>
        <v>50774180</v>
      </c>
      <c r="E76" s="744">
        <f t="shared" si="0"/>
        <v>55729014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152078456</v>
      </c>
      <c r="D77" s="757">
        <f>D75+D76</f>
        <v>160911036</v>
      </c>
      <c r="E77" s="757">
        <f>E75+E76</f>
        <v>160352222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632.29999999999995</v>
      </c>
      <c r="D80" s="749">
        <v>640</v>
      </c>
      <c r="E80" s="749">
        <v>603.79999999999995</v>
      </c>
    </row>
    <row r="81" spans="1:5" ht="26.1" customHeight="1" x14ac:dyDescent="0.25">
      <c r="A81" s="742">
        <v>2</v>
      </c>
      <c r="B81" s="743" t="s">
        <v>617</v>
      </c>
      <c r="C81" s="749">
        <v>41.2</v>
      </c>
      <c r="D81" s="749">
        <v>42.7</v>
      </c>
      <c r="E81" s="749">
        <v>36.1</v>
      </c>
    </row>
    <row r="82" spans="1:5" ht="26.1" customHeight="1" x14ac:dyDescent="0.25">
      <c r="A82" s="742">
        <v>3</v>
      </c>
      <c r="B82" s="743" t="s">
        <v>982</v>
      </c>
      <c r="C82" s="749">
        <v>871.4</v>
      </c>
      <c r="D82" s="749">
        <v>910</v>
      </c>
      <c r="E82" s="749">
        <v>663.9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1544.9</v>
      </c>
      <c r="D83" s="759">
        <f>D80+D81+D82</f>
        <v>1592.7</v>
      </c>
      <c r="E83" s="759">
        <f>E80+E81+E82</f>
        <v>1303.8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56050.294164162588</v>
      </c>
      <c r="D86" s="752">
        <f>IF(D80=0,0,D59/D80)</f>
        <v>55829.275000000001</v>
      </c>
      <c r="E86" s="752">
        <f>IF(E80=0,0,E59/E80)</f>
        <v>61105.382577012264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23011.508777479048</v>
      </c>
      <c r="D87" s="752">
        <f>IF(D80=0,0,D60/D80)</f>
        <v>25259.4765625</v>
      </c>
      <c r="E87" s="752">
        <f>IF(E80=0,0,E60/E80)</f>
        <v>32319.261344816168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79061.802941641639</v>
      </c>
      <c r="D88" s="755">
        <f>+D86+D87</f>
        <v>81088.751562499994</v>
      </c>
      <c r="E88" s="755">
        <f>+E86+E87</f>
        <v>93424.643921828436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52238.300970873781</v>
      </c>
      <c r="D91" s="744">
        <f>IF(D81=0,0,D64/D81)</f>
        <v>64911.381733021073</v>
      </c>
      <c r="E91" s="744">
        <f>IF(E81=0,0,E64/E81)</f>
        <v>71224.875346260378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12710.024271844659</v>
      </c>
      <c r="D92" s="744">
        <f>IF(D81=0,0,D65/D81)</f>
        <v>14376.557377049179</v>
      </c>
      <c r="E92" s="744">
        <f>IF(E81=0,0,E65/E81)</f>
        <v>17120.554016620499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64948.325242718442</v>
      </c>
      <c r="D93" s="757">
        <f>+D91+D92</f>
        <v>79287.939110070249</v>
      </c>
      <c r="E93" s="757">
        <f>+E91+E92</f>
        <v>88345.429362880881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78556.890061969243</v>
      </c>
      <c r="D96" s="752">
        <f>IF(D82=0,0,D69/D82)</f>
        <v>78719.125274725273</v>
      </c>
      <c r="E96" s="752">
        <f>IF(E82=0,0,E69/E82)</f>
        <v>98142.129838831155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35525.973146660544</v>
      </c>
      <c r="D97" s="752">
        <f>IF(D82=0,0,D70/D82)</f>
        <v>37356.3032967033</v>
      </c>
      <c r="E97" s="752">
        <f>IF(E82=0,0,E70/E82)</f>
        <v>53617.40021087513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114082.86320862979</v>
      </c>
      <c r="D98" s="757">
        <f>+D96+D97</f>
        <v>116075.42857142858</v>
      </c>
      <c r="E98" s="757">
        <f>+E96+E97</f>
        <v>151759.53004970629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68643.467538351993</v>
      </c>
      <c r="D101" s="744">
        <f>IF(D83=0,0,D75/D83)</f>
        <v>69151.036604508059</v>
      </c>
      <c r="E101" s="744">
        <f>IF(E83=0,0,E75/E83)</f>
        <v>80244.828961497158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29795.561525017798</v>
      </c>
      <c r="D102" s="761">
        <f>IF(D83=0,0,D76/D83)</f>
        <v>31879.311860362905</v>
      </c>
      <c r="E102" s="761">
        <f>IF(E83=0,0,E76/E83)</f>
        <v>42743.529682466637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98439.029063369788</v>
      </c>
      <c r="D103" s="757">
        <f>+D101+D102</f>
        <v>101030.34846487097</v>
      </c>
      <c r="E103" s="757">
        <f>+E101+E102</f>
        <v>122988.35864396379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3774.12721181288</v>
      </c>
      <c r="D108" s="744">
        <f>IF(D19=0,0,D77/D19)</f>
        <v>3953.199587264151</v>
      </c>
      <c r="E108" s="744">
        <f>IF(E19=0,0,E77/E19)</f>
        <v>4141.0072050202725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18160.790064485311</v>
      </c>
      <c r="D109" s="744">
        <f>IF(D20=0,0,D77/D20)</f>
        <v>18758.572627652135</v>
      </c>
      <c r="E109" s="744">
        <f>IF(E20=0,0,E77/E20)</f>
        <v>18497.199446302919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1641.0079188250418</v>
      </c>
      <c r="D110" s="744">
        <f>IF(D22=0,0,D77/D22)</f>
        <v>1691.600199941282</v>
      </c>
      <c r="E110" s="744">
        <f>IF(E22=0,0,E77/E22)</f>
        <v>1708.6976568057974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7896.3952817118543</v>
      </c>
      <c r="D111" s="744">
        <f>IF(D23=0,0,D77/D23)</f>
        <v>8026.9170597353632</v>
      </c>
      <c r="E111" s="744">
        <f>IF(E23=0,0,E77/E23)</f>
        <v>7632.471953453789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1155.6166676723783</v>
      </c>
      <c r="D112" s="744">
        <f>IF(D29=0,0,D77/D29)</f>
        <v>1158.5201191115277</v>
      </c>
      <c r="E112" s="744">
        <f>IF(E29=0,0,E77/E29)</f>
        <v>1166.9352153218267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5560.7324604559935</v>
      </c>
      <c r="D113" s="744">
        <f>IF(D30=0,0,D77/D30)</f>
        <v>5497.3656946042938</v>
      </c>
      <c r="E113" s="744">
        <f>IF(E30=0,0,E77/E30)</f>
        <v>5212.5080566278812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FILING&amp;R&amp;"Arial,Bold"&amp;12JOHN DEMPSEY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581954466</v>
      </c>
      <c r="D12" s="76">
        <v>649596982</v>
      </c>
      <c r="E12" s="76">
        <f t="shared" ref="E12:E21" si="0">D12-C12</f>
        <v>67642516</v>
      </c>
      <c r="F12" s="77">
        <f t="shared" ref="F12:F21" si="1">IF(C12=0,0,E12/C12)</f>
        <v>0.11623334805716569</v>
      </c>
    </row>
    <row r="13" spans="1:8" ht="23.1" customHeight="1" x14ac:dyDescent="0.2">
      <c r="A13" s="74">
        <v>2</v>
      </c>
      <c r="B13" s="75" t="s">
        <v>72</v>
      </c>
      <c r="C13" s="76">
        <v>296389400</v>
      </c>
      <c r="D13" s="76">
        <v>356832314</v>
      </c>
      <c r="E13" s="76">
        <f t="shared" si="0"/>
        <v>60442914</v>
      </c>
      <c r="F13" s="77">
        <f t="shared" si="1"/>
        <v>0.20393075460863311</v>
      </c>
    </row>
    <row r="14" spans="1:8" ht="23.1" customHeight="1" x14ac:dyDescent="0.2">
      <c r="A14" s="74">
        <v>3</v>
      </c>
      <c r="B14" s="75" t="s">
        <v>73</v>
      </c>
      <c r="C14" s="76">
        <v>801071</v>
      </c>
      <c r="D14" s="76">
        <v>629512</v>
      </c>
      <c r="E14" s="76">
        <f t="shared" si="0"/>
        <v>-171559</v>
      </c>
      <c r="F14" s="77">
        <f t="shared" si="1"/>
        <v>-0.21416204056818933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284763995</v>
      </c>
      <c r="D16" s="79">
        <f>D12-D13-D14-D15</f>
        <v>292135156</v>
      </c>
      <c r="E16" s="79">
        <f t="shared" si="0"/>
        <v>7371161</v>
      </c>
      <c r="F16" s="80">
        <f t="shared" si="1"/>
        <v>2.5885157988459882E-2</v>
      </c>
    </row>
    <row r="17" spans="1:7" ht="23.1" customHeight="1" x14ac:dyDescent="0.2">
      <c r="A17" s="74">
        <v>5</v>
      </c>
      <c r="B17" s="75" t="s">
        <v>76</v>
      </c>
      <c r="C17" s="76">
        <v>3351113</v>
      </c>
      <c r="D17" s="76">
        <v>5377566</v>
      </c>
      <c r="E17" s="76">
        <f t="shared" si="0"/>
        <v>2026453</v>
      </c>
      <c r="F17" s="77">
        <f t="shared" si="1"/>
        <v>0.60471043501069643</v>
      </c>
      <c r="G17" s="65"/>
    </row>
    <row r="18" spans="1:7" ht="31.5" customHeight="1" x14ac:dyDescent="0.25">
      <c r="A18" s="71"/>
      <c r="B18" s="81" t="s">
        <v>77</v>
      </c>
      <c r="C18" s="79">
        <f>C16-C17</f>
        <v>281412882</v>
      </c>
      <c r="D18" s="79">
        <f>D16-D17</f>
        <v>286757590</v>
      </c>
      <c r="E18" s="79">
        <f t="shared" si="0"/>
        <v>5344708</v>
      </c>
      <c r="F18" s="80">
        <f t="shared" si="1"/>
        <v>1.8992407035581263E-2</v>
      </c>
    </row>
    <row r="19" spans="1:7" ht="23.1" customHeight="1" x14ac:dyDescent="0.2">
      <c r="A19" s="74">
        <v>6</v>
      </c>
      <c r="B19" s="75" t="s">
        <v>78</v>
      </c>
      <c r="C19" s="76">
        <v>23634474</v>
      </c>
      <c r="D19" s="76">
        <v>21955590</v>
      </c>
      <c r="E19" s="76">
        <f t="shared" si="0"/>
        <v>-1678884</v>
      </c>
      <c r="F19" s="77">
        <f t="shared" si="1"/>
        <v>-7.1035386698261191E-2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305047356</v>
      </c>
      <c r="D21" s="79">
        <f>SUM(D18:D20)</f>
        <v>308713180</v>
      </c>
      <c r="E21" s="79">
        <f t="shared" si="0"/>
        <v>3665824</v>
      </c>
      <c r="F21" s="80">
        <f t="shared" si="1"/>
        <v>1.2017229219977242E-2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110136856</v>
      </c>
      <c r="D24" s="76">
        <v>104623208</v>
      </c>
      <c r="E24" s="76">
        <f t="shared" ref="E24:E33" si="2">D24-C24</f>
        <v>-5513648</v>
      </c>
      <c r="F24" s="77">
        <f t="shared" ref="F24:F33" si="3">IF(C24=0,0,E24/C24)</f>
        <v>-5.0061788580563801E-2</v>
      </c>
    </row>
    <row r="25" spans="1:7" ht="23.1" customHeight="1" x14ac:dyDescent="0.2">
      <c r="A25" s="74">
        <v>2</v>
      </c>
      <c r="B25" s="75" t="s">
        <v>83</v>
      </c>
      <c r="C25" s="76">
        <v>50774180</v>
      </c>
      <c r="D25" s="76">
        <v>55729014</v>
      </c>
      <c r="E25" s="76">
        <f t="shared" si="2"/>
        <v>4954834</v>
      </c>
      <c r="F25" s="77">
        <f t="shared" si="3"/>
        <v>9.7585702024139034E-2</v>
      </c>
    </row>
    <row r="26" spans="1:7" ht="23.1" customHeight="1" x14ac:dyDescent="0.2">
      <c r="A26" s="74">
        <v>3</v>
      </c>
      <c r="B26" s="75" t="s">
        <v>84</v>
      </c>
      <c r="C26" s="76">
        <v>14241190</v>
      </c>
      <c r="D26" s="76">
        <v>20183070</v>
      </c>
      <c r="E26" s="76">
        <f t="shared" si="2"/>
        <v>5941880</v>
      </c>
      <c r="F26" s="77">
        <f t="shared" si="3"/>
        <v>0.41723198693367619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51007924</v>
      </c>
      <c r="D27" s="76">
        <v>54445527</v>
      </c>
      <c r="E27" s="76">
        <f t="shared" si="2"/>
        <v>3437603</v>
      </c>
      <c r="F27" s="77">
        <f t="shared" si="3"/>
        <v>6.7393509290830975E-2</v>
      </c>
    </row>
    <row r="28" spans="1:7" ht="23.1" customHeight="1" x14ac:dyDescent="0.2">
      <c r="A28" s="74">
        <v>5</v>
      </c>
      <c r="B28" s="75" t="s">
        <v>86</v>
      </c>
      <c r="C28" s="76">
        <v>9500967</v>
      </c>
      <c r="D28" s="76">
        <v>8906755</v>
      </c>
      <c r="E28" s="76">
        <f t="shared" si="2"/>
        <v>-594212</v>
      </c>
      <c r="F28" s="77">
        <f t="shared" si="3"/>
        <v>-6.2542265434665761E-2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0</v>
      </c>
      <c r="D30" s="76">
        <v>0</v>
      </c>
      <c r="E30" s="76">
        <f t="shared" si="2"/>
        <v>0</v>
      </c>
      <c r="F30" s="77">
        <f t="shared" si="3"/>
        <v>0</v>
      </c>
    </row>
    <row r="31" spans="1:7" ht="23.1" customHeight="1" x14ac:dyDescent="0.2">
      <c r="A31" s="74">
        <v>8</v>
      </c>
      <c r="B31" s="75" t="s">
        <v>89</v>
      </c>
      <c r="C31" s="76">
        <v>3672492</v>
      </c>
      <c r="D31" s="76">
        <v>3128114</v>
      </c>
      <c r="E31" s="76">
        <f t="shared" si="2"/>
        <v>-544378</v>
      </c>
      <c r="F31" s="77">
        <f t="shared" si="3"/>
        <v>-0.14823122827769264</v>
      </c>
    </row>
    <row r="32" spans="1:7" ht="23.1" customHeight="1" x14ac:dyDescent="0.2">
      <c r="A32" s="74">
        <v>9</v>
      </c>
      <c r="B32" s="75" t="s">
        <v>90</v>
      </c>
      <c r="C32" s="76">
        <v>69763152</v>
      </c>
      <c r="D32" s="76">
        <v>79556953</v>
      </c>
      <c r="E32" s="76">
        <f t="shared" si="2"/>
        <v>9793801</v>
      </c>
      <c r="F32" s="77">
        <f t="shared" si="3"/>
        <v>0.1403864464151505</v>
      </c>
    </row>
    <row r="33" spans="1:6" ht="23.1" customHeight="1" x14ac:dyDescent="0.25">
      <c r="A33" s="71"/>
      <c r="B33" s="78" t="s">
        <v>91</v>
      </c>
      <c r="C33" s="79">
        <f>SUM(C24:C32)</f>
        <v>309096761</v>
      </c>
      <c r="D33" s="79">
        <f>SUM(D24:D32)</f>
        <v>326572641</v>
      </c>
      <c r="E33" s="79">
        <f t="shared" si="2"/>
        <v>17475880</v>
      </c>
      <c r="F33" s="80">
        <f t="shared" si="3"/>
        <v>5.6538541340457465E-2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-4049405</v>
      </c>
      <c r="D35" s="79">
        <f>+D21-D33</f>
        <v>-17859461</v>
      </c>
      <c r="E35" s="79">
        <f>D35-C35</f>
        <v>-13810056</v>
      </c>
      <c r="F35" s="80">
        <f>IF(C35=0,0,E35/C35)</f>
        <v>3.4103914031814551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2</v>
      </c>
      <c r="B39" s="75" t="s">
        <v>95</v>
      </c>
      <c r="C39" s="76">
        <v>550000</v>
      </c>
      <c r="D39" s="76">
        <v>550000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-45449</v>
      </c>
      <c r="D40" s="76">
        <v>-136094</v>
      </c>
      <c r="E40" s="76">
        <f>D40-C40</f>
        <v>-90645</v>
      </c>
      <c r="F40" s="77">
        <f>IF(C40=0,0,E40/C40)</f>
        <v>1.9944333208651455</v>
      </c>
    </row>
    <row r="41" spans="1:6" ht="23.1" customHeight="1" x14ac:dyDescent="0.25">
      <c r="A41" s="83"/>
      <c r="B41" s="78" t="s">
        <v>97</v>
      </c>
      <c r="C41" s="79">
        <f>SUM(C38:C40)</f>
        <v>504551</v>
      </c>
      <c r="D41" s="79">
        <f>SUM(D38:D40)</f>
        <v>413906</v>
      </c>
      <c r="E41" s="79">
        <f>D41-C41</f>
        <v>-90645</v>
      </c>
      <c r="F41" s="80">
        <f>IF(C41=0,0,E41/C41)</f>
        <v>-0.1796547821726644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-3544854</v>
      </c>
      <c r="D43" s="79">
        <f>D35+D41</f>
        <v>-17445555</v>
      </c>
      <c r="E43" s="79">
        <f>D43-C43</f>
        <v>-13900701</v>
      </c>
      <c r="F43" s="80">
        <f>IF(C43=0,0,E43/C43)</f>
        <v>3.9213747590168735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15178047</v>
      </c>
      <c r="D47" s="76">
        <v>9125986</v>
      </c>
      <c r="E47" s="76">
        <f>D47-C47</f>
        <v>-6052061</v>
      </c>
      <c r="F47" s="77">
        <f>IF(C47=0,0,E47/C47)</f>
        <v>-0.3987377954489138</v>
      </c>
    </row>
    <row r="48" spans="1:6" ht="23.1" customHeight="1" x14ac:dyDescent="0.25">
      <c r="A48" s="83"/>
      <c r="B48" s="78" t="s">
        <v>102</v>
      </c>
      <c r="C48" s="79">
        <f>SUM(C46:C47)</f>
        <v>15178047</v>
      </c>
      <c r="D48" s="79">
        <f>SUM(D46:D47)</f>
        <v>9125986</v>
      </c>
      <c r="E48" s="79">
        <f>D48-C48</f>
        <v>-6052061</v>
      </c>
      <c r="F48" s="80">
        <f>IF(C48=0,0,E48/C48)</f>
        <v>-0.3987377954489138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11633193</v>
      </c>
      <c r="D50" s="79">
        <f>D43+D48</f>
        <v>-8319569</v>
      </c>
      <c r="E50" s="79">
        <f>D50-C50</f>
        <v>-19952762</v>
      </c>
      <c r="F50" s="80">
        <f>IF(C50=0,0,E50/C50)</f>
        <v>-1.7151578246832146</v>
      </c>
    </row>
    <row r="51" spans="1:6" ht="23.1" customHeight="1" x14ac:dyDescent="0.2">
      <c r="A51" s="85"/>
      <c r="B51" s="75" t="s">
        <v>104</v>
      </c>
      <c r="C51" s="76">
        <v>887080</v>
      </c>
      <c r="D51" s="76">
        <v>1</v>
      </c>
      <c r="E51" s="76">
        <f>D51-C51</f>
        <v>-887079</v>
      </c>
      <c r="F51" s="77">
        <f>IF(C51=0,0,E51/C51)</f>
        <v>-0.99999887270595667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FILING&amp;RJOHN DEMPSEY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102164597</v>
      </c>
      <c r="D14" s="113">
        <v>110796900</v>
      </c>
      <c r="E14" s="113">
        <f t="shared" ref="E14:E25" si="0">D14-C14</f>
        <v>8632303</v>
      </c>
      <c r="F14" s="114">
        <f t="shared" ref="F14:F25" si="1">IF(C14=0,0,E14/C14)</f>
        <v>8.4494073813064619E-2</v>
      </c>
    </row>
    <row r="15" spans="1:6" x14ac:dyDescent="0.2">
      <c r="A15" s="115">
        <v>2</v>
      </c>
      <c r="B15" s="116" t="s">
        <v>114</v>
      </c>
      <c r="C15" s="113">
        <v>24471116</v>
      </c>
      <c r="D15" s="113">
        <v>32892569</v>
      </c>
      <c r="E15" s="113">
        <f t="shared" si="0"/>
        <v>8421453</v>
      </c>
      <c r="F15" s="114">
        <f t="shared" si="1"/>
        <v>0.3441384937246017</v>
      </c>
    </row>
    <row r="16" spans="1:6" x14ac:dyDescent="0.2">
      <c r="A16" s="115">
        <v>3</v>
      </c>
      <c r="B16" s="116" t="s">
        <v>115</v>
      </c>
      <c r="C16" s="113">
        <v>63921560</v>
      </c>
      <c r="D16" s="113">
        <v>65206770</v>
      </c>
      <c r="E16" s="113">
        <f t="shared" si="0"/>
        <v>1285210</v>
      </c>
      <c r="F16" s="114">
        <f t="shared" si="1"/>
        <v>2.0106048725969768E-2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705873</v>
      </c>
      <c r="D18" s="113">
        <v>903866</v>
      </c>
      <c r="E18" s="113">
        <f t="shared" si="0"/>
        <v>197993</v>
      </c>
      <c r="F18" s="114">
        <f t="shared" si="1"/>
        <v>0.28049379987618167</v>
      </c>
    </row>
    <row r="19" spans="1:6" x14ac:dyDescent="0.2">
      <c r="A19" s="115">
        <v>6</v>
      </c>
      <c r="B19" s="116" t="s">
        <v>118</v>
      </c>
      <c r="C19" s="113">
        <v>334925</v>
      </c>
      <c r="D19" s="113">
        <v>564115</v>
      </c>
      <c r="E19" s="113">
        <f t="shared" si="0"/>
        <v>229190</v>
      </c>
      <c r="F19" s="114">
        <f t="shared" si="1"/>
        <v>0.68430245577368065</v>
      </c>
    </row>
    <row r="20" spans="1:6" x14ac:dyDescent="0.2">
      <c r="A20" s="115">
        <v>7</v>
      </c>
      <c r="B20" s="116" t="s">
        <v>119</v>
      </c>
      <c r="C20" s="113">
        <v>63499007</v>
      </c>
      <c r="D20" s="113">
        <v>61871206</v>
      </c>
      <c r="E20" s="113">
        <f t="shared" si="0"/>
        <v>-1627801</v>
      </c>
      <c r="F20" s="114">
        <f t="shared" si="1"/>
        <v>-2.5635062293178853E-2</v>
      </c>
    </row>
    <row r="21" spans="1:6" x14ac:dyDescent="0.2">
      <c r="A21" s="115">
        <v>8</v>
      </c>
      <c r="B21" s="116" t="s">
        <v>120</v>
      </c>
      <c r="C21" s="113">
        <v>1170419</v>
      </c>
      <c r="D21" s="113">
        <v>2083108</v>
      </c>
      <c r="E21" s="113">
        <f t="shared" si="0"/>
        <v>912689</v>
      </c>
      <c r="F21" s="114">
        <f t="shared" si="1"/>
        <v>0.77979680780985272</v>
      </c>
    </row>
    <row r="22" spans="1:6" x14ac:dyDescent="0.2">
      <c r="A22" s="115">
        <v>9</v>
      </c>
      <c r="B22" s="116" t="s">
        <v>121</v>
      </c>
      <c r="C22" s="113">
        <v>746040</v>
      </c>
      <c r="D22" s="113">
        <v>976305</v>
      </c>
      <c r="E22" s="113">
        <f t="shared" si="0"/>
        <v>230265</v>
      </c>
      <c r="F22" s="114">
        <f t="shared" si="1"/>
        <v>0.30864967025896733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82012</v>
      </c>
      <c r="D24" s="113">
        <v>73082</v>
      </c>
      <c r="E24" s="113">
        <f t="shared" si="0"/>
        <v>-8930</v>
      </c>
      <c r="F24" s="114">
        <f t="shared" si="1"/>
        <v>-0.1088865044139882</v>
      </c>
    </row>
    <row r="25" spans="1:6" ht="15.75" x14ac:dyDescent="0.25">
      <c r="A25" s="117"/>
      <c r="B25" s="118" t="s">
        <v>124</v>
      </c>
      <c r="C25" s="119">
        <f>SUM(C14:C24)</f>
        <v>257095549</v>
      </c>
      <c r="D25" s="119">
        <f>SUM(D14:D24)</f>
        <v>275367921</v>
      </c>
      <c r="E25" s="119">
        <f t="shared" si="0"/>
        <v>18272372</v>
      </c>
      <c r="F25" s="120">
        <f t="shared" si="1"/>
        <v>7.1072300049815337E-2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88587616</v>
      </c>
      <c r="D27" s="113">
        <v>102618576</v>
      </c>
      <c r="E27" s="113">
        <f t="shared" ref="E27:E38" si="2">D27-C27</f>
        <v>14030960</v>
      </c>
      <c r="F27" s="114">
        <f t="shared" ref="F27:F38" si="3">IF(C27=0,0,E27/C27)</f>
        <v>0.1583851178476233</v>
      </c>
    </row>
    <row r="28" spans="1:6" x14ac:dyDescent="0.2">
      <c r="A28" s="115">
        <v>2</v>
      </c>
      <c r="B28" s="116" t="s">
        <v>114</v>
      </c>
      <c r="C28" s="113">
        <v>25677231</v>
      </c>
      <c r="D28" s="113">
        <v>28224105</v>
      </c>
      <c r="E28" s="113">
        <f t="shared" si="2"/>
        <v>2546874</v>
      </c>
      <c r="F28" s="114">
        <f t="shared" si="3"/>
        <v>9.9188031606679078E-2</v>
      </c>
    </row>
    <row r="29" spans="1:6" x14ac:dyDescent="0.2">
      <c r="A29" s="115">
        <v>3</v>
      </c>
      <c r="B29" s="116" t="s">
        <v>115</v>
      </c>
      <c r="C29" s="113">
        <v>63296593</v>
      </c>
      <c r="D29" s="113">
        <v>79190281</v>
      </c>
      <c r="E29" s="113">
        <f t="shared" si="2"/>
        <v>15893688</v>
      </c>
      <c r="F29" s="114">
        <f t="shared" si="3"/>
        <v>0.25109863338142069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1835075</v>
      </c>
      <c r="D31" s="113">
        <v>2211538</v>
      </c>
      <c r="E31" s="113">
        <f t="shared" si="2"/>
        <v>376463</v>
      </c>
      <c r="F31" s="114">
        <f t="shared" si="3"/>
        <v>0.20514856341021484</v>
      </c>
    </row>
    <row r="32" spans="1:6" x14ac:dyDescent="0.2">
      <c r="A32" s="115">
        <v>6</v>
      </c>
      <c r="B32" s="116" t="s">
        <v>118</v>
      </c>
      <c r="C32" s="113">
        <v>1120043</v>
      </c>
      <c r="D32" s="113">
        <v>865891</v>
      </c>
      <c r="E32" s="113">
        <f t="shared" si="2"/>
        <v>-254152</v>
      </c>
      <c r="F32" s="114">
        <f t="shared" si="3"/>
        <v>-0.22691271674391073</v>
      </c>
    </row>
    <row r="33" spans="1:6" x14ac:dyDescent="0.2">
      <c r="A33" s="115">
        <v>7</v>
      </c>
      <c r="B33" s="116" t="s">
        <v>119</v>
      </c>
      <c r="C33" s="113">
        <v>155381238</v>
      </c>
      <c r="D33" s="113">
        <v>171564850</v>
      </c>
      <c r="E33" s="113">
        <f t="shared" si="2"/>
        <v>16183612</v>
      </c>
      <c r="F33" s="114">
        <f t="shared" si="3"/>
        <v>0.10415422227489267</v>
      </c>
    </row>
    <row r="34" spans="1:6" x14ac:dyDescent="0.2">
      <c r="A34" s="115">
        <v>8</v>
      </c>
      <c r="B34" s="116" t="s">
        <v>120</v>
      </c>
      <c r="C34" s="113">
        <v>4011452</v>
      </c>
      <c r="D34" s="113">
        <v>4142403</v>
      </c>
      <c r="E34" s="113">
        <f t="shared" si="2"/>
        <v>130951</v>
      </c>
      <c r="F34" s="114">
        <f t="shared" si="3"/>
        <v>3.2644289399449376E-2</v>
      </c>
    </row>
    <row r="35" spans="1:6" x14ac:dyDescent="0.2">
      <c r="A35" s="115">
        <v>9</v>
      </c>
      <c r="B35" s="116" t="s">
        <v>121</v>
      </c>
      <c r="C35" s="113">
        <v>3705669</v>
      </c>
      <c r="D35" s="113">
        <v>2995796</v>
      </c>
      <c r="E35" s="113">
        <f t="shared" si="2"/>
        <v>-709873</v>
      </c>
      <c r="F35" s="114">
        <f t="shared" si="3"/>
        <v>-0.19156406036264978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111181</v>
      </c>
      <c r="D37" s="113">
        <v>169320</v>
      </c>
      <c r="E37" s="113">
        <f t="shared" si="2"/>
        <v>58139</v>
      </c>
      <c r="F37" s="114">
        <f t="shared" si="3"/>
        <v>0.52292208201041546</v>
      </c>
    </row>
    <row r="38" spans="1:6" ht="15.75" x14ac:dyDescent="0.25">
      <c r="A38" s="117"/>
      <c r="B38" s="118" t="s">
        <v>126</v>
      </c>
      <c r="C38" s="119">
        <f>SUM(C27:C37)</f>
        <v>343726098</v>
      </c>
      <c r="D38" s="119">
        <f>SUM(D27:D37)</f>
        <v>391982760</v>
      </c>
      <c r="E38" s="119">
        <f t="shared" si="2"/>
        <v>48256662</v>
      </c>
      <c r="F38" s="120">
        <f t="shared" si="3"/>
        <v>0.14039277867111505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190752213</v>
      </c>
      <c r="D41" s="119">
        <f t="shared" si="4"/>
        <v>213415476</v>
      </c>
      <c r="E41" s="123">
        <f t="shared" ref="E41:E52" si="5">D41-C41</f>
        <v>22663263</v>
      </c>
      <c r="F41" s="124">
        <f t="shared" ref="F41:F52" si="6">IF(C41=0,0,E41/C41)</f>
        <v>0.11880996106713583</v>
      </c>
    </row>
    <row r="42" spans="1:6" ht="15.75" x14ac:dyDescent="0.25">
      <c r="A42" s="121">
        <v>2</v>
      </c>
      <c r="B42" s="122" t="s">
        <v>114</v>
      </c>
      <c r="C42" s="119">
        <f t="shared" si="4"/>
        <v>50148347</v>
      </c>
      <c r="D42" s="119">
        <f t="shared" si="4"/>
        <v>61116674</v>
      </c>
      <c r="E42" s="123">
        <f t="shared" si="5"/>
        <v>10968327</v>
      </c>
      <c r="F42" s="124">
        <f t="shared" si="6"/>
        <v>0.21871761795059766</v>
      </c>
    </row>
    <row r="43" spans="1:6" ht="15.75" x14ac:dyDescent="0.25">
      <c r="A43" s="121">
        <v>3</v>
      </c>
      <c r="B43" s="122" t="s">
        <v>115</v>
      </c>
      <c r="C43" s="119">
        <f t="shared" si="4"/>
        <v>127218153</v>
      </c>
      <c r="D43" s="119">
        <f t="shared" si="4"/>
        <v>144397051</v>
      </c>
      <c r="E43" s="123">
        <f t="shared" si="5"/>
        <v>17178898</v>
      </c>
      <c r="F43" s="124">
        <f t="shared" si="6"/>
        <v>0.13503495841509347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2540948</v>
      </c>
      <c r="D45" s="119">
        <f t="shared" si="4"/>
        <v>3115404</v>
      </c>
      <c r="E45" s="123">
        <f t="shared" si="5"/>
        <v>574456</v>
      </c>
      <c r="F45" s="124">
        <f t="shared" si="6"/>
        <v>0.22607940028682208</v>
      </c>
    </row>
    <row r="46" spans="1:6" ht="15.75" x14ac:dyDescent="0.25">
      <c r="A46" s="121">
        <v>6</v>
      </c>
      <c r="B46" s="122" t="s">
        <v>118</v>
      </c>
      <c r="C46" s="119">
        <f t="shared" si="4"/>
        <v>1454968</v>
      </c>
      <c r="D46" s="119">
        <f t="shared" si="4"/>
        <v>1430006</v>
      </c>
      <c r="E46" s="123">
        <f t="shared" si="5"/>
        <v>-24962</v>
      </c>
      <c r="F46" s="124">
        <f t="shared" si="6"/>
        <v>-1.715639106839463E-2</v>
      </c>
    </row>
    <row r="47" spans="1:6" ht="15.75" x14ac:dyDescent="0.25">
      <c r="A47" s="121">
        <v>7</v>
      </c>
      <c r="B47" s="122" t="s">
        <v>119</v>
      </c>
      <c r="C47" s="119">
        <f t="shared" si="4"/>
        <v>218880245</v>
      </c>
      <c r="D47" s="119">
        <f t="shared" si="4"/>
        <v>233436056</v>
      </c>
      <c r="E47" s="123">
        <f t="shared" si="5"/>
        <v>14555811</v>
      </c>
      <c r="F47" s="124">
        <f t="shared" si="6"/>
        <v>6.6501255058445313E-2</v>
      </c>
    </row>
    <row r="48" spans="1:6" ht="15.75" x14ac:dyDescent="0.25">
      <c r="A48" s="121">
        <v>8</v>
      </c>
      <c r="B48" s="122" t="s">
        <v>120</v>
      </c>
      <c r="C48" s="119">
        <f t="shared" si="4"/>
        <v>5181871</v>
      </c>
      <c r="D48" s="119">
        <f t="shared" si="4"/>
        <v>6225511</v>
      </c>
      <c r="E48" s="123">
        <f t="shared" si="5"/>
        <v>1043640</v>
      </c>
      <c r="F48" s="124">
        <f t="shared" si="6"/>
        <v>0.20140215763765637</v>
      </c>
    </row>
    <row r="49" spans="1:6" ht="15.75" x14ac:dyDescent="0.25">
      <c r="A49" s="121">
        <v>9</v>
      </c>
      <c r="B49" s="122" t="s">
        <v>121</v>
      </c>
      <c r="C49" s="119">
        <f t="shared" si="4"/>
        <v>4451709</v>
      </c>
      <c r="D49" s="119">
        <f t="shared" si="4"/>
        <v>3972101</v>
      </c>
      <c r="E49" s="123">
        <f t="shared" si="5"/>
        <v>-479608</v>
      </c>
      <c r="F49" s="124">
        <f t="shared" si="6"/>
        <v>-0.10773570329956428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193193</v>
      </c>
      <c r="D51" s="119">
        <f t="shared" si="4"/>
        <v>242402</v>
      </c>
      <c r="E51" s="123">
        <f t="shared" si="5"/>
        <v>49209</v>
      </c>
      <c r="F51" s="124">
        <f t="shared" si="6"/>
        <v>0.25471419771937909</v>
      </c>
    </row>
    <row r="52" spans="1:6" ht="18.75" customHeight="1" thickBot="1" x14ac:dyDescent="0.3">
      <c r="A52" s="125"/>
      <c r="B52" s="126" t="s">
        <v>128</v>
      </c>
      <c r="C52" s="127">
        <f>SUM(C41:C51)</f>
        <v>600821647</v>
      </c>
      <c r="D52" s="128">
        <f>SUM(D41:D51)</f>
        <v>667350681</v>
      </c>
      <c r="E52" s="127">
        <f t="shared" si="5"/>
        <v>66529034</v>
      </c>
      <c r="F52" s="129">
        <f t="shared" si="6"/>
        <v>0.11073008825862095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56698058</v>
      </c>
      <c r="D57" s="113">
        <v>57502980</v>
      </c>
      <c r="E57" s="113">
        <f t="shared" ref="E57:E68" si="7">D57-C57</f>
        <v>804922</v>
      </c>
      <c r="F57" s="114">
        <f t="shared" ref="F57:F68" si="8">IF(C57=0,0,E57/C57)</f>
        <v>1.419664144405087E-2</v>
      </c>
    </row>
    <row r="58" spans="1:6" x14ac:dyDescent="0.2">
      <c r="A58" s="115">
        <v>2</v>
      </c>
      <c r="B58" s="116" t="s">
        <v>114</v>
      </c>
      <c r="C58" s="113">
        <v>12279773</v>
      </c>
      <c r="D58" s="113">
        <v>15577077</v>
      </c>
      <c r="E58" s="113">
        <f t="shared" si="7"/>
        <v>3297304</v>
      </c>
      <c r="F58" s="114">
        <f t="shared" si="8"/>
        <v>0.26851506131261549</v>
      </c>
    </row>
    <row r="59" spans="1:6" x14ac:dyDescent="0.2">
      <c r="A59" s="115">
        <v>3</v>
      </c>
      <c r="B59" s="116" t="s">
        <v>115</v>
      </c>
      <c r="C59" s="113">
        <v>23252661</v>
      </c>
      <c r="D59" s="113">
        <v>24580567</v>
      </c>
      <c r="E59" s="113">
        <f t="shared" si="7"/>
        <v>1327906</v>
      </c>
      <c r="F59" s="114">
        <f t="shared" si="8"/>
        <v>5.7107700490709429E-2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261142</v>
      </c>
      <c r="D61" s="113">
        <v>394304</v>
      </c>
      <c r="E61" s="113">
        <f t="shared" si="7"/>
        <v>133162</v>
      </c>
      <c r="F61" s="114">
        <f t="shared" si="8"/>
        <v>0.50992180499498352</v>
      </c>
    </row>
    <row r="62" spans="1:6" x14ac:dyDescent="0.2">
      <c r="A62" s="115">
        <v>6</v>
      </c>
      <c r="B62" s="116" t="s">
        <v>118</v>
      </c>
      <c r="C62" s="113">
        <v>268901</v>
      </c>
      <c r="D62" s="113">
        <v>461079</v>
      </c>
      <c r="E62" s="113">
        <f t="shared" si="7"/>
        <v>192178</v>
      </c>
      <c r="F62" s="114">
        <f t="shared" si="8"/>
        <v>0.71467938014362165</v>
      </c>
    </row>
    <row r="63" spans="1:6" x14ac:dyDescent="0.2">
      <c r="A63" s="115">
        <v>7</v>
      </c>
      <c r="B63" s="116" t="s">
        <v>119</v>
      </c>
      <c r="C63" s="113">
        <v>35730129</v>
      </c>
      <c r="D63" s="113">
        <v>32786712</v>
      </c>
      <c r="E63" s="113">
        <f t="shared" si="7"/>
        <v>-2943417</v>
      </c>
      <c r="F63" s="114">
        <f t="shared" si="8"/>
        <v>-8.2379131628659952E-2</v>
      </c>
    </row>
    <row r="64" spans="1:6" x14ac:dyDescent="0.2">
      <c r="A64" s="115">
        <v>8</v>
      </c>
      <c r="B64" s="116" t="s">
        <v>120</v>
      </c>
      <c r="C64" s="113">
        <v>1048097</v>
      </c>
      <c r="D64" s="113">
        <v>1779787</v>
      </c>
      <c r="E64" s="113">
        <f t="shared" si="7"/>
        <v>731690</v>
      </c>
      <c r="F64" s="114">
        <f t="shared" si="8"/>
        <v>0.69811286550767726</v>
      </c>
    </row>
    <row r="65" spans="1:6" x14ac:dyDescent="0.2">
      <c r="A65" s="115">
        <v>9</v>
      </c>
      <c r="B65" s="116" t="s">
        <v>121</v>
      </c>
      <c r="C65" s="113">
        <v>52199</v>
      </c>
      <c r="D65" s="113">
        <v>124500</v>
      </c>
      <c r="E65" s="113">
        <f t="shared" si="7"/>
        <v>72301</v>
      </c>
      <c r="F65" s="114">
        <f t="shared" si="8"/>
        <v>1.385103162895841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25610</v>
      </c>
      <c r="D67" s="113">
        <v>15633</v>
      </c>
      <c r="E67" s="113">
        <f t="shared" si="7"/>
        <v>-9977</v>
      </c>
      <c r="F67" s="114">
        <f t="shared" si="8"/>
        <v>-0.38957438500585706</v>
      </c>
    </row>
    <row r="68" spans="1:6" ht="15.75" x14ac:dyDescent="0.25">
      <c r="A68" s="117"/>
      <c r="B68" s="118" t="s">
        <v>131</v>
      </c>
      <c r="C68" s="119">
        <f>SUM(C57:C67)</f>
        <v>129616570</v>
      </c>
      <c r="D68" s="119">
        <f>SUM(D57:D67)</f>
        <v>133222639</v>
      </c>
      <c r="E68" s="119">
        <f t="shared" si="7"/>
        <v>3606069</v>
      </c>
      <c r="F68" s="120">
        <f t="shared" si="8"/>
        <v>2.7821049422924862E-2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30443037</v>
      </c>
      <c r="D70" s="113">
        <v>33732928</v>
      </c>
      <c r="E70" s="113">
        <f t="shared" ref="E70:E81" si="9">D70-C70</f>
        <v>3289891</v>
      </c>
      <c r="F70" s="114">
        <f t="shared" ref="F70:F81" si="10">IF(C70=0,0,E70/C70)</f>
        <v>0.10806710907325048</v>
      </c>
    </row>
    <row r="71" spans="1:6" x14ac:dyDescent="0.2">
      <c r="A71" s="115">
        <v>2</v>
      </c>
      <c r="B71" s="116" t="s">
        <v>114</v>
      </c>
      <c r="C71" s="113">
        <v>7752655</v>
      </c>
      <c r="D71" s="113">
        <v>7667489</v>
      </c>
      <c r="E71" s="113">
        <f t="shared" si="9"/>
        <v>-85166</v>
      </c>
      <c r="F71" s="114">
        <f t="shared" si="10"/>
        <v>-1.098539790562072E-2</v>
      </c>
    </row>
    <row r="72" spans="1:6" x14ac:dyDescent="0.2">
      <c r="A72" s="115">
        <v>3</v>
      </c>
      <c r="B72" s="116" t="s">
        <v>115</v>
      </c>
      <c r="C72" s="113">
        <v>23849438</v>
      </c>
      <c r="D72" s="113">
        <v>27286597</v>
      </c>
      <c r="E72" s="113">
        <f t="shared" si="9"/>
        <v>3437159</v>
      </c>
      <c r="F72" s="114">
        <f t="shared" si="10"/>
        <v>0.14411907735519805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718631</v>
      </c>
      <c r="D74" s="113">
        <v>747511</v>
      </c>
      <c r="E74" s="113">
        <f t="shared" si="9"/>
        <v>28880</v>
      </c>
      <c r="F74" s="114">
        <f t="shared" si="10"/>
        <v>4.0187523221235935E-2</v>
      </c>
    </row>
    <row r="75" spans="1:6" x14ac:dyDescent="0.2">
      <c r="A75" s="115">
        <v>6</v>
      </c>
      <c r="B75" s="116" t="s">
        <v>118</v>
      </c>
      <c r="C75" s="113">
        <v>770847</v>
      </c>
      <c r="D75" s="113">
        <v>574469</v>
      </c>
      <c r="E75" s="113">
        <f t="shared" si="9"/>
        <v>-196378</v>
      </c>
      <c r="F75" s="114">
        <f t="shared" si="10"/>
        <v>-0.25475613189128321</v>
      </c>
    </row>
    <row r="76" spans="1:6" x14ac:dyDescent="0.2">
      <c r="A76" s="115">
        <v>7</v>
      </c>
      <c r="B76" s="116" t="s">
        <v>119</v>
      </c>
      <c r="C76" s="113">
        <v>83838159</v>
      </c>
      <c r="D76" s="113">
        <v>86338206</v>
      </c>
      <c r="E76" s="113">
        <f t="shared" si="9"/>
        <v>2500047</v>
      </c>
      <c r="F76" s="114">
        <f t="shared" si="10"/>
        <v>2.9819917682114179E-2</v>
      </c>
    </row>
    <row r="77" spans="1:6" x14ac:dyDescent="0.2">
      <c r="A77" s="115">
        <v>8</v>
      </c>
      <c r="B77" s="116" t="s">
        <v>120</v>
      </c>
      <c r="C77" s="113">
        <v>3313283</v>
      </c>
      <c r="D77" s="113">
        <v>3405144</v>
      </c>
      <c r="E77" s="113">
        <f t="shared" si="9"/>
        <v>91861</v>
      </c>
      <c r="F77" s="114">
        <f t="shared" si="10"/>
        <v>2.7725069062920372E-2</v>
      </c>
    </row>
    <row r="78" spans="1:6" x14ac:dyDescent="0.2">
      <c r="A78" s="115">
        <v>9</v>
      </c>
      <c r="B78" s="116" t="s">
        <v>121</v>
      </c>
      <c r="C78" s="113">
        <v>1227999</v>
      </c>
      <c r="D78" s="113">
        <v>700261</v>
      </c>
      <c r="E78" s="113">
        <f t="shared" si="9"/>
        <v>-527738</v>
      </c>
      <c r="F78" s="114">
        <f t="shared" si="10"/>
        <v>-0.42975442162412186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82152</v>
      </c>
      <c r="D80" s="113">
        <v>65438</v>
      </c>
      <c r="E80" s="113">
        <f t="shared" si="9"/>
        <v>-16714</v>
      </c>
      <c r="F80" s="114">
        <f t="shared" si="10"/>
        <v>-0.20345213750121727</v>
      </c>
    </row>
    <row r="81" spans="1:6" ht="15.75" x14ac:dyDescent="0.25">
      <c r="A81" s="117"/>
      <c r="B81" s="118" t="s">
        <v>133</v>
      </c>
      <c r="C81" s="119">
        <f>SUM(C70:C80)</f>
        <v>151996201</v>
      </c>
      <c r="D81" s="119">
        <f>SUM(D70:D80)</f>
        <v>160518043</v>
      </c>
      <c r="E81" s="119">
        <f t="shared" si="9"/>
        <v>8521842</v>
      </c>
      <c r="F81" s="120">
        <f t="shared" si="10"/>
        <v>5.6066151284925862E-2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87141095</v>
      </c>
      <c r="D84" s="119">
        <f t="shared" si="11"/>
        <v>91235908</v>
      </c>
      <c r="E84" s="119">
        <f t="shared" ref="E84:E95" si="12">D84-C84</f>
        <v>4094813</v>
      </c>
      <c r="F84" s="120">
        <f t="shared" ref="F84:F95" si="13">IF(C84=0,0,E84/C84)</f>
        <v>4.6990607588761654E-2</v>
      </c>
    </row>
    <row r="85" spans="1:6" ht="15.75" x14ac:dyDescent="0.25">
      <c r="A85" s="130">
        <v>2</v>
      </c>
      <c r="B85" s="122" t="s">
        <v>114</v>
      </c>
      <c r="C85" s="119">
        <f t="shared" si="11"/>
        <v>20032428</v>
      </c>
      <c r="D85" s="119">
        <f t="shared" si="11"/>
        <v>23244566</v>
      </c>
      <c r="E85" s="119">
        <f t="shared" si="12"/>
        <v>3212138</v>
      </c>
      <c r="F85" s="120">
        <f t="shared" si="13"/>
        <v>0.1603469135144277</v>
      </c>
    </row>
    <row r="86" spans="1:6" ht="15.75" x14ac:dyDescent="0.25">
      <c r="A86" s="130">
        <v>3</v>
      </c>
      <c r="B86" s="122" t="s">
        <v>115</v>
      </c>
      <c r="C86" s="119">
        <f t="shared" si="11"/>
        <v>47102099</v>
      </c>
      <c r="D86" s="119">
        <f t="shared" si="11"/>
        <v>51867164</v>
      </c>
      <c r="E86" s="119">
        <f t="shared" si="12"/>
        <v>4765065</v>
      </c>
      <c r="F86" s="120">
        <f t="shared" si="13"/>
        <v>0.10116459990456052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979773</v>
      </c>
      <c r="D88" s="119">
        <f t="shared" si="11"/>
        <v>1141815</v>
      </c>
      <c r="E88" s="119">
        <f t="shared" si="12"/>
        <v>162042</v>
      </c>
      <c r="F88" s="120">
        <f t="shared" si="13"/>
        <v>0.16538728868829822</v>
      </c>
    </row>
    <row r="89" spans="1:6" ht="15.75" x14ac:dyDescent="0.25">
      <c r="A89" s="130">
        <v>6</v>
      </c>
      <c r="B89" s="122" t="s">
        <v>118</v>
      </c>
      <c r="C89" s="119">
        <f t="shared" si="11"/>
        <v>1039748</v>
      </c>
      <c r="D89" s="119">
        <f t="shared" si="11"/>
        <v>1035548</v>
      </c>
      <c r="E89" s="119">
        <f t="shared" si="12"/>
        <v>-4200</v>
      </c>
      <c r="F89" s="120">
        <f t="shared" si="13"/>
        <v>-4.0394403259251281E-3</v>
      </c>
    </row>
    <row r="90" spans="1:6" ht="15.75" x14ac:dyDescent="0.25">
      <c r="A90" s="130">
        <v>7</v>
      </c>
      <c r="B90" s="122" t="s">
        <v>119</v>
      </c>
      <c r="C90" s="119">
        <f t="shared" si="11"/>
        <v>119568288</v>
      </c>
      <c r="D90" s="119">
        <f t="shared" si="11"/>
        <v>119124918</v>
      </c>
      <c r="E90" s="119">
        <f t="shared" si="12"/>
        <v>-443370</v>
      </c>
      <c r="F90" s="120">
        <f t="shared" si="13"/>
        <v>-3.7080902253948805E-3</v>
      </c>
    </row>
    <row r="91" spans="1:6" ht="15.75" x14ac:dyDescent="0.25">
      <c r="A91" s="130">
        <v>8</v>
      </c>
      <c r="B91" s="122" t="s">
        <v>120</v>
      </c>
      <c r="C91" s="119">
        <f t="shared" si="11"/>
        <v>4361380</v>
      </c>
      <c r="D91" s="119">
        <f t="shared" si="11"/>
        <v>5184931</v>
      </c>
      <c r="E91" s="119">
        <f t="shared" si="12"/>
        <v>823551</v>
      </c>
      <c r="F91" s="120">
        <f t="shared" si="13"/>
        <v>0.18882807735166393</v>
      </c>
    </row>
    <row r="92" spans="1:6" ht="15.75" x14ac:dyDescent="0.25">
      <c r="A92" s="130">
        <v>9</v>
      </c>
      <c r="B92" s="122" t="s">
        <v>121</v>
      </c>
      <c r="C92" s="119">
        <f t="shared" si="11"/>
        <v>1280198</v>
      </c>
      <c r="D92" s="119">
        <f t="shared" si="11"/>
        <v>824761</v>
      </c>
      <c r="E92" s="119">
        <f t="shared" si="12"/>
        <v>-455437</v>
      </c>
      <c r="F92" s="120">
        <f t="shared" si="13"/>
        <v>-0.35575512537904291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107762</v>
      </c>
      <c r="D94" s="119">
        <f t="shared" si="11"/>
        <v>81071</v>
      </c>
      <c r="E94" s="119">
        <f t="shared" si="12"/>
        <v>-26691</v>
      </c>
      <c r="F94" s="120">
        <f t="shared" si="13"/>
        <v>-0.24768471260741262</v>
      </c>
    </row>
    <row r="95" spans="1:6" ht="18.75" customHeight="1" thickBot="1" x14ac:dyDescent="0.3">
      <c r="A95" s="131"/>
      <c r="B95" s="132" t="s">
        <v>134</v>
      </c>
      <c r="C95" s="128">
        <f>SUM(C84:C94)</f>
        <v>281612771</v>
      </c>
      <c r="D95" s="128">
        <f>SUM(D84:D94)</f>
        <v>293740682</v>
      </c>
      <c r="E95" s="128">
        <f t="shared" si="12"/>
        <v>12127911</v>
      </c>
      <c r="F95" s="129">
        <f t="shared" si="13"/>
        <v>4.306591266061581E-2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3098</v>
      </c>
      <c r="D100" s="133">
        <v>3051</v>
      </c>
      <c r="E100" s="133">
        <f t="shared" ref="E100:E111" si="14">D100-C100</f>
        <v>-47</v>
      </c>
      <c r="F100" s="114">
        <f t="shared" ref="F100:F111" si="15">IF(C100=0,0,E100/C100)</f>
        <v>-1.5171078114912848E-2</v>
      </c>
    </row>
    <row r="101" spans="1:6" x14ac:dyDescent="0.2">
      <c r="A101" s="115">
        <v>2</v>
      </c>
      <c r="B101" s="116" t="s">
        <v>114</v>
      </c>
      <c r="C101" s="133">
        <v>724</v>
      </c>
      <c r="D101" s="133">
        <v>795</v>
      </c>
      <c r="E101" s="133">
        <f t="shared" si="14"/>
        <v>71</v>
      </c>
      <c r="F101" s="114">
        <f t="shared" si="15"/>
        <v>9.8066298342541436E-2</v>
      </c>
    </row>
    <row r="102" spans="1:6" x14ac:dyDescent="0.2">
      <c r="A102" s="115">
        <v>3</v>
      </c>
      <c r="B102" s="116" t="s">
        <v>115</v>
      </c>
      <c r="C102" s="133">
        <v>2162</v>
      </c>
      <c r="D102" s="133">
        <v>2272</v>
      </c>
      <c r="E102" s="133">
        <f t="shared" si="14"/>
        <v>110</v>
      </c>
      <c r="F102" s="114">
        <f t="shared" si="15"/>
        <v>5.0878815911193337E-2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35</v>
      </c>
      <c r="D104" s="133">
        <v>38</v>
      </c>
      <c r="E104" s="133">
        <f t="shared" si="14"/>
        <v>3</v>
      </c>
      <c r="F104" s="114">
        <f t="shared" si="15"/>
        <v>8.5714285714285715E-2</v>
      </c>
    </row>
    <row r="105" spans="1:6" x14ac:dyDescent="0.2">
      <c r="A105" s="115">
        <v>6</v>
      </c>
      <c r="B105" s="116" t="s">
        <v>118</v>
      </c>
      <c r="C105" s="133">
        <v>14</v>
      </c>
      <c r="D105" s="133">
        <v>16</v>
      </c>
      <c r="E105" s="133">
        <f t="shared" si="14"/>
        <v>2</v>
      </c>
      <c r="F105" s="114">
        <f t="shared" si="15"/>
        <v>0.14285714285714285</v>
      </c>
    </row>
    <row r="106" spans="1:6" x14ac:dyDescent="0.2">
      <c r="A106" s="115">
        <v>7</v>
      </c>
      <c r="B106" s="116" t="s">
        <v>119</v>
      </c>
      <c r="C106" s="133">
        <v>2470</v>
      </c>
      <c r="D106" s="133">
        <v>2393</v>
      </c>
      <c r="E106" s="133">
        <f t="shared" si="14"/>
        <v>-77</v>
      </c>
      <c r="F106" s="114">
        <f t="shared" si="15"/>
        <v>-3.1174089068825912E-2</v>
      </c>
    </row>
    <row r="107" spans="1:6" x14ac:dyDescent="0.2">
      <c r="A107" s="115">
        <v>8</v>
      </c>
      <c r="B107" s="116" t="s">
        <v>120</v>
      </c>
      <c r="C107" s="133">
        <v>33</v>
      </c>
      <c r="D107" s="133">
        <v>54</v>
      </c>
      <c r="E107" s="133">
        <f t="shared" si="14"/>
        <v>21</v>
      </c>
      <c r="F107" s="114">
        <f t="shared" si="15"/>
        <v>0.63636363636363635</v>
      </c>
    </row>
    <row r="108" spans="1:6" x14ac:dyDescent="0.2">
      <c r="A108" s="115">
        <v>9</v>
      </c>
      <c r="B108" s="116" t="s">
        <v>121</v>
      </c>
      <c r="C108" s="133">
        <v>35</v>
      </c>
      <c r="D108" s="133">
        <v>45</v>
      </c>
      <c r="E108" s="133">
        <f t="shared" si="14"/>
        <v>10</v>
      </c>
      <c r="F108" s="114">
        <f t="shared" si="15"/>
        <v>0.2857142857142857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7</v>
      </c>
      <c r="D110" s="133">
        <v>5</v>
      </c>
      <c r="E110" s="133">
        <f t="shared" si="14"/>
        <v>-2</v>
      </c>
      <c r="F110" s="114">
        <f t="shared" si="15"/>
        <v>-0.2857142857142857</v>
      </c>
    </row>
    <row r="111" spans="1:6" ht="15.75" x14ac:dyDescent="0.25">
      <c r="A111" s="117"/>
      <c r="B111" s="118" t="s">
        <v>138</v>
      </c>
      <c r="C111" s="134">
        <f>SUM(C100:C110)</f>
        <v>8578</v>
      </c>
      <c r="D111" s="134">
        <f>SUM(D100:D110)</f>
        <v>8669</v>
      </c>
      <c r="E111" s="134">
        <f t="shared" si="14"/>
        <v>91</v>
      </c>
      <c r="F111" s="120">
        <f t="shared" si="15"/>
        <v>1.0608533457682444E-2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15962</v>
      </c>
      <c r="D113" s="133">
        <v>15522</v>
      </c>
      <c r="E113" s="133">
        <f t="shared" ref="E113:E124" si="16">D113-C113</f>
        <v>-440</v>
      </c>
      <c r="F113" s="114">
        <f t="shared" ref="F113:F124" si="17">IF(C113=0,0,E113/C113)</f>
        <v>-2.7565467986467862E-2</v>
      </c>
    </row>
    <row r="114" spans="1:6" x14ac:dyDescent="0.2">
      <c r="A114" s="115">
        <v>2</v>
      </c>
      <c r="B114" s="116" t="s">
        <v>114</v>
      </c>
      <c r="C114" s="133">
        <v>3433</v>
      </c>
      <c r="D114" s="133">
        <v>3928</v>
      </c>
      <c r="E114" s="133">
        <f t="shared" si="16"/>
        <v>495</v>
      </c>
      <c r="F114" s="114">
        <f t="shared" si="17"/>
        <v>0.14418875618992136</v>
      </c>
    </row>
    <row r="115" spans="1:6" x14ac:dyDescent="0.2">
      <c r="A115" s="115">
        <v>3</v>
      </c>
      <c r="B115" s="116" t="s">
        <v>115</v>
      </c>
      <c r="C115" s="133">
        <v>10730</v>
      </c>
      <c r="D115" s="133">
        <v>9677</v>
      </c>
      <c r="E115" s="133">
        <f t="shared" si="16"/>
        <v>-1053</v>
      </c>
      <c r="F115" s="114">
        <f t="shared" si="17"/>
        <v>-9.8136067101584346E-2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105</v>
      </c>
      <c r="D117" s="133">
        <v>121</v>
      </c>
      <c r="E117" s="133">
        <f t="shared" si="16"/>
        <v>16</v>
      </c>
      <c r="F117" s="114">
        <f t="shared" si="17"/>
        <v>0.15238095238095239</v>
      </c>
    </row>
    <row r="118" spans="1:6" x14ac:dyDescent="0.2">
      <c r="A118" s="115">
        <v>6</v>
      </c>
      <c r="B118" s="116" t="s">
        <v>118</v>
      </c>
      <c r="C118" s="133">
        <v>63</v>
      </c>
      <c r="D118" s="133">
        <v>100</v>
      </c>
      <c r="E118" s="133">
        <f t="shared" si="16"/>
        <v>37</v>
      </c>
      <c r="F118" s="114">
        <f t="shared" si="17"/>
        <v>0.58730158730158732</v>
      </c>
    </row>
    <row r="119" spans="1:6" x14ac:dyDescent="0.2">
      <c r="A119" s="115">
        <v>7</v>
      </c>
      <c r="B119" s="116" t="s">
        <v>119</v>
      </c>
      <c r="C119" s="133">
        <v>10198</v>
      </c>
      <c r="D119" s="133">
        <v>9045</v>
      </c>
      <c r="E119" s="133">
        <f t="shared" si="16"/>
        <v>-1153</v>
      </c>
      <c r="F119" s="114">
        <f t="shared" si="17"/>
        <v>-0.11306138458521278</v>
      </c>
    </row>
    <row r="120" spans="1:6" x14ac:dyDescent="0.2">
      <c r="A120" s="115">
        <v>8</v>
      </c>
      <c r="B120" s="116" t="s">
        <v>120</v>
      </c>
      <c r="C120" s="133">
        <v>82</v>
      </c>
      <c r="D120" s="133">
        <v>152</v>
      </c>
      <c r="E120" s="133">
        <f t="shared" si="16"/>
        <v>70</v>
      </c>
      <c r="F120" s="114">
        <f t="shared" si="17"/>
        <v>0.85365853658536583</v>
      </c>
    </row>
    <row r="121" spans="1:6" x14ac:dyDescent="0.2">
      <c r="A121" s="115">
        <v>9</v>
      </c>
      <c r="B121" s="116" t="s">
        <v>121</v>
      </c>
      <c r="C121" s="133">
        <v>118</v>
      </c>
      <c r="D121" s="133">
        <v>163</v>
      </c>
      <c r="E121" s="133">
        <f t="shared" si="16"/>
        <v>45</v>
      </c>
      <c r="F121" s="114">
        <f t="shared" si="17"/>
        <v>0.38135593220338981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13</v>
      </c>
      <c r="D123" s="133">
        <v>15</v>
      </c>
      <c r="E123" s="133">
        <f t="shared" si="16"/>
        <v>2</v>
      </c>
      <c r="F123" s="114">
        <f t="shared" si="17"/>
        <v>0.15384615384615385</v>
      </c>
    </row>
    <row r="124" spans="1:6" ht="15.75" x14ac:dyDescent="0.25">
      <c r="A124" s="117"/>
      <c r="B124" s="118" t="s">
        <v>140</v>
      </c>
      <c r="C124" s="134">
        <f>SUM(C113:C123)</f>
        <v>40704</v>
      </c>
      <c r="D124" s="134">
        <f>SUM(D113:D123)</f>
        <v>38723</v>
      </c>
      <c r="E124" s="134">
        <f t="shared" si="16"/>
        <v>-1981</v>
      </c>
      <c r="F124" s="120">
        <f t="shared" si="17"/>
        <v>-4.8668435534591194E-2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91566</v>
      </c>
      <c r="D126" s="133">
        <v>94091</v>
      </c>
      <c r="E126" s="133">
        <f t="shared" ref="E126:E137" si="18">D126-C126</f>
        <v>2525</v>
      </c>
      <c r="F126" s="114">
        <f t="shared" ref="F126:F137" si="19">IF(C126=0,0,E126/C126)</f>
        <v>2.7575737719240767E-2</v>
      </c>
    </row>
    <row r="127" spans="1:6" x14ac:dyDescent="0.2">
      <c r="A127" s="115">
        <v>2</v>
      </c>
      <c r="B127" s="116" t="s">
        <v>114</v>
      </c>
      <c r="C127" s="133">
        <v>22941</v>
      </c>
      <c r="D127" s="133">
        <v>24474</v>
      </c>
      <c r="E127" s="133">
        <f t="shared" si="18"/>
        <v>1533</v>
      </c>
      <c r="F127" s="114">
        <f t="shared" si="19"/>
        <v>6.6823590950699618E-2</v>
      </c>
    </row>
    <row r="128" spans="1:6" x14ac:dyDescent="0.2">
      <c r="A128" s="115">
        <v>3</v>
      </c>
      <c r="B128" s="116" t="s">
        <v>115</v>
      </c>
      <c r="C128" s="133">
        <v>69946</v>
      </c>
      <c r="D128" s="133">
        <v>75764</v>
      </c>
      <c r="E128" s="133">
        <f t="shared" si="18"/>
        <v>5818</v>
      </c>
      <c r="F128" s="114">
        <f t="shared" si="19"/>
        <v>8.3178451948646093E-2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1964</v>
      </c>
      <c r="D130" s="133">
        <v>1917</v>
      </c>
      <c r="E130" s="133">
        <f t="shared" si="18"/>
        <v>-47</v>
      </c>
      <c r="F130" s="114">
        <f t="shared" si="19"/>
        <v>-2.3930753564154784E-2</v>
      </c>
    </row>
    <row r="131" spans="1:6" x14ac:dyDescent="0.2">
      <c r="A131" s="115">
        <v>6</v>
      </c>
      <c r="B131" s="116" t="s">
        <v>118</v>
      </c>
      <c r="C131" s="133">
        <v>1223</v>
      </c>
      <c r="D131" s="133">
        <v>855</v>
      </c>
      <c r="E131" s="133">
        <f t="shared" si="18"/>
        <v>-368</v>
      </c>
      <c r="F131" s="114">
        <f t="shared" si="19"/>
        <v>-0.30089942763695832</v>
      </c>
    </row>
    <row r="132" spans="1:6" x14ac:dyDescent="0.2">
      <c r="A132" s="115">
        <v>7</v>
      </c>
      <c r="B132" s="116" t="s">
        <v>119</v>
      </c>
      <c r="C132" s="133">
        <v>158629</v>
      </c>
      <c r="D132" s="133">
        <v>158485</v>
      </c>
      <c r="E132" s="133">
        <f t="shared" si="18"/>
        <v>-144</v>
      </c>
      <c r="F132" s="114">
        <f t="shared" si="19"/>
        <v>-9.0777852725541992E-4</v>
      </c>
    </row>
    <row r="133" spans="1:6" x14ac:dyDescent="0.2">
      <c r="A133" s="115">
        <v>8</v>
      </c>
      <c r="B133" s="116" t="s">
        <v>120</v>
      </c>
      <c r="C133" s="133">
        <v>2321</v>
      </c>
      <c r="D133" s="133">
        <v>2076</v>
      </c>
      <c r="E133" s="133">
        <f t="shared" si="18"/>
        <v>-245</v>
      </c>
      <c r="F133" s="114">
        <f t="shared" si="19"/>
        <v>-0.1055579491598449</v>
      </c>
    </row>
    <row r="134" spans="1:6" x14ac:dyDescent="0.2">
      <c r="A134" s="115">
        <v>9</v>
      </c>
      <c r="B134" s="116" t="s">
        <v>121</v>
      </c>
      <c r="C134" s="133">
        <v>6157</v>
      </c>
      <c r="D134" s="133">
        <v>5161</v>
      </c>
      <c r="E134" s="133">
        <f t="shared" si="18"/>
        <v>-996</v>
      </c>
      <c r="F134" s="114">
        <f t="shared" si="19"/>
        <v>-0.16176709436413839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637</v>
      </c>
      <c r="D136" s="133">
        <v>554</v>
      </c>
      <c r="E136" s="133">
        <f t="shared" si="18"/>
        <v>-83</v>
      </c>
      <c r="F136" s="114">
        <f t="shared" si="19"/>
        <v>-0.13029827315541601</v>
      </c>
    </row>
    <row r="137" spans="1:6" ht="15.75" x14ac:dyDescent="0.25">
      <c r="A137" s="117"/>
      <c r="B137" s="118" t="s">
        <v>142</v>
      </c>
      <c r="C137" s="134">
        <f>SUM(C126:C136)</f>
        <v>355384</v>
      </c>
      <c r="D137" s="134">
        <f>SUM(D126:D136)</f>
        <v>363377</v>
      </c>
      <c r="E137" s="134">
        <f t="shared" si="18"/>
        <v>7993</v>
      </c>
      <c r="F137" s="120">
        <f t="shared" si="19"/>
        <v>2.2491164486864914E-2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9508251</v>
      </c>
      <c r="D142" s="113">
        <v>11104658</v>
      </c>
      <c r="E142" s="113">
        <f t="shared" ref="E142:E153" si="20">D142-C142</f>
        <v>1596407</v>
      </c>
      <c r="F142" s="114">
        <f t="shared" ref="F142:F153" si="21">IF(C142=0,0,E142/C142)</f>
        <v>0.16789701912580979</v>
      </c>
    </row>
    <row r="143" spans="1:6" x14ac:dyDescent="0.2">
      <c r="A143" s="115">
        <v>2</v>
      </c>
      <c r="B143" s="116" t="s">
        <v>114</v>
      </c>
      <c r="C143" s="113">
        <v>2311941</v>
      </c>
      <c r="D143" s="113">
        <v>2892187</v>
      </c>
      <c r="E143" s="113">
        <f t="shared" si="20"/>
        <v>580246</v>
      </c>
      <c r="F143" s="114">
        <f t="shared" si="21"/>
        <v>0.25097785799897143</v>
      </c>
    </row>
    <row r="144" spans="1:6" x14ac:dyDescent="0.2">
      <c r="A144" s="115">
        <v>3</v>
      </c>
      <c r="B144" s="116" t="s">
        <v>115</v>
      </c>
      <c r="C144" s="113">
        <v>9756897</v>
      </c>
      <c r="D144" s="113">
        <v>12128721</v>
      </c>
      <c r="E144" s="113">
        <f t="shared" si="20"/>
        <v>2371824</v>
      </c>
      <c r="F144" s="114">
        <f t="shared" si="21"/>
        <v>0.24309204043047702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182463</v>
      </c>
      <c r="D146" s="113">
        <v>152989</v>
      </c>
      <c r="E146" s="113">
        <f t="shared" si="20"/>
        <v>-29474</v>
      </c>
      <c r="F146" s="114">
        <f t="shared" si="21"/>
        <v>-0.16153411924609373</v>
      </c>
    </row>
    <row r="147" spans="1:6" x14ac:dyDescent="0.2">
      <c r="A147" s="115">
        <v>6</v>
      </c>
      <c r="B147" s="116" t="s">
        <v>118</v>
      </c>
      <c r="C147" s="113">
        <v>231068</v>
      </c>
      <c r="D147" s="113">
        <v>254420</v>
      </c>
      <c r="E147" s="113">
        <f t="shared" si="20"/>
        <v>23352</v>
      </c>
      <c r="F147" s="114">
        <f t="shared" si="21"/>
        <v>0.10106115948551941</v>
      </c>
    </row>
    <row r="148" spans="1:6" x14ac:dyDescent="0.2">
      <c r="A148" s="115">
        <v>7</v>
      </c>
      <c r="B148" s="116" t="s">
        <v>119</v>
      </c>
      <c r="C148" s="113">
        <v>16577503</v>
      </c>
      <c r="D148" s="113">
        <v>19103070</v>
      </c>
      <c r="E148" s="113">
        <f t="shared" si="20"/>
        <v>2525567</v>
      </c>
      <c r="F148" s="114">
        <f t="shared" si="21"/>
        <v>0.15234906004842827</v>
      </c>
    </row>
    <row r="149" spans="1:6" x14ac:dyDescent="0.2">
      <c r="A149" s="115">
        <v>8</v>
      </c>
      <c r="B149" s="116" t="s">
        <v>120</v>
      </c>
      <c r="C149" s="113">
        <v>805000</v>
      </c>
      <c r="D149" s="113">
        <v>857240</v>
      </c>
      <c r="E149" s="113">
        <f t="shared" si="20"/>
        <v>52240</v>
      </c>
      <c r="F149" s="114">
        <f t="shared" si="21"/>
        <v>6.4894409937888198E-2</v>
      </c>
    </row>
    <row r="150" spans="1:6" x14ac:dyDescent="0.2">
      <c r="A150" s="115">
        <v>9</v>
      </c>
      <c r="B150" s="116" t="s">
        <v>121</v>
      </c>
      <c r="C150" s="113">
        <v>1794943</v>
      </c>
      <c r="D150" s="113">
        <v>1533213</v>
      </c>
      <c r="E150" s="113">
        <f t="shared" si="20"/>
        <v>-261730</v>
      </c>
      <c r="F150" s="114">
        <f t="shared" si="21"/>
        <v>-0.14581521530210151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93324</v>
      </c>
      <c r="D152" s="113">
        <v>155413</v>
      </c>
      <c r="E152" s="113">
        <f t="shared" si="20"/>
        <v>62089</v>
      </c>
      <c r="F152" s="114">
        <f t="shared" si="21"/>
        <v>0.66530581629591534</v>
      </c>
    </row>
    <row r="153" spans="1:6" ht="33.75" customHeight="1" x14ac:dyDescent="0.25">
      <c r="A153" s="117"/>
      <c r="B153" s="118" t="s">
        <v>146</v>
      </c>
      <c r="C153" s="119">
        <f>SUM(C142:C152)</f>
        <v>41261390</v>
      </c>
      <c r="D153" s="119">
        <f>SUM(D142:D152)</f>
        <v>48181911</v>
      </c>
      <c r="E153" s="119">
        <f t="shared" si="20"/>
        <v>6920521</v>
      </c>
      <c r="F153" s="120">
        <f t="shared" si="21"/>
        <v>0.16772389393571085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2416020</v>
      </c>
      <c r="D155" s="113">
        <v>2742622</v>
      </c>
      <c r="E155" s="113">
        <f t="shared" ref="E155:E166" si="22">D155-C155</f>
        <v>326602</v>
      </c>
      <c r="F155" s="114">
        <f t="shared" ref="F155:F166" si="23">IF(C155=0,0,E155/C155)</f>
        <v>0.13518182796500028</v>
      </c>
    </row>
    <row r="156" spans="1:6" x14ac:dyDescent="0.2">
      <c r="A156" s="115">
        <v>2</v>
      </c>
      <c r="B156" s="116" t="s">
        <v>114</v>
      </c>
      <c r="C156" s="113">
        <v>570877</v>
      </c>
      <c r="D156" s="113">
        <v>699844</v>
      </c>
      <c r="E156" s="113">
        <f t="shared" si="22"/>
        <v>128967</v>
      </c>
      <c r="F156" s="114">
        <f t="shared" si="23"/>
        <v>0.2259103099266567</v>
      </c>
    </row>
    <row r="157" spans="1:6" x14ac:dyDescent="0.2">
      <c r="A157" s="115">
        <v>3</v>
      </c>
      <c r="B157" s="116" t="s">
        <v>115</v>
      </c>
      <c r="C157" s="113">
        <v>2252055</v>
      </c>
      <c r="D157" s="113">
        <v>2382304</v>
      </c>
      <c r="E157" s="113">
        <f t="shared" si="22"/>
        <v>130249</v>
      </c>
      <c r="F157" s="114">
        <f t="shared" si="23"/>
        <v>5.7835621243708522E-2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44670</v>
      </c>
      <c r="D159" s="113">
        <v>34892</v>
      </c>
      <c r="E159" s="113">
        <f t="shared" si="22"/>
        <v>-9778</v>
      </c>
      <c r="F159" s="114">
        <f t="shared" si="23"/>
        <v>-0.21889411237967316</v>
      </c>
    </row>
    <row r="160" spans="1:6" x14ac:dyDescent="0.2">
      <c r="A160" s="115">
        <v>6</v>
      </c>
      <c r="B160" s="116" t="s">
        <v>118</v>
      </c>
      <c r="C160" s="113">
        <v>138306</v>
      </c>
      <c r="D160" s="113">
        <v>120761</v>
      </c>
      <c r="E160" s="113">
        <f t="shared" si="22"/>
        <v>-17545</v>
      </c>
      <c r="F160" s="114">
        <f t="shared" si="23"/>
        <v>-0.12685639090133471</v>
      </c>
    </row>
    <row r="161" spans="1:6" x14ac:dyDescent="0.2">
      <c r="A161" s="115">
        <v>7</v>
      </c>
      <c r="B161" s="116" t="s">
        <v>119</v>
      </c>
      <c r="C161" s="113">
        <v>8082780</v>
      </c>
      <c r="D161" s="113">
        <v>8932587</v>
      </c>
      <c r="E161" s="113">
        <f t="shared" si="22"/>
        <v>849807</v>
      </c>
      <c r="F161" s="114">
        <f t="shared" si="23"/>
        <v>0.10513795995932093</v>
      </c>
    </row>
    <row r="162" spans="1:6" x14ac:dyDescent="0.2">
      <c r="A162" s="115">
        <v>8</v>
      </c>
      <c r="B162" s="116" t="s">
        <v>120</v>
      </c>
      <c r="C162" s="113">
        <v>597111</v>
      </c>
      <c r="D162" s="113">
        <v>643041</v>
      </c>
      <c r="E162" s="113">
        <f t="shared" si="22"/>
        <v>45930</v>
      </c>
      <c r="F162" s="114">
        <f t="shared" si="23"/>
        <v>7.6920371589202008E-2</v>
      </c>
    </row>
    <row r="163" spans="1:6" x14ac:dyDescent="0.2">
      <c r="A163" s="115">
        <v>9</v>
      </c>
      <c r="B163" s="116" t="s">
        <v>121</v>
      </c>
      <c r="C163" s="113">
        <v>115623</v>
      </c>
      <c r="D163" s="113">
        <v>129713</v>
      </c>
      <c r="E163" s="113">
        <f t="shared" si="22"/>
        <v>14090</v>
      </c>
      <c r="F163" s="114">
        <f t="shared" si="23"/>
        <v>0.12186156733521877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6022</v>
      </c>
      <c r="D165" s="113">
        <v>23507</v>
      </c>
      <c r="E165" s="113">
        <f t="shared" si="22"/>
        <v>17485</v>
      </c>
      <c r="F165" s="114">
        <f t="shared" si="23"/>
        <v>2.9035204251079376</v>
      </c>
    </row>
    <row r="166" spans="1:6" ht="33.75" customHeight="1" x14ac:dyDescent="0.25">
      <c r="A166" s="117"/>
      <c r="B166" s="118" t="s">
        <v>148</v>
      </c>
      <c r="C166" s="119">
        <f>SUM(C155:C165)</f>
        <v>14223464</v>
      </c>
      <c r="D166" s="119">
        <f>SUM(D155:D165)</f>
        <v>15709271</v>
      </c>
      <c r="E166" s="119">
        <f t="shared" si="22"/>
        <v>1485807</v>
      </c>
      <c r="F166" s="120">
        <f t="shared" si="23"/>
        <v>0.10446168387672651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4607</v>
      </c>
      <c r="D168" s="133">
        <v>4821</v>
      </c>
      <c r="E168" s="133">
        <f t="shared" ref="E168:E179" si="24">D168-C168</f>
        <v>214</v>
      </c>
      <c r="F168" s="114">
        <f t="shared" ref="F168:F179" si="25">IF(C168=0,0,E168/C168)</f>
        <v>4.6451052745821578E-2</v>
      </c>
    </row>
    <row r="169" spans="1:6" x14ac:dyDescent="0.2">
      <c r="A169" s="115">
        <v>2</v>
      </c>
      <c r="B169" s="116" t="s">
        <v>114</v>
      </c>
      <c r="C169" s="133">
        <v>1126</v>
      </c>
      <c r="D169" s="133">
        <v>1282</v>
      </c>
      <c r="E169" s="133">
        <f t="shared" si="24"/>
        <v>156</v>
      </c>
      <c r="F169" s="114">
        <f t="shared" si="25"/>
        <v>0.13854351687388988</v>
      </c>
    </row>
    <row r="170" spans="1:6" x14ac:dyDescent="0.2">
      <c r="A170" s="115">
        <v>3</v>
      </c>
      <c r="B170" s="116" t="s">
        <v>115</v>
      </c>
      <c r="C170" s="133">
        <v>6301</v>
      </c>
      <c r="D170" s="133">
        <v>6929</v>
      </c>
      <c r="E170" s="133">
        <f t="shared" si="24"/>
        <v>628</v>
      </c>
      <c r="F170" s="114">
        <f t="shared" si="25"/>
        <v>9.9666719568322487E-2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120</v>
      </c>
      <c r="D172" s="133">
        <v>91</v>
      </c>
      <c r="E172" s="133">
        <f t="shared" si="24"/>
        <v>-29</v>
      </c>
      <c r="F172" s="114">
        <f t="shared" si="25"/>
        <v>-0.24166666666666667</v>
      </c>
    </row>
    <row r="173" spans="1:6" x14ac:dyDescent="0.2">
      <c r="A173" s="115">
        <v>6</v>
      </c>
      <c r="B173" s="116" t="s">
        <v>118</v>
      </c>
      <c r="C173" s="133">
        <v>140</v>
      </c>
      <c r="D173" s="133">
        <v>126</v>
      </c>
      <c r="E173" s="133">
        <f t="shared" si="24"/>
        <v>-14</v>
      </c>
      <c r="F173" s="114">
        <f t="shared" si="25"/>
        <v>-0.1</v>
      </c>
    </row>
    <row r="174" spans="1:6" x14ac:dyDescent="0.2">
      <c r="A174" s="115">
        <v>7</v>
      </c>
      <c r="B174" s="116" t="s">
        <v>119</v>
      </c>
      <c r="C174" s="133">
        <v>9441</v>
      </c>
      <c r="D174" s="133">
        <v>9574</v>
      </c>
      <c r="E174" s="133">
        <f t="shared" si="24"/>
        <v>133</v>
      </c>
      <c r="F174" s="114">
        <f t="shared" si="25"/>
        <v>1.4087490731913992E-2</v>
      </c>
    </row>
    <row r="175" spans="1:6" x14ac:dyDescent="0.2">
      <c r="A175" s="115">
        <v>8</v>
      </c>
      <c r="B175" s="116" t="s">
        <v>120</v>
      </c>
      <c r="C175" s="133">
        <v>621</v>
      </c>
      <c r="D175" s="133">
        <v>583</v>
      </c>
      <c r="E175" s="133">
        <f t="shared" si="24"/>
        <v>-38</v>
      </c>
      <c r="F175" s="114">
        <f t="shared" si="25"/>
        <v>-6.1191626409017714E-2</v>
      </c>
    </row>
    <row r="176" spans="1:6" x14ac:dyDescent="0.2">
      <c r="A176" s="115">
        <v>9</v>
      </c>
      <c r="B176" s="116" t="s">
        <v>121</v>
      </c>
      <c r="C176" s="133">
        <v>1221</v>
      </c>
      <c r="D176" s="133">
        <v>901</v>
      </c>
      <c r="E176" s="133">
        <f t="shared" si="24"/>
        <v>-320</v>
      </c>
      <c r="F176" s="114">
        <f t="shared" si="25"/>
        <v>-0.26208026208026208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63</v>
      </c>
      <c r="D178" s="133">
        <v>83</v>
      </c>
      <c r="E178" s="133">
        <f t="shared" si="24"/>
        <v>20</v>
      </c>
      <c r="F178" s="114">
        <f t="shared" si="25"/>
        <v>0.31746031746031744</v>
      </c>
    </row>
    <row r="179" spans="1:6" ht="33.75" customHeight="1" x14ac:dyDescent="0.25">
      <c r="A179" s="117"/>
      <c r="B179" s="118" t="s">
        <v>150</v>
      </c>
      <c r="C179" s="134">
        <f>SUM(C168:C178)</f>
        <v>23640</v>
      </c>
      <c r="D179" s="134">
        <f>SUM(D168:D178)</f>
        <v>24390</v>
      </c>
      <c r="E179" s="134">
        <f t="shared" si="24"/>
        <v>750</v>
      </c>
      <c r="F179" s="120">
        <f t="shared" si="25"/>
        <v>3.1725888324873094E-2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FILING&amp;RJOHN DEMPSEY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35730736</v>
      </c>
      <c r="D15" s="157">
        <v>36895430</v>
      </c>
      <c r="E15" s="157">
        <f>+D15-C15</f>
        <v>1164694</v>
      </c>
      <c r="F15" s="161">
        <f>IF(C15=0,0,E15/C15)</f>
        <v>3.2596417829176536E-2</v>
      </c>
    </row>
    <row r="16" spans="1:6" ht="15" customHeight="1" x14ac:dyDescent="0.2">
      <c r="A16" s="147">
        <v>2</v>
      </c>
      <c r="B16" s="160" t="s">
        <v>157</v>
      </c>
      <c r="C16" s="157">
        <v>2771716</v>
      </c>
      <c r="D16" s="157">
        <v>2571218</v>
      </c>
      <c r="E16" s="157">
        <f>+D16-C16</f>
        <v>-200498</v>
      </c>
      <c r="F16" s="161">
        <f>IF(C16=0,0,E16/C16)</f>
        <v>-7.2337136993833429E-2</v>
      </c>
    </row>
    <row r="17" spans="1:6" ht="15" customHeight="1" x14ac:dyDescent="0.2">
      <c r="A17" s="147">
        <v>3</v>
      </c>
      <c r="B17" s="160" t="s">
        <v>158</v>
      </c>
      <c r="C17" s="157">
        <v>71634404</v>
      </c>
      <c r="D17" s="157">
        <v>65156560</v>
      </c>
      <c r="E17" s="157">
        <f>+D17-C17</f>
        <v>-6477844</v>
      </c>
      <c r="F17" s="161">
        <f>IF(C17=0,0,E17/C17)</f>
        <v>-9.0429230066603195E-2</v>
      </c>
    </row>
    <row r="18" spans="1:6" ht="15.75" customHeight="1" x14ac:dyDescent="0.25">
      <c r="A18" s="147"/>
      <c r="B18" s="162" t="s">
        <v>159</v>
      </c>
      <c r="C18" s="158">
        <f>SUM(C15:C17)</f>
        <v>110136856</v>
      </c>
      <c r="D18" s="158">
        <f>SUM(D15:D17)</f>
        <v>104623208</v>
      </c>
      <c r="E18" s="158">
        <f>+D18-C18</f>
        <v>-5513648</v>
      </c>
      <c r="F18" s="159">
        <f>IF(C18=0,0,E18/C18)</f>
        <v>-5.0061788580563801E-2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16166065</v>
      </c>
      <c r="D21" s="157">
        <v>19514370</v>
      </c>
      <c r="E21" s="157">
        <f>+D21-C21</f>
        <v>3348305</v>
      </c>
      <c r="F21" s="161">
        <f>IF(C21=0,0,E21/C21)</f>
        <v>0.20711935774104584</v>
      </c>
    </row>
    <row r="22" spans="1:6" ht="15" customHeight="1" x14ac:dyDescent="0.2">
      <c r="A22" s="147">
        <v>2</v>
      </c>
      <c r="B22" s="160" t="s">
        <v>162</v>
      </c>
      <c r="C22" s="157">
        <v>613879</v>
      </c>
      <c r="D22" s="157">
        <v>618052</v>
      </c>
      <c r="E22" s="157">
        <f>+D22-C22</f>
        <v>4173</v>
      </c>
      <c r="F22" s="161">
        <f>IF(C22=0,0,E22/C22)</f>
        <v>6.7977565611464152E-3</v>
      </c>
    </row>
    <row r="23" spans="1:6" ht="15" customHeight="1" x14ac:dyDescent="0.2">
      <c r="A23" s="147">
        <v>3</v>
      </c>
      <c r="B23" s="160" t="s">
        <v>163</v>
      </c>
      <c r="C23" s="157">
        <v>33994236</v>
      </c>
      <c r="D23" s="157">
        <v>35596592</v>
      </c>
      <c r="E23" s="157">
        <f>+D23-C23</f>
        <v>1602356</v>
      </c>
      <c r="F23" s="161">
        <f>IF(C23=0,0,E23/C23)</f>
        <v>4.7136108603823307E-2</v>
      </c>
    </row>
    <row r="24" spans="1:6" ht="15.75" customHeight="1" x14ac:dyDescent="0.25">
      <c r="A24" s="147"/>
      <c r="B24" s="162" t="s">
        <v>164</v>
      </c>
      <c r="C24" s="158">
        <f>SUM(C21:C23)</f>
        <v>50774180</v>
      </c>
      <c r="D24" s="158">
        <f>SUM(D21:D23)</f>
        <v>55729014</v>
      </c>
      <c r="E24" s="158">
        <f>+D24-C24</f>
        <v>4954834</v>
      </c>
      <c r="F24" s="159">
        <f>IF(C24=0,0,E24/C24)</f>
        <v>9.7585702024139034E-2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5277613</v>
      </c>
      <c r="D27" s="157">
        <v>6560914</v>
      </c>
      <c r="E27" s="157">
        <f>+D27-C27</f>
        <v>1283301</v>
      </c>
      <c r="F27" s="161">
        <f>IF(C27=0,0,E27/C27)</f>
        <v>0.24315936011223255</v>
      </c>
    </row>
    <row r="28" spans="1:6" ht="15" customHeight="1" x14ac:dyDescent="0.2">
      <c r="A28" s="147">
        <v>2</v>
      </c>
      <c r="B28" s="160" t="s">
        <v>167</v>
      </c>
      <c r="C28" s="157">
        <v>14241190</v>
      </c>
      <c r="D28" s="157">
        <v>20183070</v>
      </c>
      <c r="E28" s="157">
        <f>+D28-C28</f>
        <v>5941880</v>
      </c>
      <c r="F28" s="161">
        <f>IF(C28=0,0,E28/C28)</f>
        <v>0.41723198693367619</v>
      </c>
    </row>
    <row r="29" spans="1:6" ht="15" customHeight="1" x14ac:dyDescent="0.2">
      <c r="A29" s="147">
        <v>3</v>
      </c>
      <c r="B29" s="160" t="s">
        <v>168</v>
      </c>
      <c r="C29" s="157">
        <v>17328729</v>
      </c>
      <c r="D29" s="157">
        <v>31563361</v>
      </c>
      <c r="E29" s="157">
        <f>+D29-C29</f>
        <v>14234632</v>
      </c>
      <c r="F29" s="161">
        <f>IF(C29=0,0,E29/C29)</f>
        <v>0.8214469739817617</v>
      </c>
    </row>
    <row r="30" spans="1:6" ht="15.75" customHeight="1" x14ac:dyDescent="0.25">
      <c r="A30" s="147"/>
      <c r="B30" s="162" t="s">
        <v>169</v>
      </c>
      <c r="C30" s="158">
        <f>SUM(C27:C29)</f>
        <v>36847532</v>
      </c>
      <c r="D30" s="158">
        <f>SUM(D27:D29)</f>
        <v>58307345</v>
      </c>
      <c r="E30" s="158">
        <f>+D30-C30</f>
        <v>21459813</v>
      </c>
      <c r="F30" s="159">
        <f>IF(C30=0,0,E30/C30)</f>
        <v>0.58239485347349718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34366657</v>
      </c>
      <c r="D33" s="157">
        <v>34236259</v>
      </c>
      <c r="E33" s="157">
        <f>+D33-C33</f>
        <v>-130398</v>
      </c>
      <c r="F33" s="161">
        <f>IF(C33=0,0,E33/C33)</f>
        <v>-3.7943172651328872E-3</v>
      </c>
    </row>
    <row r="34" spans="1:6" ht="15" customHeight="1" x14ac:dyDescent="0.2">
      <c r="A34" s="147">
        <v>2</v>
      </c>
      <c r="B34" s="160" t="s">
        <v>173</v>
      </c>
      <c r="C34" s="157">
        <v>16641267</v>
      </c>
      <c r="D34" s="157">
        <v>20209268</v>
      </c>
      <c r="E34" s="157">
        <f>+D34-C34</f>
        <v>3568001</v>
      </c>
      <c r="F34" s="161">
        <f>IF(C34=0,0,E34/C34)</f>
        <v>0.21440681169288373</v>
      </c>
    </row>
    <row r="35" spans="1:6" ht="15.75" customHeight="1" x14ac:dyDescent="0.25">
      <c r="A35" s="147"/>
      <c r="B35" s="162" t="s">
        <v>174</v>
      </c>
      <c r="C35" s="158">
        <f>SUM(C33:C34)</f>
        <v>51007924</v>
      </c>
      <c r="D35" s="158">
        <f>SUM(D33:D34)</f>
        <v>54445527</v>
      </c>
      <c r="E35" s="158">
        <f>+D35-C35</f>
        <v>3437603</v>
      </c>
      <c r="F35" s="159">
        <f>IF(C35=0,0,E35/C35)</f>
        <v>6.7393509290830975E-2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2739885</v>
      </c>
      <c r="D38" s="157">
        <v>2342805</v>
      </c>
      <c r="E38" s="157">
        <f>+D38-C38</f>
        <v>-397080</v>
      </c>
      <c r="F38" s="161">
        <f>IF(C38=0,0,E38/C38)</f>
        <v>-0.14492579068099573</v>
      </c>
    </row>
    <row r="39" spans="1:6" ht="15" customHeight="1" x14ac:dyDescent="0.2">
      <c r="A39" s="147">
        <v>2</v>
      </c>
      <c r="B39" s="160" t="s">
        <v>178</v>
      </c>
      <c r="C39" s="157">
        <v>6761082</v>
      </c>
      <c r="D39" s="157">
        <v>6563950</v>
      </c>
      <c r="E39" s="157">
        <f>+D39-C39</f>
        <v>-197132</v>
      </c>
      <c r="F39" s="161">
        <f>IF(C39=0,0,E39/C39)</f>
        <v>-2.9156871636817894E-2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9500967</v>
      </c>
      <c r="D41" s="158">
        <f>SUM(D38:D40)</f>
        <v>8906755</v>
      </c>
      <c r="E41" s="158">
        <f>+D41-C41</f>
        <v>-594212</v>
      </c>
      <c r="F41" s="159">
        <f>IF(C41=0,0,E41/C41)</f>
        <v>-6.2542265434665761E-2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0</v>
      </c>
      <c r="D47" s="157">
        <v>0</v>
      </c>
      <c r="E47" s="157">
        <f>+D47-C47</f>
        <v>0</v>
      </c>
      <c r="F47" s="161">
        <f>IF(C47=0,0,E47/C47)</f>
        <v>0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3672492</v>
      </c>
      <c r="D50" s="157">
        <v>3128114</v>
      </c>
      <c r="E50" s="157">
        <f>+D50-C50</f>
        <v>-544378</v>
      </c>
      <c r="F50" s="161">
        <f>IF(C50=0,0,E50/C50)</f>
        <v>-0.14823122827769264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75950</v>
      </c>
      <c r="D53" s="157">
        <v>78878</v>
      </c>
      <c r="E53" s="157">
        <f t="shared" ref="E53:E59" si="0">+D53-C53</f>
        <v>2928</v>
      </c>
      <c r="F53" s="161">
        <f t="shared" ref="F53:F59" si="1">IF(C53=0,0,E53/C53)</f>
        <v>3.8551678736010536E-2</v>
      </c>
    </row>
    <row r="54" spans="1:6" ht="15" customHeight="1" x14ac:dyDescent="0.2">
      <c r="A54" s="147">
        <v>2</v>
      </c>
      <c r="B54" s="160" t="s">
        <v>189</v>
      </c>
      <c r="C54" s="157">
        <v>351215</v>
      </c>
      <c r="D54" s="157">
        <v>316717</v>
      </c>
      <c r="E54" s="157">
        <f t="shared" si="0"/>
        <v>-34498</v>
      </c>
      <c r="F54" s="161">
        <f t="shared" si="1"/>
        <v>-9.8224734137209405E-2</v>
      </c>
    </row>
    <row r="55" spans="1:6" ht="15" customHeight="1" x14ac:dyDescent="0.2">
      <c r="A55" s="147">
        <v>3</v>
      </c>
      <c r="B55" s="160" t="s">
        <v>190</v>
      </c>
      <c r="C55" s="157">
        <v>0</v>
      </c>
      <c r="D55" s="157">
        <v>0</v>
      </c>
      <c r="E55" s="157">
        <f t="shared" si="0"/>
        <v>0</v>
      </c>
      <c r="F55" s="161">
        <f t="shared" si="1"/>
        <v>0</v>
      </c>
    </row>
    <row r="56" spans="1:6" ht="15" customHeight="1" x14ac:dyDescent="0.2">
      <c r="A56" s="147">
        <v>4</v>
      </c>
      <c r="B56" s="160" t="s">
        <v>191</v>
      </c>
      <c r="C56" s="157">
        <v>1478406</v>
      </c>
      <c r="D56" s="157">
        <v>1587450</v>
      </c>
      <c r="E56" s="157">
        <f t="shared" si="0"/>
        <v>109044</v>
      </c>
      <c r="F56" s="161">
        <f t="shared" si="1"/>
        <v>7.3757817541324919E-2</v>
      </c>
    </row>
    <row r="57" spans="1:6" ht="15" customHeight="1" x14ac:dyDescent="0.2">
      <c r="A57" s="147">
        <v>5</v>
      </c>
      <c r="B57" s="160" t="s">
        <v>192</v>
      </c>
      <c r="C57" s="157">
        <v>707167</v>
      </c>
      <c r="D57" s="157">
        <v>659841</v>
      </c>
      <c r="E57" s="157">
        <f t="shared" si="0"/>
        <v>-47326</v>
      </c>
      <c r="F57" s="161">
        <f t="shared" si="1"/>
        <v>-6.6923371707107368E-2</v>
      </c>
    </row>
    <row r="58" spans="1:6" ht="15" customHeight="1" x14ac:dyDescent="0.2">
      <c r="A58" s="147">
        <v>6</v>
      </c>
      <c r="B58" s="160" t="s">
        <v>193</v>
      </c>
      <c r="C58" s="157">
        <v>80179</v>
      </c>
      <c r="D58" s="157">
        <v>67619</v>
      </c>
      <c r="E58" s="157">
        <f t="shared" si="0"/>
        <v>-12560</v>
      </c>
      <c r="F58" s="161">
        <f t="shared" si="1"/>
        <v>-0.15664949675101961</v>
      </c>
    </row>
    <row r="59" spans="1:6" ht="15.75" customHeight="1" x14ac:dyDescent="0.25">
      <c r="A59" s="147"/>
      <c r="B59" s="162" t="s">
        <v>194</v>
      </c>
      <c r="C59" s="158">
        <f>SUM(C53:C58)</f>
        <v>2692917</v>
      </c>
      <c r="D59" s="158">
        <f>SUM(D53:D58)</f>
        <v>2710505</v>
      </c>
      <c r="E59" s="158">
        <f t="shared" si="0"/>
        <v>17588</v>
      </c>
      <c r="F59" s="159">
        <f t="shared" si="1"/>
        <v>6.5312076087008994E-3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101642</v>
      </c>
      <c r="D62" s="157">
        <v>88311</v>
      </c>
      <c r="E62" s="157">
        <f t="shared" ref="E62:E90" si="2">+D62-C62</f>
        <v>-13331</v>
      </c>
      <c r="F62" s="161">
        <f t="shared" ref="F62:F90" si="3">IF(C62=0,0,E62/C62)</f>
        <v>-0.13115641171956474</v>
      </c>
    </row>
    <row r="63" spans="1:6" ht="15" customHeight="1" x14ac:dyDescent="0.2">
      <c r="A63" s="147">
        <v>2</v>
      </c>
      <c r="B63" s="160" t="s">
        <v>198</v>
      </c>
      <c r="C63" s="157">
        <v>230760</v>
      </c>
      <c r="D63" s="157">
        <v>239757</v>
      </c>
      <c r="E63" s="157">
        <f t="shared" si="2"/>
        <v>8997</v>
      </c>
      <c r="F63" s="161">
        <f t="shared" si="3"/>
        <v>3.8988559542381694E-2</v>
      </c>
    </row>
    <row r="64" spans="1:6" ht="15" customHeight="1" x14ac:dyDescent="0.2">
      <c r="A64" s="147">
        <v>3</v>
      </c>
      <c r="B64" s="160" t="s">
        <v>199</v>
      </c>
      <c r="C64" s="157">
        <v>0</v>
      </c>
      <c r="D64" s="157">
        <v>0</v>
      </c>
      <c r="E64" s="157">
        <f t="shared" si="2"/>
        <v>0</v>
      </c>
      <c r="F64" s="161">
        <f t="shared" si="3"/>
        <v>0</v>
      </c>
    </row>
    <row r="65" spans="1:6" ht="15" customHeight="1" x14ac:dyDescent="0.2">
      <c r="A65" s="147">
        <v>4</v>
      </c>
      <c r="B65" s="160" t="s">
        <v>200</v>
      </c>
      <c r="C65" s="157">
        <v>728859</v>
      </c>
      <c r="D65" s="157">
        <v>575073</v>
      </c>
      <c r="E65" s="157">
        <f t="shared" si="2"/>
        <v>-153786</v>
      </c>
      <c r="F65" s="161">
        <f t="shared" si="3"/>
        <v>-0.21099554234769688</v>
      </c>
    </row>
    <row r="66" spans="1:6" ht="15" customHeight="1" x14ac:dyDescent="0.2">
      <c r="A66" s="147">
        <v>5</v>
      </c>
      <c r="B66" s="160" t="s">
        <v>201</v>
      </c>
      <c r="C66" s="157">
        <v>1836090</v>
      </c>
      <c r="D66" s="157">
        <v>1970045</v>
      </c>
      <c r="E66" s="157">
        <f t="shared" si="2"/>
        <v>133955</v>
      </c>
      <c r="F66" s="161">
        <f t="shared" si="3"/>
        <v>7.2956663344389439E-2</v>
      </c>
    </row>
    <row r="67" spans="1:6" ht="15" customHeight="1" x14ac:dyDescent="0.2">
      <c r="A67" s="147">
        <v>6</v>
      </c>
      <c r="B67" s="160" t="s">
        <v>202</v>
      </c>
      <c r="C67" s="157">
        <v>0</v>
      </c>
      <c r="D67" s="157">
        <v>0</v>
      </c>
      <c r="E67" s="157">
        <f t="shared" si="2"/>
        <v>0</v>
      </c>
      <c r="F67" s="161">
        <f t="shared" si="3"/>
        <v>0</v>
      </c>
    </row>
    <row r="68" spans="1:6" ht="15" customHeight="1" x14ac:dyDescent="0.2">
      <c r="A68" s="147">
        <v>7</v>
      </c>
      <c r="B68" s="160" t="s">
        <v>203</v>
      </c>
      <c r="C68" s="157">
        <v>7671014</v>
      </c>
      <c r="D68" s="157">
        <v>7117856</v>
      </c>
      <c r="E68" s="157">
        <f t="shared" si="2"/>
        <v>-553158</v>
      </c>
      <c r="F68" s="161">
        <f t="shared" si="3"/>
        <v>-7.2110153885783554E-2</v>
      </c>
    </row>
    <row r="69" spans="1:6" ht="15" customHeight="1" x14ac:dyDescent="0.2">
      <c r="A69" s="147">
        <v>8</v>
      </c>
      <c r="B69" s="160" t="s">
        <v>204</v>
      </c>
      <c r="C69" s="157">
        <v>349811</v>
      </c>
      <c r="D69" s="157">
        <v>316351</v>
      </c>
      <c r="E69" s="157">
        <f t="shared" si="2"/>
        <v>-33460</v>
      </c>
      <c r="F69" s="161">
        <f t="shared" si="3"/>
        <v>-9.5651651892021697E-2</v>
      </c>
    </row>
    <row r="70" spans="1:6" ht="15" customHeight="1" x14ac:dyDescent="0.2">
      <c r="A70" s="147">
        <v>9</v>
      </c>
      <c r="B70" s="160" t="s">
        <v>205</v>
      </c>
      <c r="C70" s="157">
        <v>153655</v>
      </c>
      <c r="D70" s="157">
        <v>134671</v>
      </c>
      <c r="E70" s="157">
        <f t="shared" si="2"/>
        <v>-18984</v>
      </c>
      <c r="F70" s="161">
        <f t="shared" si="3"/>
        <v>-0.12354951026650614</v>
      </c>
    </row>
    <row r="71" spans="1:6" ht="15" customHeight="1" x14ac:dyDescent="0.2">
      <c r="A71" s="147">
        <v>10</v>
      </c>
      <c r="B71" s="160" t="s">
        <v>206</v>
      </c>
      <c r="C71" s="157">
        <v>0</v>
      </c>
      <c r="D71" s="157">
        <v>0</v>
      </c>
      <c r="E71" s="157">
        <f t="shared" si="2"/>
        <v>0</v>
      </c>
      <c r="F71" s="161">
        <f t="shared" si="3"/>
        <v>0</v>
      </c>
    </row>
    <row r="72" spans="1:6" ht="15" customHeight="1" x14ac:dyDescent="0.2">
      <c r="A72" s="147">
        <v>11</v>
      </c>
      <c r="B72" s="160" t="s">
        <v>207</v>
      </c>
      <c r="C72" s="157">
        <v>0</v>
      </c>
      <c r="D72" s="157">
        <v>0</v>
      </c>
      <c r="E72" s="157">
        <f t="shared" si="2"/>
        <v>0</v>
      </c>
      <c r="F72" s="161">
        <f t="shared" si="3"/>
        <v>0</v>
      </c>
    </row>
    <row r="73" spans="1:6" ht="15" customHeight="1" x14ac:dyDescent="0.2">
      <c r="A73" s="147">
        <v>12</v>
      </c>
      <c r="B73" s="160" t="s">
        <v>208</v>
      </c>
      <c r="C73" s="157">
        <v>0</v>
      </c>
      <c r="D73" s="157">
        <v>0</v>
      </c>
      <c r="E73" s="157">
        <f t="shared" si="2"/>
        <v>0</v>
      </c>
      <c r="F73" s="161">
        <f t="shared" si="3"/>
        <v>0</v>
      </c>
    </row>
    <row r="74" spans="1:6" ht="15" customHeight="1" x14ac:dyDescent="0.2">
      <c r="A74" s="147">
        <v>13</v>
      </c>
      <c r="B74" s="160" t="s">
        <v>209</v>
      </c>
      <c r="C74" s="157">
        <v>294817</v>
      </c>
      <c r="D74" s="157">
        <v>320971</v>
      </c>
      <c r="E74" s="157">
        <f t="shared" si="2"/>
        <v>26154</v>
      </c>
      <c r="F74" s="161">
        <f t="shared" si="3"/>
        <v>8.871265903933627E-2</v>
      </c>
    </row>
    <row r="75" spans="1:6" ht="15" customHeight="1" x14ac:dyDescent="0.2">
      <c r="A75" s="147">
        <v>14</v>
      </c>
      <c r="B75" s="160" t="s">
        <v>210</v>
      </c>
      <c r="C75" s="157">
        <v>115696</v>
      </c>
      <c r="D75" s="157">
        <v>202019</v>
      </c>
      <c r="E75" s="157">
        <f t="shared" si="2"/>
        <v>86323</v>
      </c>
      <c r="F75" s="161">
        <f t="shared" si="3"/>
        <v>0.7461191398146868</v>
      </c>
    </row>
    <row r="76" spans="1:6" ht="15" customHeight="1" x14ac:dyDescent="0.2">
      <c r="A76" s="147">
        <v>15</v>
      </c>
      <c r="B76" s="160" t="s">
        <v>211</v>
      </c>
      <c r="C76" s="157">
        <v>1353610</v>
      </c>
      <c r="D76" s="157">
        <v>1203130</v>
      </c>
      <c r="E76" s="157">
        <f t="shared" si="2"/>
        <v>-150480</v>
      </c>
      <c r="F76" s="161">
        <f t="shared" si="3"/>
        <v>-0.11116939147908186</v>
      </c>
    </row>
    <row r="77" spans="1:6" ht="15" customHeight="1" x14ac:dyDescent="0.2">
      <c r="A77" s="147">
        <v>16</v>
      </c>
      <c r="B77" s="160" t="s">
        <v>212</v>
      </c>
      <c r="C77" s="157">
        <v>3378080</v>
      </c>
      <c r="D77" s="157">
        <v>219968</v>
      </c>
      <c r="E77" s="157">
        <f t="shared" si="2"/>
        <v>-3158112</v>
      </c>
      <c r="F77" s="161">
        <f t="shared" si="3"/>
        <v>-0.93488372093023253</v>
      </c>
    </row>
    <row r="78" spans="1:6" ht="15" customHeight="1" x14ac:dyDescent="0.2">
      <c r="A78" s="147">
        <v>17</v>
      </c>
      <c r="B78" s="160" t="s">
        <v>213</v>
      </c>
      <c r="C78" s="157">
        <v>2763201</v>
      </c>
      <c r="D78" s="157">
        <v>3570765</v>
      </c>
      <c r="E78" s="157">
        <f t="shared" si="2"/>
        <v>807564</v>
      </c>
      <c r="F78" s="161">
        <f t="shared" si="3"/>
        <v>0.29225669793836928</v>
      </c>
    </row>
    <row r="79" spans="1:6" ht="15" customHeight="1" x14ac:dyDescent="0.2">
      <c r="A79" s="147">
        <v>18</v>
      </c>
      <c r="B79" s="160" t="s">
        <v>214</v>
      </c>
      <c r="C79" s="157">
        <v>94976</v>
      </c>
      <c r="D79" s="157">
        <v>94573</v>
      </c>
      <c r="E79" s="157">
        <f t="shared" si="2"/>
        <v>-403</v>
      </c>
      <c r="F79" s="161">
        <f t="shared" si="3"/>
        <v>-4.2431772237196764E-3</v>
      </c>
    </row>
    <row r="80" spans="1:6" ht="15" customHeight="1" x14ac:dyDescent="0.2">
      <c r="A80" s="147">
        <v>19</v>
      </c>
      <c r="B80" s="160" t="s">
        <v>215</v>
      </c>
      <c r="C80" s="157">
        <v>4455528</v>
      </c>
      <c r="D80" s="157">
        <v>4660808</v>
      </c>
      <c r="E80" s="157">
        <f t="shared" si="2"/>
        <v>205280</v>
      </c>
      <c r="F80" s="161">
        <f t="shared" si="3"/>
        <v>4.6073102895997961E-2</v>
      </c>
    </row>
    <row r="81" spans="1:6" ht="15" customHeight="1" x14ac:dyDescent="0.2">
      <c r="A81" s="147">
        <v>20</v>
      </c>
      <c r="B81" s="160" t="s">
        <v>216</v>
      </c>
      <c r="C81" s="157">
        <v>1864677</v>
      </c>
      <c r="D81" s="157">
        <v>1673044</v>
      </c>
      <c r="E81" s="157">
        <f t="shared" si="2"/>
        <v>-191633</v>
      </c>
      <c r="F81" s="161">
        <f t="shared" si="3"/>
        <v>-0.1027700776059339</v>
      </c>
    </row>
    <row r="82" spans="1:6" ht="15" customHeight="1" x14ac:dyDescent="0.2">
      <c r="A82" s="147">
        <v>21</v>
      </c>
      <c r="B82" s="160" t="s">
        <v>217</v>
      </c>
      <c r="C82" s="157">
        <v>331134</v>
      </c>
      <c r="D82" s="157">
        <v>281706</v>
      </c>
      <c r="E82" s="157">
        <f t="shared" si="2"/>
        <v>-49428</v>
      </c>
      <c r="F82" s="161">
        <f t="shared" si="3"/>
        <v>-0.14926887604413924</v>
      </c>
    </row>
    <row r="83" spans="1:6" ht="15" customHeight="1" x14ac:dyDescent="0.2">
      <c r="A83" s="147">
        <v>22</v>
      </c>
      <c r="B83" s="160" t="s">
        <v>218</v>
      </c>
      <c r="C83" s="157">
        <v>0</v>
      </c>
      <c r="D83" s="157">
        <v>12330</v>
      </c>
      <c r="E83" s="157">
        <f t="shared" si="2"/>
        <v>12330</v>
      </c>
      <c r="F83" s="161">
        <f t="shared" si="3"/>
        <v>0</v>
      </c>
    </row>
    <row r="84" spans="1:6" ht="15" customHeight="1" x14ac:dyDescent="0.2">
      <c r="A84" s="147">
        <v>23</v>
      </c>
      <c r="B84" s="160" t="s">
        <v>219</v>
      </c>
      <c r="C84" s="157">
        <v>896100</v>
      </c>
      <c r="D84" s="157">
        <v>885673</v>
      </c>
      <c r="E84" s="157">
        <f t="shared" si="2"/>
        <v>-10427</v>
      </c>
      <c r="F84" s="161">
        <f t="shared" si="3"/>
        <v>-1.1635978127441134E-2</v>
      </c>
    </row>
    <row r="85" spans="1:6" ht="15" customHeight="1" x14ac:dyDescent="0.2">
      <c r="A85" s="147">
        <v>24</v>
      </c>
      <c r="B85" s="160" t="s">
        <v>220</v>
      </c>
      <c r="C85" s="157">
        <v>687214</v>
      </c>
      <c r="D85" s="157">
        <v>1129514</v>
      </c>
      <c r="E85" s="157">
        <f t="shared" si="2"/>
        <v>442300</v>
      </c>
      <c r="F85" s="161">
        <f t="shared" si="3"/>
        <v>0.64361319763567093</v>
      </c>
    </row>
    <row r="86" spans="1:6" ht="15" customHeight="1" x14ac:dyDescent="0.2">
      <c r="A86" s="147">
        <v>25</v>
      </c>
      <c r="B86" s="160" t="s">
        <v>221</v>
      </c>
      <c r="C86" s="157">
        <v>2020</v>
      </c>
      <c r="D86" s="157">
        <v>1474</v>
      </c>
      <c r="E86" s="157">
        <f t="shared" si="2"/>
        <v>-546</v>
      </c>
      <c r="F86" s="161">
        <f t="shared" si="3"/>
        <v>-0.27029702970297032</v>
      </c>
    </row>
    <row r="87" spans="1:6" ht="15" customHeight="1" x14ac:dyDescent="0.2">
      <c r="A87" s="147">
        <v>26</v>
      </c>
      <c r="B87" s="160" t="s">
        <v>222</v>
      </c>
      <c r="C87" s="157">
        <v>2883183</v>
      </c>
      <c r="D87" s="157">
        <v>3756792</v>
      </c>
      <c r="E87" s="157">
        <f t="shared" si="2"/>
        <v>873609</v>
      </c>
      <c r="F87" s="161">
        <f t="shared" si="3"/>
        <v>0.30300157846380199</v>
      </c>
    </row>
    <row r="88" spans="1:6" ht="15" customHeight="1" x14ac:dyDescent="0.2">
      <c r="A88" s="147">
        <v>27</v>
      </c>
      <c r="B88" s="160" t="s">
        <v>223</v>
      </c>
      <c r="C88" s="157">
        <v>0</v>
      </c>
      <c r="D88" s="157">
        <v>0</v>
      </c>
      <c r="E88" s="157">
        <f t="shared" si="2"/>
        <v>0</v>
      </c>
      <c r="F88" s="161">
        <f t="shared" si="3"/>
        <v>0</v>
      </c>
    </row>
    <row r="89" spans="1:6" ht="15" customHeight="1" x14ac:dyDescent="0.2">
      <c r="A89" s="147">
        <v>28</v>
      </c>
      <c r="B89" s="160" t="s">
        <v>224</v>
      </c>
      <c r="C89" s="157">
        <v>9757249</v>
      </c>
      <c r="D89" s="157">
        <v>6968107</v>
      </c>
      <c r="E89" s="157">
        <f t="shared" si="2"/>
        <v>-2789142</v>
      </c>
      <c r="F89" s="161">
        <f t="shared" si="3"/>
        <v>-0.28585331787679091</v>
      </c>
    </row>
    <row r="90" spans="1:6" ht="15.75" customHeight="1" x14ac:dyDescent="0.25">
      <c r="A90" s="147"/>
      <c r="B90" s="162" t="s">
        <v>225</v>
      </c>
      <c r="C90" s="158">
        <f>SUM(C62:C89)</f>
        <v>39949316</v>
      </c>
      <c r="D90" s="158">
        <f>SUM(D62:D89)</f>
        <v>35422938</v>
      </c>
      <c r="E90" s="158">
        <f t="shared" si="2"/>
        <v>-4526378</v>
      </c>
      <c r="F90" s="159">
        <f t="shared" si="3"/>
        <v>-0.11330301625189278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4514577</v>
      </c>
      <c r="D93" s="157">
        <v>3299235</v>
      </c>
      <c r="E93" s="157">
        <f>+D93-C93</f>
        <v>-1215342</v>
      </c>
      <c r="F93" s="161">
        <f>IF(C93=0,0,E93/C93)</f>
        <v>-0.26920395864330149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309096761</v>
      </c>
      <c r="D95" s="158">
        <f>+D93+D90+D59+D50+D47+D44+D41+D35+D30+D24+D18</f>
        <v>326572641</v>
      </c>
      <c r="E95" s="158">
        <f>+D95-C95</f>
        <v>17475880</v>
      </c>
      <c r="F95" s="159">
        <f>IF(C95=0,0,E95/C95)</f>
        <v>5.6538541340457465E-2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10890199</v>
      </c>
      <c r="D103" s="157">
        <v>10957864</v>
      </c>
      <c r="E103" s="157">
        <f t="shared" ref="E103:E121" si="4">D103-C103</f>
        <v>67665</v>
      </c>
      <c r="F103" s="161">
        <f t="shared" ref="F103:F121" si="5">IF(C103=0,0,E103/C103)</f>
        <v>6.2133850813929116E-3</v>
      </c>
    </row>
    <row r="104" spans="1:6" ht="15" customHeight="1" x14ac:dyDescent="0.2">
      <c r="A104" s="147">
        <v>2</v>
      </c>
      <c r="B104" s="169" t="s">
        <v>234</v>
      </c>
      <c r="C104" s="157">
        <v>180630</v>
      </c>
      <c r="D104" s="157">
        <v>314858</v>
      </c>
      <c r="E104" s="157">
        <f t="shared" si="4"/>
        <v>134228</v>
      </c>
      <c r="F104" s="161">
        <f t="shared" si="5"/>
        <v>0.74311022532248239</v>
      </c>
    </row>
    <row r="105" spans="1:6" ht="15" customHeight="1" x14ac:dyDescent="0.2">
      <c r="A105" s="147">
        <v>3</v>
      </c>
      <c r="B105" s="169" t="s">
        <v>235</v>
      </c>
      <c r="C105" s="157">
        <v>4607862</v>
      </c>
      <c r="D105" s="157">
        <v>6262156</v>
      </c>
      <c r="E105" s="157">
        <f t="shared" si="4"/>
        <v>1654294</v>
      </c>
      <c r="F105" s="161">
        <f t="shared" si="5"/>
        <v>0.35901552607261245</v>
      </c>
    </row>
    <row r="106" spans="1:6" ht="15" customHeight="1" x14ac:dyDescent="0.2">
      <c r="A106" s="147">
        <v>4</v>
      </c>
      <c r="B106" s="169" t="s">
        <v>236</v>
      </c>
      <c r="C106" s="157">
        <v>2399275</v>
      </c>
      <c r="D106" s="157">
        <v>1819755</v>
      </c>
      <c r="E106" s="157">
        <f t="shared" si="4"/>
        <v>-579520</v>
      </c>
      <c r="F106" s="161">
        <f t="shared" si="5"/>
        <v>-0.24153963176376197</v>
      </c>
    </row>
    <row r="107" spans="1:6" ht="15" customHeight="1" x14ac:dyDescent="0.2">
      <c r="A107" s="147">
        <v>5</v>
      </c>
      <c r="B107" s="169" t="s">
        <v>237</v>
      </c>
      <c r="C107" s="157">
        <v>3704478</v>
      </c>
      <c r="D107" s="157">
        <v>4051534</v>
      </c>
      <c r="E107" s="157">
        <f t="shared" si="4"/>
        <v>347056</v>
      </c>
      <c r="F107" s="161">
        <f t="shared" si="5"/>
        <v>9.3685534102240592E-2</v>
      </c>
    </row>
    <row r="108" spans="1:6" ht="15" customHeight="1" x14ac:dyDescent="0.2">
      <c r="A108" s="147">
        <v>6</v>
      </c>
      <c r="B108" s="169" t="s">
        <v>238</v>
      </c>
      <c r="C108" s="157">
        <v>393733</v>
      </c>
      <c r="D108" s="157">
        <v>393047</v>
      </c>
      <c r="E108" s="157">
        <f t="shared" si="4"/>
        <v>-686</v>
      </c>
      <c r="F108" s="161">
        <f t="shared" si="5"/>
        <v>-1.7422974452230319E-3</v>
      </c>
    </row>
    <row r="109" spans="1:6" ht="15" customHeight="1" x14ac:dyDescent="0.2">
      <c r="A109" s="147">
        <v>7</v>
      </c>
      <c r="B109" s="169" t="s">
        <v>239</v>
      </c>
      <c r="C109" s="157">
        <v>161495</v>
      </c>
      <c r="D109" s="157">
        <v>157356</v>
      </c>
      <c r="E109" s="157">
        <f t="shared" si="4"/>
        <v>-4139</v>
      </c>
      <c r="F109" s="161">
        <f t="shared" si="5"/>
        <v>-2.5629276448187251E-2</v>
      </c>
    </row>
    <row r="110" spans="1:6" ht="15" customHeight="1" x14ac:dyDescent="0.2">
      <c r="A110" s="147">
        <v>8</v>
      </c>
      <c r="B110" s="169" t="s">
        <v>240</v>
      </c>
      <c r="C110" s="157">
        <v>606373</v>
      </c>
      <c r="D110" s="157">
        <v>631890</v>
      </c>
      <c r="E110" s="157">
        <f t="shared" si="4"/>
        <v>25517</v>
      </c>
      <c r="F110" s="161">
        <f t="shared" si="5"/>
        <v>4.2081359163419214E-2</v>
      </c>
    </row>
    <row r="111" spans="1:6" ht="15" customHeight="1" x14ac:dyDescent="0.2">
      <c r="A111" s="147">
        <v>9</v>
      </c>
      <c r="B111" s="169" t="s">
        <v>241</v>
      </c>
      <c r="C111" s="157">
        <v>0</v>
      </c>
      <c r="D111" s="157">
        <v>0</v>
      </c>
      <c r="E111" s="157">
        <f t="shared" si="4"/>
        <v>0</v>
      </c>
      <c r="F111" s="161">
        <f t="shared" si="5"/>
        <v>0</v>
      </c>
    </row>
    <row r="112" spans="1:6" ht="15" customHeight="1" x14ac:dyDescent="0.2">
      <c r="A112" s="147">
        <v>10</v>
      </c>
      <c r="B112" s="169" t="s">
        <v>242</v>
      </c>
      <c r="C112" s="157">
        <v>4659341</v>
      </c>
      <c r="D112" s="157">
        <v>4848809</v>
      </c>
      <c r="E112" s="157">
        <f t="shared" si="4"/>
        <v>189468</v>
      </c>
      <c r="F112" s="161">
        <f t="shared" si="5"/>
        <v>4.066411966842521E-2</v>
      </c>
    </row>
    <row r="113" spans="1:6" ht="15" customHeight="1" x14ac:dyDescent="0.2">
      <c r="A113" s="147">
        <v>11</v>
      </c>
      <c r="B113" s="169" t="s">
        <v>243</v>
      </c>
      <c r="C113" s="157">
        <v>4797961</v>
      </c>
      <c r="D113" s="157">
        <v>4828184</v>
      </c>
      <c r="E113" s="157">
        <f t="shared" si="4"/>
        <v>30223</v>
      </c>
      <c r="F113" s="161">
        <f t="shared" si="5"/>
        <v>6.2991341530287551E-3</v>
      </c>
    </row>
    <row r="114" spans="1:6" ht="15" customHeight="1" x14ac:dyDescent="0.2">
      <c r="A114" s="147">
        <v>12</v>
      </c>
      <c r="B114" s="169" t="s">
        <v>244</v>
      </c>
      <c r="C114" s="157">
        <v>1063753</v>
      </c>
      <c r="D114" s="157">
        <v>938771</v>
      </c>
      <c r="E114" s="157">
        <f t="shared" si="4"/>
        <v>-124982</v>
      </c>
      <c r="F114" s="161">
        <f t="shared" si="5"/>
        <v>-0.11749156054083984</v>
      </c>
    </row>
    <row r="115" spans="1:6" ht="15" customHeight="1" x14ac:dyDescent="0.2">
      <c r="A115" s="147">
        <v>13</v>
      </c>
      <c r="B115" s="169" t="s">
        <v>245</v>
      </c>
      <c r="C115" s="157">
        <v>4218074</v>
      </c>
      <c r="D115" s="157">
        <v>4159364</v>
      </c>
      <c r="E115" s="157">
        <f t="shared" si="4"/>
        <v>-58710</v>
      </c>
      <c r="F115" s="161">
        <f t="shared" si="5"/>
        <v>-1.3918674731642926E-2</v>
      </c>
    </row>
    <row r="116" spans="1:6" ht="15" customHeight="1" x14ac:dyDescent="0.2">
      <c r="A116" s="147">
        <v>14</v>
      </c>
      <c r="B116" s="169" t="s">
        <v>246</v>
      </c>
      <c r="C116" s="157">
        <v>0</v>
      </c>
      <c r="D116" s="157">
        <v>0</v>
      </c>
      <c r="E116" s="157">
        <f t="shared" si="4"/>
        <v>0</v>
      </c>
      <c r="F116" s="161">
        <f t="shared" si="5"/>
        <v>0</v>
      </c>
    </row>
    <row r="117" spans="1:6" ht="15" customHeight="1" x14ac:dyDescent="0.2">
      <c r="A117" s="147">
        <v>15</v>
      </c>
      <c r="B117" s="169" t="s">
        <v>203</v>
      </c>
      <c r="C117" s="157">
        <v>4182427</v>
      </c>
      <c r="D117" s="157">
        <v>4216797</v>
      </c>
      <c r="E117" s="157">
        <f t="shared" si="4"/>
        <v>34370</v>
      </c>
      <c r="F117" s="161">
        <f t="shared" si="5"/>
        <v>8.2177166511214657E-3</v>
      </c>
    </row>
    <row r="118" spans="1:6" ht="15" customHeight="1" x14ac:dyDescent="0.2">
      <c r="A118" s="147">
        <v>16</v>
      </c>
      <c r="B118" s="169" t="s">
        <v>247</v>
      </c>
      <c r="C118" s="157">
        <v>2428785</v>
      </c>
      <c r="D118" s="157">
        <v>2333642</v>
      </c>
      <c r="E118" s="157">
        <f t="shared" si="4"/>
        <v>-95143</v>
      </c>
      <c r="F118" s="161">
        <f t="shared" si="5"/>
        <v>-3.9173084484629146E-2</v>
      </c>
    </row>
    <row r="119" spans="1:6" ht="15" customHeight="1" x14ac:dyDescent="0.2">
      <c r="A119" s="147">
        <v>17</v>
      </c>
      <c r="B119" s="169" t="s">
        <v>248</v>
      </c>
      <c r="C119" s="157">
        <v>21647206</v>
      </c>
      <c r="D119" s="157">
        <v>25328387</v>
      </c>
      <c r="E119" s="157">
        <f t="shared" si="4"/>
        <v>3681181</v>
      </c>
      <c r="F119" s="161">
        <f t="shared" si="5"/>
        <v>0.17005340088693202</v>
      </c>
    </row>
    <row r="120" spans="1:6" ht="15" customHeight="1" x14ac:dyDescent="0.2">
      <c r="A120" s="147">
        <v>18</v>
      </c>
      <c r="B120" s="169" t="s">
        <v>249</v>
      </c>
      <c r="C120" s="157">
        <v>14127204</v>
      </c>
      <c r="D120" s="157">
        <v>16238262</v>
      </c>
      <c r="E120" s="157">
        <f t="shared" si="4"/>
        <v>2111058</v>
      </c>
      <c r="F120" s="161">
        <f t="shared" si="5"/>
        <v>0.1494321169284453</v>
      </c>
    </row>
    <row r="121" spans="1:6" ht="15.75" customHeight="1" x14ac:dyDescent="0.25">
      <c r="A121" s="147"/>
      <c r="B121" s="165" t="s">
        <v>250</v>
      </c>
      <c r="C121" s="158">
        <f>SUM(C103:C120)</f>
        <v>80068796</v>
      </c>
      <c r="D121" s="158">
        <f>SUM(D103:D120)</f>
        <v>87480676</v>
      </c>
      <c r="E121" s="158">
        <f t="shared" si="4"/>
        <v>7411880</v>
      </c>
      <c r="F121" s="159">
        <f t="shared" si="5"/>
        <v>9.2568895378419322E-2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451305</v>
      </c>
      <c r="D124" s="157">
        <v>563456</v>
      </c>
      <c r="E124" s="157">
        <f t="shared" ref="E124:E130" si="6">D124-C124</f>
        <v>112151</v>
      </c>
      <c r="F124" s="161">
        <f t="shared" ref="F124:F130" si="7">IF(C124=0,0,E124/C124)</f>
        <v>0.24850378347237456</v>
      </c>
    </row>
    <row r="125" spans="1:6" ht="15" customHeight="1" x14ac:dyDescent="0.2">
      <c r="A125" s="147">
        <v>2</v>
      </c>
      <c r="B125" s="169" t="s">
        <v>253</v>
      </c>
      <c r="C125" s="157">
        <v>14262924</v>
      </c>
      <c r="D125" s="157">
        <v>21694747</v>
      </c>
      <c r="E125" s="157">
        <f t="shared" si="6"/>
        <v>7431823</v>
      </c>
      <c r="F125" s="161">
        <f t="shared" si="7"/>
        <v>0.52105886562951609</v>
      </c>
    </row>
    <row r="126" spans="1:6" ht="15" customHeight="1" x14ac:dyDescent="0.2">
      <c r="A126" s="147">
        <v>3</v>
      </c>
      <c r="B126" s="169" t="s">
        <v>254</v>
      </c>
      <c r="C126" s="157">
        <v>6207278</v>
      </c>
      <c r="D126" s="157">
        <v>6038077</v>
      </c>
      <c r="E126" s="157">
        <f t="shared" si="6"/>
        <v>-169201</v>
      </c>
      <c r="F126" s="161">
        <f t="shared" si="7"/>
        <v>-2.7258485925714945E-2</v>
      </c>
    </row>
    <row r="127" spans="1:6" ht="15" customHeight="1" x14ac:dyDescent="0.2">
      <c r="A127" s="147">
        <v>4</v>
      </c>
      <c r="B127" s="169" t="s">
        <v>255</v>
      </c>
      <c r="C127" s="157">
        <v>7447560</v>
      </c>
      <c r="D127" s="157">
        <v>8211572</v>
      </c>
      <c r="E127" s="157">
        <f t="shared" si="6"/>
        <v>764012</v>
      </c>
      <c r="F127" s="161">
        <f t="shared" si="7"/>
        <v>0.10258554479587946</v>
      </c>
    </row>
    <row r="128" spans="1:6" ht="15" customHeight="1" x14ac:dyDescent="0.2">
      <c r="A128" s="147">
        <v>5</v>
      </c>
      <c r="B128" s="169" t="s">
        <v>256</v>
      </c>
      <c r="C128" s="157">
        <v>970269</v>
      </c>
      <c r="D128" s="157">
        <v>871741</v>
      </c>
      <c r="E128" s="157">
        <f t="shared" si="6"/>
        <v>-98528</v>
      </c>
      <c r="F128" s="161">
        <f t="shared" si="7"/>
        <v>-0.10154709673296787</v>
      </c>
    </row>
    <row r="129" spans="1:6" ht="15" customHeight="1" x14ac:dyDescent="0.2">
      <c r="A129" s="147">
        <v>6</v>
      </c>
      <c r="B129" s="169" t="s">
        <v>257</v>
      </c>
      <c r="C129" s="157">
        <v>3283758</v>
      </c>
      <c r="D129" s="157">
        <v>3477598</v>
      </c>
      <c r="E129" s="157">
        <f t="shared" si="6"/>
        <v>193840</v>
      </c>
      <c r="F129" s="161">
        <f t="shared" si="7"/>
        <v>5.9029928514829653E-2</v>
      </c>
    </row>
    <row r="130" spans="1:6" ht="15.75" customHeight="1" x14ac:dyDescent="0.25">
      <c r="A130" s="147"/>
      <c r="B130" s="165" t="s">
        <v>258</v>
      </c>
      <c r="C130" s="158">
        <f>SUM(C124:C129)</f>
        <v>32623094</v>
      </c>
      <c r="D130" s="158">
        <f>SUM(D124:D129)</f>
        <v>40857191</v>
      </c>
      <c r="E130" s="158">
        <f t="shared" si="6"/>
        <v>8234097</v>
      </c>
      <c r="F130" s="159">
        <f t="shared" si="7"/>
        <v>0.25240086056828331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25371176</v>
      </c>
      <c r="D133" s="157">
        <v>26466014</v>
      </c>
      <c r="E133" s="157">
        <f t="shared" ref="E133:E167" si="8">D133-C133</f>
        <v>1094838</v>
      </c>
      <c r="F133" s="161">
        <f t="shared" ref="F133:F167" si="9">IF(C133=0,0,E133/C133)</f>
        <v>4.315282823310989E-2</v>
      </c>
    </row>
    <row r="134" spans="1:6" ht="15" customHeight="1" x14ac:dyDescent="0.2">
      <c r="A134" s="147">
        <v>2</v>
      </c>
      <c r="B134" s="169" t="s">
        <v>261</v>
      </c>
      <c r="C134" s="157">
        <v>3668670</v>
      </c>
      <c r="D134" s="157">
        <v>3867483</v>
      </c>
      <c r="E134" s="157">
        <f t="shared" si="8"/>
        <v>198813</v>
      </c>
      <c r="F134" s="161">
        <f t="shared" si="9"/>
        <v>5.419211866970864E-2</v>
      </c>
    </row>
    <row r="135" spans="1:6" ht="15" customHeight="1" x14ac:dyDescent="0.2">
      <c r="A135" s="147">
        <v>3</v>
      </c>
      <c r="B135" s="169" t="s">
        <v>262</v>
      </c>
      <c r="C135" s="157">
        <v>4005777</v>
      </c>
      <c r="D135" s="157">
        <v>4264812</v>
      </c>
      <c r="E135" s="157">
        <f t="shared" si="8"/>
        <v>259035</v>
      </c>
      <c r="F135" s="161">
        <f t="shared" si="9"/>
        <v>6.466535705806889E-2</v>
      </c>
    </row>
    <row r="136" spans="1:6" ht="15" customHeight="1" x14ac:dyDescent="0.2">
      <c r="A136" s="147">
        <v>4</v>
      </c>
      <c r="B136" s="169" t="s">
        <v>263</v>
      </c>
      <c r="C136" s="157">
        <v>2969860</v>
      </c>
      <c r="D136" s="157">
        <v>3160214</v>
      </c>
      <c r="E136" s="157">
        <f t="shared" si="8"/>
        <v>190354</v>
      </c>
      <c r="F136" s="161">
        <f t="shared" si="9"/>
        <v>6.4095277218454746E-2</v>
      </c>
    </row>
    <row r="137" spans="1:6" ht="15" customHeight="1" x14ac:dyDescent="0.2">
      <c r="A137" s="147">
        <v>5</v>
      </c>
      <c r="B137" s="169" t="s">
        <v>264</v>
      </c>
      <c r="C137" s="157">
        <v>8769176</v>
      </c>
      <c r="D137" s="157">
        <v>9366425</v>
      </c>
      <c r="E137" s="157">
        <f t="shared" si="8"/>
        <v>597249</v>
      </c>
      <c r="F137" s="161">
        <f t="shared" si="9"/>
        <v>6.8107767480091633E-2</v>
      </c>
    </row>
    <row r="138" spans="1:6" ht="15" customHeight="1" x14ac:dyDescent="0.2">
      <c r="A138" s="147">
        <v>6</v>
      </c>
      <c r="B138" s="169" t="s">
        <v>265</v>
      </c>
      <c r="C138" s="157">
        <v>688945</v>
      </c>
      <c r="D138" s="157">
        <v>655499</v>
      </c>
      <c r="E138" s="157">
        <f t="shared" si="8"/>
        <v>-33446</v>
      </c>
      <c r="F138" s="161">
        <f t="shared" si="9"/>
        <v>-4.8546690955010921E-2</v>
      </c>
    </row>
    <row r="139" spans="1:6" ht="15" customHeight="1" x14ac:dyDescent="0.2">
      <c r="A139" s="147">
        <v>7</v>
      </c>
      <c r="B139" s="169" t="s">
        <v>266</v>
      </c>
      <c r="C139" s="157">
        <v>1940436</v>
      </c>
      <c r="D139" s="157">
        <v>2082508</v>
      </c>
      <c r="E139" s="157">
        <f t="shared" si="8"/>
        <v>142072</v>
      </c>
      <c r="F139" s="161">
        <f t="shared" si="9"/>
        <v>7.3216534840623446E-2</v>
      </c>
    </row>
    <row r="140" spans="1:6" ht="15" customHeight="1" x14ac:dyDescent="0.2">
      <c r="A140" s="147">
        <v>8</v>
      </c>
      <c r="B140" s="169" t="s">
        <v>267</v>
      </c>
      <c r="C140" s="157">
        <v>1325104</v>
      </c>
      <c r="D140" s="157">
        <v>1259083</v>
      </c>
      <c r="E140" s="157">
        <f t="shared" si="8"/>
        <v>-66021</v>
      </c>
      <c r="F140" s="161">
        <f t="shared" si="9"/>
        <v>-4.9823259155507796E-2</v>
      </c>
    </row>
    <row r="141" spans="1:6" ht="15" customHeight="1" x14ac:dyDescent="0.2">
      <c r="A141" s="147">
        <v>9</v>
      </c>
      <c r="B141" s="169" t="s">
        <v>268</v>
      </c>
      <c r="C141" s="157">
        <v>723979</v>
      </c>
      <c r="D141" s="157">
        <v>692459</v>
      </c>
      <c r="E141" s="157">
        <f t="shared" si="8"/>
        <v>-31520</v>
      </c>
      <c r="F141" s="161">
        <f t="shared" si="9"/>
        <v>-4.3537174420805021E-2</v>
      </c>
    </row>
    <row r="142" spans="1:6" ht="15" customHeight="1" x14ac:dyDescent="0.2">
      <c r="A142" s="147">
        <v>10</v>
      </c>
      <c r="B142" s="169" t="s">
        <v>269</v>
      </c>
      <c r="C142" s="157">
        <v>14660224</v>
      </c>
      <c r="D142" s="157">
        <v>17599747</v>
      </c>
      <c r="E142" s="157">
        <f t="shared" si="8"/>
        <v>2939523</v>
      </c>
      <c r="F142" s="161">
        <f t="shared" si="9"/>
        <v>0.20051010134633687</v>
      </c>
    </row>
    <row r="143" spans="1:6" ht="15" customHeight="1" x14ac:dyDescent="0.2">
      <c r="A143" s="147">
        <v>11</v>
      </c>
      <c r="B143" s="169" t="s">
        <v>270</v>
      </c>
      <c r="C143" s="157">
        <v>2905095</v>
      </c>
      <c r="D143" s="157">
        <v>2797463</v>
      </c>
      <c r="E143" s="157">
        <f t="shared" si="8"/>
        <v>-107632</v>
      </c>
      <c r="F143" s="161">
        <f t="shared" si="9"/>
        <v>-3.7049390811660206E-2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3987012</v>
      </c>
      <c r="D145" s="157">
        <v>4220458</v>
      </c>
      <c r="E145" s="157">
        <f t="shared" si="8"/>
        <v>233446</v>
      </c>
      <c r="F145" s="161">
        <f t="shared" si="9"/>
        <v>5.855161710072606E-2</v>
      </c>
    </row>
    <row r="146" spans="1:6" ht="15" customHeight="1" x14ac:dyDescent="0.2">
      <c r="A146" s="147">
        <v>14</v>
      </c>
      <c r="B146" s="169" t="s">
        <v>273</v>
      </c>
      <c r="C146" s="157">
        <v>303080</v>
      </c>
      <c r="D146" s="157">
        <v>391899</v>
      </c>
      <c r="E146" s="157">
        <f t="shared" si="8"/>
        <v>88819</v>
      </c>
      <c r="F146" s="161">
        <f t="shared" si="9"/>
        <v>0.2930546390391976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1757</v>
      </c>
      <c r="E147" s="157">
        <f t="shared" si="8"/>
        <v>1757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3608250</v>
      </c>
      <c r="D150" s="157">
        <v>3867588</v>
      </c>
      <c r="E150" s="157">
        <f t="shared" si="8"/>
        <v>259338</v>
      </c>
      <c r="F150" s="161">
        <f t="shared" si="9"/>
        <v>7.1873622947412175E-2</v>
      </c>
    </row>
    <row r="151" spans="1:6" ht="15" customHeight="1" x14ac:dyDescent="0.2">
      <c r="A151" s="147">
        <v>19</v>
      </c>
      <c r="B151" s="169" t="s">
        <v>278</v>
      </c>
      <c r="C151" s="157">
        <v>525948</v>
      </c>
      <c r="D151" s="157">
        <v>562014</v>
      </c>
      <c r="E151" s="157">
        <f t="shared" si="8"/>
        <v>36066</v>
      </c>
      <c r="F151" s="161">
        <f t="shared" si="9"/>
        <v>6.8573319035341904E-2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207528</v>
      </c>
      <c r="D153" s="157">
        <v>246914</v>
      </c>
      <c r="E153" s="157">
        <f t="shared" si="8"/>
        <v>39386</v>
      </c>
      <c r="F153" s="161">
        <f t="shared" si="9"/>
        <v>0.18978643845649742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376982</v>
      </c>
      <c r="D155" s="157">
        <v>586389</v>
      </c>
      <c r="E155" s="157">
        <f t="shared" si="8"/>
        <v>209407</v>
      </c>
      <c r="F155" s="161">
        <f t="shared" si="9"/>
        <v>0.55548275514480794</v>
      </c>
    </row>
    <row r="156" spans="1:6" ht="15" customHeight="1" x14ac:dyDescent="0.2">
      <c r="A156" s="147">
        <v>24</v>
      </c>
      <c r="B156" s="169" t="s">
        <v>283</v>
      </c>
      <c r="C156" s="157">
        <v>10868436</v>
      </c>
      <c r="D156" s="157">
        <v>11535755</v>
      </c>
      <c r="E156" s="157">
        <f t="shared" si="8"/>
        <v>667319</v>
      </c>
      <c r="F156" s="161">
        <f t="shared" si="9"/>
        <v>6.1399726694806873E-2</v>
      </c>
    </row>
    <row r="157" spans="1:6" ht="15" customHeight="1" x14ac:dyDescent="0.2">
      <c r="A157" s="147">
        <v>25</v>
      </c>
      <c r="B157" s="169" t="s">
        <v>284</v>
      </c>
      <c r="C157" s="157">
        <v>738975</v>
      </c>
      <c r="D157" s="157">
        <v>1049573</v>
      </c>
      <c r="E157" s="157">
        <f t="shared" si="8"/>
        <v>310598</v>
      </c>
      <c r="F157" s="161">
        <f t="shared" si="9"/>
        <v>0.42030921208430594</v>
      </c>
    </row>
    <row r="158" spans="1:6" ht="15" customHeight="1" x14ac:dyDescent="0.2">
      <c r="A158" s="147">
        <v>26</v>
      </c>
      <c r="B158" s="169" t="s">
        <v>285</v>
      </c>
      <c r="C158" s="157">
        <v>346158</v>
      </c>
      <c r="D158" s="157">
        <v>414169</v>
      </c>
      <c r="E158" s="157">
        <f t="shared" si="8"/>
        <v>68011</v>
      </c>
      <c r="F158" s="161">
        <f t="shared" si="9"/>
        <v>0.19647386453584778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0</v>
      </c>
      <c r="D160" s="157">
        <v>0</v>
      </c>
      <c r="E160" s="157">
        <f t="shared" si="8"/>
        <v>0</v>
      </c>
      <c r="F160" s="161">
        <f t="shared" si="9"/>
        <v>0</v>
      </c>
    </row>
    <row r="161" spans="1:6" ht="15" customHeight="1" x14ac:dyDescent="0.2">
      <c r="A161" s="147">
        <v>29</v>
      </c>
      <c r="B161" s="169" t="s">
        <v>288</v>
      </c>
      <c r="C161" s="157">
        <v>632493</v>
      </c>
      <c r="D161" s="157">
        <v>919623</v>
      </c>
      <c r="E161" s="157">
        <f t="shared" si="8"/>
        <v>287130</v>
      </c>
      <c r="F161" s="161">
        <f t="shared" si="9"/>
        <v>0.4539654984323937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6697665</v>
      </c>
      <c r="D163" s="157">
        <v>6426816</v>
      </c>
      <c r="E163" s="157">
        <f t="shared" si="8"/>
        <v>-270849</v>
      </c>
      <c r="F163" s="161">
        <f t="shared" si="9"/>
        <v>-4.04393172844566E-2</v>
      </c>
    </row>
    <row r="164" spans="1:6" ht="15" customHeight="1" x14ac:dyDescent="0.2">
      <c r="A164" s="147">
        <v>32</v>
      </c>
      <c r="B164" s="169" t="s">
        <v>291</v>
      </c>
      <c r="C164" s="157">
        <v>0</v>
      </c>
      <c r="D164" s="157">
        <v>0</v>
      </c>
      <c r="E164" s="157">
        <f t="shared" si="8"/>
        <v>0</v>
      </c>
      <c r="F164" s="161">
        <f t="shared" si="9"/>
        <v>0</v>
      </c>
    </row>
    <row r="165" spans="1:6" ht="15" customHeight="1" x14ac:dyDescent="0.2">
      <c r="A165" s="147">
        <v>33</v>
      </c>
      <c r="B165" s="169" t="s">
        <v>292</v>
      </c>
      <c r="C165" s="157">
        <v>10476216</v>
      </c>
      <c r="D165" s="157">
        <v>0</v>
      </c>
      <c r="E165" s="157">
        <f t="shared" si="8"/>
        <v>-10476216</v>
      </c>
      <c r="F165" s="161">
        <f t="shared" si="9"/>
        <v>-1</v>
      </c>
    </row>
    <row r="166" spans="1:6" ht="15" customHeight="1" x14ac:dyDescent="0.2">
      <c r="A166" s="147">
        <v>34</v>
      </c>
      <c r="B166" s="169" t="s">
        <v>293</v>
      </c>
      <c r="C166" s="157">
        <v>2136912</v>
      </c>
      <c r="D166" s="157">
        <v>3247774</v>
      </c>
      <c r="E166" s="157">
        <f t="shared" si="8"/>
        <v>1110862</v>
      </c>
      <c r="F166" s="161">
        <f t="shared" si="9"/>
        <v>0.51984452331214392</v>
      </c>
    </row>
    <row r="167" spans="1:6" ht="15.75" customHeight="1" x14ac:dyDescent="0.25">
      <c r="A167" s="147"/>
      <c r="B167" s="165" t="s">
        <v>294</v>
      </c>
      <c r="C167" s="158">
        <f>SUM(C133:C166)</f>
        <v>107934097</v>
      </c>
      <c r="D167" s="158">
        <f>SUM(D133:D166)</f>
        <v>105682436</v>
      </c>
      <c r="E167" s="158">
        <f t="shared" si="8"/>
        <v>-2251661</v>
      </c>
      <c r="F167" s="159">
        <f t="shared" si="9"/>
        <v>-2.0861442885838011E-2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31901073</v>
      </c>
      <c r="D170" s="157">
        <v>33903261</v>
      </c>
      <c r="E170" s="157">
        <f t="shared" ref="E170:E183" si="10">D170-C170</f>
        <v>2002188</v>
      </c>
      <c r="F170" s="161">
        <f t="shared" ref="F170:F183" si="11">IF(C170=0,0,E170/C170)</f>
        <v>6.2762403007572812E-2</v>
      </c>
    </row>
    <row r="171" spans="1:6" ht="15" customHeight="1" x14ac:dyDescent="0.2">
      <c r="A171" s="147">
        <v>2</v>
      </c>
      <c r="B171" s="169" t="s">
        <v>297</v>
      </c>
      <c r="C171" s="157">
        <v>7881104</v>
      </c>
      <c r="D171" s="157">
        <v>8232461</v>
      </c>
      <c r="E171" s="157">
        <f t="shared" si="10"/>
        <v>351357</v>
      </c>
      <c r="F171" s="161">
        <f t="shared" si="11"/>
        <v>4.4582205741733646E-2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6264859</v>
      </c>
      <c r="D173" s="157">
        <v>6728014</v>
      </c>
      <c r="E173" s="157">
        <f t="shared" si="10"/>
        <v>463155</v>
      </c>
      <c r="F173" s="161">
        <f t="shared" si="11"/>
        <v>7.3929038147546491E-2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0</v>
      </c>
      <c r="D175" s="157">
        <v>0</v>
      </c>
      <c r="E175" s="157">
        <f t="shared" si="10"/>
        <v>0</v>
      </c>
      <c r="F175" s="161">
        <f t="shared" si="11"/>
        <v>0</v>
      </c>
    </row>
    <row r="176" spans="1:6" ht="15" customHeight="1" x14ac:dyDescent="0.2">
      <c r="A176" s="147">
        <v>7</v>
      </c>
      <c r="B176" s="169" t="s">
        <v>302</v>
      </c>
      <c r="C176" s="157">
        <v>1065601</v>
      </c>
      <c r="D176" s="157">
        <v>1042827</v>
      </c>
      <c r="E176" s="157">
        <f t="shared" si="10"/>
        <v>-22774</v>
      </c>
      <c r="F176" s="161">
        <f t="shared" si="11"/>
        <v>-2.1371976940712332E-2</v>
      </c>
    </row>
    <row r="177" spans="1:6" ht="15" customHeight="1" x14ac:dyDescent="0.2">
      <c r="A177" s="147">
        <v>8</v>
      </c>
      <c r="B177" s="169" t="s">
        <v>303</v>
      </c>
      <c r="C177" s="157">
        <v>14501865</v>
      </c>
      <c r="D177" s="157">
        <v>13869127</v>
      </c>
      <c r="E177" s="157">
        <f t="shared" si="10"/>
        <v>-632738</v>
      </c>
      <c r="F177" s="161">
        <f t="shared" si="11"/>
        <v>-4.3631491535743853E-2</v>
      </c>
    </row>
    <row r="178" spans="1:6" ht="15" customHeight="1" x14ac:dyDescent="0.2">
      <c r="A178" s="147">
        <v>9</v>
      </c>
      <c r="B178" s="169" t="s">
        <v>304</v>
      </c>
      <c r="C178" s="157">
        <v>3857533</v>
      </c>
      <c r="D178" s="157">
        <v>4155529</v>
      </c>
      <c r="E178" s="157">
        <f t="shared" si="10"/>
        <v>297996</v>
      </c>
      <c r="F178" s="161">
        <f t="shared" si="11"/>
        <v>7.7250408486460129E-2</v>
      </c>
    </row>
    <row r="179" spans="1:6" ht="15" customHeight="1" x14ac:dyDescent="0.2">
      <c r="A179" s="147">
        <v>10</v>
      </c>
      <c r="B179" s="169" t="s">
        <v>305</v>
      </c>
      <c r="C179" s="157">
        <v>9160684</v>
      </c>
      <c r="D179" s="157">
        <v>9001460</v>
      </c>
      <c r="E179" s="157">
        <f t="shared" si="10"/>
        <v>-159224</v>
      </c>
      <c r="F179" s="161">
        <f t="shared" si="11"/>
        <v>-1.738123485102204E-2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13838055</v>
      </c>
      <c r="D181" s="157">
        <v>15619659</v>
      </c>
      <c r="E181" s="157">
        <f t="shared" si="10"/>
        <v>1781604</v>
      </c>
      <c r="F181" s="161">
        <f t="shared" si="11"/>
        <v>0.12874670609417291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88470774</v>
      </c>
      <c r="D183" s="158">
        <f>SUM(D170:D182)</f>
        <v>92552338</v>
      </c>
      <c r="E183" s="158">
        <f t="shared" si="10"/>
        <v>4081564</v>
      </c>
      <c r="F183" s="159">
        <f t="shared" si="11"/>
        <v>4.6134602597689492E-2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309096761</v>
      </c>
      <c r="D188" s="158">
        <f>+D186+D183+D167+D130+D121</f>
        <v>326572641</v>
      </c>
      <c r="E188" s="158">
        <f>D188-C188</f>
        <v>17475880</v>
      </c>
      <c r="F188" s="159">
        <f>IF(C188=0,0,E188/C188)</f>
        <v>5.6538541340457465E-2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FILING&amp;RJOHN DEMPSEY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278985670</v>
      </c>
      <c r="D11" s="183">
        <v>281412882</v>
      </c>
      <c r="E11" s="76">
        <v>286757590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15889186</v>
      </c>
      <c r="D12" s="185">
        <v>23634474</v>
      </c>
      <c r="E12" s="185">
        <v>21955590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294874856</v>
      </c>
      <c r="D13" s="76">
        <f>+D11+D12</f>
        <v>305047356</v>
      </c>
      <c r="E13" s="76">
        <f>+E11+E12</f>
        <v>308713180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303434488</v>
      </c>
      <c r="D14" s="185">
        <v>309096761</v>
      </c>
      <c r="E14" s="185">
        <v>326572641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-8559632</v>
      </c>
      <c r="D15" s="76">
        <f>+D13-D14</f>
        <v>-4049405</v>
      </c>
      <c r="E15" s="76">
        <f>+E13-E14</f>
        <v>-17859461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8564466</v>
      </c>
      <c r="D16" s="185">
        <v>15682598</v>
      </c>
      <c r="E16" s="185">
        <v>9539892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4834</v>
      </c>
      <c r="D17" s="76">
        <f>D15+D16</f>
        <v>11633193</v>
      </c>
      <c r="E17" s="76">
        <f>E15+E16</f>
        <v>-8319569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-2.8208710537522226E-2</v>
      </c>
      <c r="D20" s="189">
        <f>IF(+D27=0,0,+D24/+D27)</f>
        <v>-1.262559031202929E-2</v>
      </c>
      <c r="E20" s="189">
        <f>IF(+E27=0,0,+E24/+E27)</f>
        <v>-5.6117167660835653E-2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2.8224641234862763E-2</v>
      </c>
      <c r="D21" s="189">
        <f>IF(D27=0,0,+D26/D27)</f>
        <v>4.889658045472111E-2</v>
      </c>
      <c r="E21" s="189">
        <f>IF(E27=0,0,+E26/E27)</f>
        <v>2.9975804915403928E-2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1.5930697340537821E-5</v>
      </c>
      <c r="D22" s="189">
        <f>IF(D27=0,0,+D28/D27)</f>
        <v>3.627099014269182E-2</v>
      </c>
      <c r="E22" s="189">
        <f>IF(E27=0,0,+E28/E27)</f>
        <v>-2.6141362745431725E-2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-8559632</v>
      </c>
      <c r="D24" s="76">
        <f>+D15</f>
        <v>-4049405</v>
      </c>
      <c r="E24" s="76">
        <f>+E15</f>
        <v>-17859461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294874856</v>
      </c>
      <c r="D25" s="76">
        <f>+D13</f>
        <v>305047356</v>
      </c>
      <c r="E25" s="76">
        <f>+E13</f>
        <v>308713180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8564466</v>
      </c>
      <c r="D26" s="76">
        <f>+D16</f>
        <v>15682598</v>
      </c>
      <c r="E26" s="76">
        <f>+E16</f>
        <v>9539892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303439322</v>
      </c>
      <c r="D27" s="76">
        <f>+D25+D26</f>
        <v>320729954</v>
      </c>
      <c r="E27" s="76">
        <f>+E25+E26</f>
        <v>318253072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4834</v>
      </c>
      <c r="D28" s="76">
        <f>+D17</f>
        <v>11633193</v>
      </c>
      <c r="E28" s="76">
        <f>+E17</f>
        <v>-8319569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68041405</v>
      </c>
      <c r="D31" s="76">
        <v>79674598</v>
      </c>
      <c r="E31" s="76">
        <v>71355029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68041405</v>
      </c>
      <c r="D32" s="76">
        <v>79674598</v>
      </c>
      <c r="E32" s="76">
        <v>71355029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4835</v>
      </c>
      <c r="D33" s="76">
        <f>+D32-C32</f>
        <v>11633193</v>
      </c>
      <c r="E33" s="76">
        <f>+E32-D32</f>
        <v>-8319569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</v>
      </c>
      <c r="D34" s="193">
        <f>IF(C32=0,0,+D33/C32)</f>
        <v>0.17097226313889316</v>
      </c>
      <c r="E34" s="193">
        <f>IF(D32=0,0,+E33/D32)</f>
        <v>-0.10441934077910252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0.54791296757226071</v>
      </c>
      <c r="D38" s="195">
        <f>IF((D40+D41)=0,0,+D39/(D40+D41))</f>
        <v>0.49516381601213383</v>
      </c>
      <c r="E38" s="195">
        <f>IF((E40+E41)=0,0,+E39/(E40+E41))</f>
        <v>0.47377001303967536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303434488</v>
      </c>
      <c r="D39" s="76">
        <v>309096761</v>
      </c>
      <c r="E39" s="196">
        <v>326572641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535141391</v>
      </c>
      <c r="D40" s="76">
        <v>600821647</v>
      </c>
      <c r="E40" s="196">
        <v>667350681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18659132</v>
      </c>
      <c r="D41" s="76">
        <v>23409670</v>
      </c>
      <c r="E41" s="196">
        <v>21955590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1.1315744312891651</v>
      </c>
      <c r="D43" s="197">
        <f>IF(D38=0,0,IF((D46-D47)=0,0,((+D44-D45)/(D46-D47)/D38)))</f>
        <v>1.1191167392223647</v>
      </c>
      <c r="E43" s="197">
        <f>IF(E38=0,0,IF((E46-E47)=0,0,((+E44-E45)/(E46-E47)/E38)))</f>
        <v>1.0973844218885738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125837607</v>
      </c>
      <c r="D44" s="76">
        <v>126249614</v>
      </c>
      <c r="E44" s="196">
        <v>126170158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603170</v>
      </c>
      <c r="D45" s="76">
        <v>1280198</v>
      </c>
      <c r="E45" s="196">
        <v>824761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205394065</v>
      </c>
      <c r="D46" s="76">
        <v>229968793</v>
      </c>
      <c r="E46" s="196">
        <v>245063674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3404440</v>
      </c>
      <c r="D47" s="76">
        <v>4451709</v>
      </c>
      <c r="E47" s="76">
        <v>3972101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0.81953505943099236</v>
      </c>
      <c r="D49" s="198">
        <f>IF(D38=0,0,IF(D51=0,0,(D50/D51)/D38))</f>
        <v>0.89846423990696533</v>
      </c>
      <c r="E49" s="198">
        <f>IF(E38=0,0,IF(E51=0,0,(E50/E51)/E38))</f>
        <v>0.88017826264598453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100992281</v>
      </c>
      <c r="D50" s="199">
        <v>107173523</v>
      </c>
      <c r="E50" s="199">
        <v>114480474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224910155</v>
      </c>
      <c r="D51" s="199">
        <v>240900560</v>
      </c>
      <c r="E51" s="199">
        <v>274532150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0.66970316464436996</v>
      </c>
      <c r="D53" s="198">
        <f>IF(D38=0,0,IF(D55=0,0,(D54/D55)/D38))</f>
        <v>0.74772564094008698</v>
      </c>
      <c r="E53" s="198">
        <f>IF(E38=0,0,IF(E55=0,0,(E54/E55)/E38))</f>
        <v>0.75817002394327537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37451183</v>
      </c>
      <c r="D54" s="199">
        <v>47102099</v>
      </c>
      <c r="E54" s="199">
        <v>51867164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102063771</v>
      </c>
      <c r="D55" s="199">
        <v>127218153</v>
      </c>
      <c r="E55" s="199">
        <v>144397051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3357670.387796279</v>
      </c>
      <c r="D57" s="88">
        <f>+D60*D38</f>
        <v>1161134.8855214692</v>
      </c>
      <c r="E57" s="88">
        <f>+E60*E38</f>
        <v>3071552.8550890191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477593</v>
      </c>
      <c r="D58" s="199">
        <v>823539</v>
      </c>
      <c r="E58" s="199">
        <v>583681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5650516</v>
      </c>
      <c r="D59" s="199">
        <v>1521412</v>
      </c>
      <c r="E59" s="199">
        <v>5899534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6128109</v>
      </c>
      <c r="D60" s="76">
        <v>2344951</v>
      </c>
      <c r="E60" s="201">
        <v>6483215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1.1065552930147739E-2</v>
      </c>
      <c r="D62" s="202">
        <f>IF(D63=0,0,+D57/D63)</f>
        <v>3.7565417436434059E-3</v>
      </c>
      <c r="E62" s="202">
        <f>IF(E63=0,0,+E57/E63)</f>
        <v>9.405420018295467E-3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303434488</v>
      </c>
      <c r="D63" s="199">
        <v>309096761</v>
      </c>
      <c r="E63" s="199">
        <v>326572641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1.2215830227003386</v>
      </c>
      <c r="D67" s="203">
        <f>IF(D69=0,0,D68/D69)</f>
        <v>1.3886534327352962</v>
      </c>
      <c r="E67" s="203">
        <f>IF(E69=0,0,E68/E69)</f>
        <v>1.3788890643928777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48211880</v>
      </c>
      <c r="D68" s="204">
        <v>54534538</v>
      </c>
      <c r="E68" s="204">
        <v>67323525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39466724</v>
      </c>
      <c r="D69" s="204">
        <v>39271525</v>
      </c>
      <c r="E69" s="204">
        <v>48824468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0</v>
      </c>
      <c r="D71" s="203">
        <f>IF((D77/365)=0,0,+D74/(D77/365))</f>
        <v>0</v>
      </c>
      <c r="E71" s="203">
        <f>IF((E77/365)=0,0,+E74/(E77/365))</f>
        <v>0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0</v>
      </c>
      <c r="D72" s="183">
        <v>0</v>
      </c>
      <c r="E72" s="183">
        <v>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0</v>
      </c>
      <c r="D74" s="204">
        <f>+D72+D73</f>
        <v>0</v>
      </c>
      <c r="E74" s="204">
        <f>+E72+E73</f>
        <v>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303434488</v>
      </c>
      <c r="D75" s="204">
        <f>+D14</f>
        <v>309096761</v>
      </c>
      <c r="E75" s="204">
        <f>+E14</f>
        <v>326572641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8971611</v>
      </c>
      <c r="D76" s="204">
        <v>9500967</v>
      </c>
      <c r="E76" s="204">
        <v>8906755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294462877</v>
      </c>
      <c r="D77" s="204">
        <f>+D75-D76</f>
        <v>299595794</v>
      </c>
      <c r="E77" s="204">
        <f>+E75-E76</f>
        <v>317665886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32.434204004098135</v>
      </c>
      <c r="D79" s="203">
        <f>IF((D84/365)=0,0,+D83/(D84/365))</f>
        <v>44.492873126540097</v>
      </c>
      <c r="E79" s="203">
        <f>IF((E84/365)=0,0,+E83/(E84/365))</f>
        <v>36.851016968722604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31531470</v>
      </c>
      <c r="D80" s="212">
        <v>37017707</v>
      </c>
      <c r="E80" s="212">
        <v>33443105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6740571</v>
      </c>
      <c r="D82" s="212">
        <v>2713960</v>
      </c>
      <c r="E82" s="212">
        <v>4491574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24790899</v>
      </c>
      <c r="D83" s="212">
        <f>+D80+D81-D82</f>
        <v>34303747</v>
      </c>
      <c r="E83" s="212">
        <f>+E80+E81-E82</f>
        <v>28951531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278985670</v>
      </c>
      <c r="D84" s="204">
        <f>+D11</f>
        <v>281412882</v>
      </c>
      <c r="E84" s="204">
        <f>+E11</f>
        <v>286757590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48.920782160258526</v>
      </c>
      <c r="D86" s="203">
        <f>IF((D90/365)=0,0,+D87/(D90/365))</f>
        <v>47.844819293424393</v>
      </c>
      <c r="E86" s="203">
        <f>IF((E90/365)=0,0,+E87/(E90/365))</f>
        <v>56.099605294098211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39466724</v>
      </c>
      <c r="D87" s="76">
        <f>+D69</f>
        <v>39271525</v>
      </c>
      <c r="E87" s="76">
        <f>+E69</f>
        <v>48824468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303434488</v>
      </c>
      <c r="D88" s="76">
        <f t="shared" si="0"/>
        <v>309096761</v>
      </c>
      <c r="E88" s="76">
        <f t="shared" si="0"/>
        <v>326572641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8971611</v>
      </c>
      <c r="D89" s="201">
        <f t="shared" si="0"/>
        <v>9500967</v>
      </c>
      <c r="E89" s="201">
        <f t="shared" si="0"/>
        <v>8906755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294462877</v>
      </c>
      <c r="D90" s="76">
        <f>+D88-D89</f>
        <v>299595794</v>
      </c>
      <c r="E90" s="76">
        <f>+E88-E89</f>
        <v>317665886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58.783314533111543</v>
      </c>
      <c r="D94" s="214">
        <f>IF(D96=0,0,(D95/D96)*100)</f>
        <v>62.408511343527728</v>
      </c>
      <c r="E94" s="214">
        <f>IF(E96=0,0,(E95/E96)*100)</f>
        <v>55.429974577573546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68041405</v>
      </c>
      <c r="D95" s="76">
        <f>+D32</f>
        <v>79674598</v>
      </c>
      <c r="E95" s="76">
        <f>+E32</f>
        <v>71355029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115749521</v>
      </c>
      <c r="D96" s="76">
        <v>127666237</v>
      </c>
      <c r="E96" s="76">
        <v>128730041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22.744337736266125</v>
      </c>
      <c r="D98" s="214">
        <f>IF(D104=0,0,(D101/D104)*100)</f>
        <v>53.815480809568761</v>
      </c>
      <c r="E98" s="214">
        <f>IF(E104=0,0,(E101/E104)*100)</f>
        <v>1.2026470006800689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4834</v>
      </c>
      <c r="D99" s="76">
        <f>+D28</f>
        <v>11633193</v>
      </c>
      <c r="E99" s="76">
        <f>+E28</f>
        <v>-8319569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8971611</v>
      </c>
      <c r="D100" s="201">
        <f>+D76</f>
        <v>9500967</v>
      </c>
      <c r="E100" s="201">
        <f>+E76</f>
        <v>8906755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8976445</v>
      </c>
      <c r="D101" s="76">
        <f>+D99+D100</f>
        <v>21134160</v>
      </c>
      <c r="E101" s="76">
        <f>+E99+E100</f>
        <v>587186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39466724</v>
      </c>
      <c r="D102" s="204">
        <f>+D69</f>
        <v>39271525</v>
      </c>
      <c r="E102" s="204">
        <f>+E69</f>
        <v>48824468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0</v>
      </c>
      <c r="D103" s="216">
        <v>0</v>
      </c>
      <c r="E103" s="216">
        <v>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39466724</v>
      </c>
      <c r="D104" s="204">
        <f>+D102+D103</f>
        <v>39271525</v>
      </c>
      <c r="E104" s="204">
        <f>+E102+E103</f>
        <v>48824468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0</v>
      </c>
      <c r="D106" s="214">
        <f>IF(D109=0,0,(D107/D109)*100)</f>
        <v>0</v>
      </c>
      <c r="E106" s="214">
        <f>IF(E109=0,0,(E107/E109)*100)</f>
        <v>0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0</v>
      </c>
      <c r="D107" s="204">
        <f>+D103</f>
        <v>0</v>
      </c>
      <c r="E107" s="204">
        <f>+E103</f>
        <v>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68041405</v>
      </c>
      <c r="D108" s="204">
        <f>+D32</f>
        <v>79674598</v>
      </c>
      <c r="E108" s="204">
        <f>+E32</f>
        <v>71355029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68041405</v>
      </c>
      <c r="D109" s="204">
        <f>+D107+D108</f>
        <v>79674598</v>
      </c>
      <c r="E109" s="204">
        <f>+E107+E108</f>
        <v>71355029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5.989742672390947</v>
      </c>
      <c r="D111" s="214">
        <f>IF((+D113+D115)=0,0,((+D112+D113+D114)/(+D113+D115)))</f>
        <v>23.824412679803398</v>
      </c>
      <c r="E111" s="214">
        <f>IF((+E113+E115)=0,0,((+E112+E113+E114)/(+E113+E115)))</f>
        <v>587186</v>
      </c>
    </row>
    <row r="112" spans="1:6" ht="24" customHeight="1" x14ac:dyDescent="0.2">
      <c r="A112" s="85">
        <v>16</v>
      </c>
      <c r="B112" s="75" t="s">
        <v>373</v>
      </c>
      <c r="C112" s="218">
        <f>+C17</f>
        <v>4834</v>
      </c>
      <c r="D112" s="76">
        <f>+D17</f>
        <v>11633193</v>
      </c>
      <c r="E112" s="76">
        <f>+E17</f>
        <v>-8319569</v>
      </c>
    </row>
    <row r="113" spans="1:8" ht="24" customHeight="1" x14ac:dyDescent="0.2">
      <c r="A113" s="85">
        <v>17</v>
      </c>
      <c r="B113" s="75" t="s">
        <v>88</v>
      </c>
      <c r="C113" s="218">
        <v>64233</v>
      </c>
      <c r="D113" s="76">
        <v>0</v>
      </c>
      <c r="E113" s="76">
        <v>0</v>
      </c>
    </row>
    <row r="114" spans="1:8" ht="24" customHeight="1" x14ac:dyDescent="0.2">
      <c r="A114" s="85">
        <v>18</v>
      </c>
      <c r="B114" s="75" t="s">
        <v>374</v>
      </c>
      <c r="C114" s="218">
        <v>8971611</v>
      </c>
      <c r="D114" s="76">
        <v>9500967</v>
      </c>
      <c r="E114" s="76">
        <v>8906755</v>
      </c>
    </row>
    <row r="115" spans="1:8" ht="24" customHeight="1" x14ac:dyDescent="0.2">
      <c r="A115" s="85">
        <v>19</v>
      </c>
      <c r="B115" s="75" t="s">
        <v>104</v>
      </c>
      <c r="C115" s="218">
        <v>1445127</v>
      </c>
      <c r="D115" s="76">
        <v>887080</v>
      </c>
      <c r="E115" s="76">
        <v>1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16.412782163649315</v>
      </c>
      <c r="D119" s="214">
        <f>IF(+D121=0,0,(+D120)/(+D121))</f>
        <v>16.182934221327155</v>
      </c>
      <c r="E119" s="214">
        <f>IF(+E121=0,0,(+E120)/(+E121))</f>
        <v>15.629903932464742</v>
      </c>
    </row>
    <row r="120" spans="1:8" ht="24" customHeight="1" x14ac:dyDescent="0.2">
      <c r="A120" s="85">
        <v>21</v>
      </c>
      <c r="B120" s="75" t="s">
        <v>378</v>
      </c>
      <c r="C120" s="218">
        <v>147249097</v>
      </c>
      <c r="D120" s="218">
        <v>153753524</v>
      </c>
      <c r="E120" s="218">
        <v>139211725</v>
      </c>
    </row>
    <row r="121" spans="1:8" ht="24" customHeight="1" x14ac:dyDescent="0.2">
      <c r="A121" s="85">
        <v>22</v>
      </c>
      <c r="B121" s="75" t="s">
        <v>374</v>
      </c>
      <c r="C121" s="218">
        <v>8971611</v>
      </c>
      <c r="D121" s="218">
        <v>9500967</v>
      </c>
      <c r="E121" s="218">
        <v>8906755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40295</v>
      </c>
      <c r="D124" s="218">
        <v>40704</v>
      </c>
      <c r="E124" s="218">
        <v>38723</v>
      </c>
    </row>
    <row r="125" spans="1:8" ht="24" customHeight="1" x14ac:dyDescent="0.2">
      <c r="A125" s="85">
        <v>2</v>
      </c>
      <c r="B125" s="75" t="s">
        <v>381</v>
      </c>
      <c r="C125" s="218">
        <v>8374</v>
      </c>
      <c r="D125" s="218">
        <v>8578</v>
      </c>
      <c r="E125" s="218">
        <v>8669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4.8119178409362311</v>
      </c>
      <c r="D126" s="219">
        <f>IF(D125=0,0,D124/D125)</f>
        <v>4.7451620424341341</v>
      </c>
      <c r="E126" s="219">
        <f>IF(E125=0,0,E124/E125)</f>
        <v>4.4668358518860307</v>
      </c>
    </row>
    <row r="127" spans="1:8" ht="24" customHeight="1" x14ac:dyDescent="0.2">
      <c r="A127" s="85">
        <v>4</v>
      </c>
      <c r="B127" s="75" t="s">
        <v>383</v>
      </c>
      <c r="C127" s="218">
        <v>184</v>
      </c>
      <c r="D127" s="218">
        <v>184</v>
      </c>
      <c r="E127" s="218">
        <v>184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234</v>
      </c>
      <c r="E128" s="218">
        <v>234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234</v>
      </c>
      <c r="D129" s="218">
        <v>234</v>
      </c>
      <c r="E129" s="218">
        <v>234</v>
      </c>
    </row>
    <row r="130" spans="1:7" ht="24" customHeight="1" x14ac:dyDescent="0.2">
      <c r="A130" s="85">
        <v>7</v>
      </c>
      <c r="B130" s="75" t="s">
        <v>386</v>
      </c>
      <c r="C130" s="193">
        <v>0.59989999999999999</v>
      </c>
      <c r="D130" s="193">
        <v>0.60599999999999998</v>
      </c>
      <c r="E130" s="193">
        <v>0.57650000000000001</v>
      </c>
    </row>
    <row r="131" spans="1:7" ht="24" customHeight="1" x14ac:dyDescent="0.2">
      <c r="A131" s="85">
        <v>8</v>
      </c>
      <c r="B131" s="75" t="s">
        <v>387</v>
      </c>
      <c r="C131" s="193">
        <v>0.47170000000000001</v>
      </c>
      <c r="D131" s="193">
        <v>0.47649999999999998</v>
      </c>
      <c r="E131" s="193">
        <v>0.45329999999999998</v>
      </c>
    </row>
    <row r="132" spans="1:7" ht="24" customHeight="1" x14ac:dyDescent="0.2">
      <c r="A132" s="85">
        <v>9</v>
      </c>
      <c r="B132" s="75" t="s">
        <v>388</v>
      </c>
      <c r="C132" s="219">
        <v>1544.9</v>
      </c>
      <c r="D132" s="219">
        <v>1592.7</v>
      </c>
      <c r="E132" s="219">
        <v>1303.8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0.3774509473515944</v>
      </c>
      <c r="D135" s="227">
        <f>IF(D149=0,0,D143/D149)</f>
        <v>0.37534780100890741</v>
      </c>
      <c r="E135" s="227">
        <f>IF(E149=0,0,E143/E149)</f>
        <v>0.36126669210666468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0.42028174008315494</v>
      </c>
      <c r="D136" s="227">
        <f>IF(D149=0,0,D144/D149)</f>
        <v>0.40095186517139586</v>
      </c>
      <c r="E136" s="227">
        <f>IF(E149=0,0,E144/E149)</f>
        <v>0.41137614423143143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0.19072299903634252</v>
      </c>
      <c r="D137" s="227">
        <f>IF(D149=0,0,D145/D149)</f>
        <v>0.21174029536921796</v>
      </c>
      <c r="E137" s="227">
        <f>IF(E149=0,0,E145/E149)</f>
        <v>0.21637357256251905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4.0900405702312795E-4</v>
      </c>
      <c r="D138" s="227">
        <f>IF(D149=0,0,D146/D149)</f>
        <v>3.2154800174834578E-4</v>
      </c>
      <c r="E138" s="227">
        <f>IF(E149=0,0,E146/E149)</f>
        <v>3.6323031788439879E-4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6.3617579526753518E-3</v>
      </c>
      <c r="D139" s="227">
        <f>IF(D149=0,0,D147/D149)</f>
        <v>7.4093685243001904E-3</v>
      </c>
      <c r="E139" s="227">
        <f>IF(E149=0,0,E147/E149)</f>
        <v>5.9520445742978125E-3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4.7735515192096215E-3</v>
      </c>
      <c r="D140" s="227">
        <f>IF(D149=0,0,D148/D149)</f>
        <v>4.229121924430263E-3</v>
      </c>
      <c r="E140" s="227">
        <f>IF(E149=0,0,E148/E149)</f>
        <v>4.6683162072026115E-3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201989625</v>
      </c>
      <c r="D143" s="229">
        <f>+D46-D147</f>
        <v>225517084</v>
      </c>
      <c r="E143" s="229">
        <f>+E46-E147</f>
        <v>241091573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224910155</v>
      </c>
      <c r="D144" s="229">
        <f>+D51</f>
        <v>240900560</v>
      </c>
      <c r="E144" s="229">
        <f>+E51</f>
        <v>274532150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102063771</v>
      </c>
      <c r="D145" s="229">
        <f>+D55</f>
        <v>127218153</v>
      </c>
      <c r="E145" s="229">
        <f>+E55</f>
        <v>144397051</v>
      </c>
    </row>
    <row r="146" spans="1:7" ht="20.100000000000001" customHeight="1" x14ac:dyDescent="0.2">
      <c r="A146" s="226">
        <v>11</v>
      </c>
      <c r="B146" s="224" t="s">
        <v>400</v>
      </c>
      <c r="C146" s="228">
        <v>218875</v>
      </c>
      <c r="D146" s="229">
        <v>193193</v>
      </c>
      <c r="E146" s="229">
        <v>242402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3404440</v>
      </c>
      <c r="D147" s="229">
        <f>+D47</f>
        <v>4451709</v>
      </c>
      <c r="E147" s="229">
        <f>+E47</f>
        <v>3972101</v>
      </c>
    </row>
    <row r="148" spans="1:7" ht="20.100000000000001" customHeight="1" x14ac:dyDescent="0.2">
      <c r="A148" s="226">
        <v>13</v>
      </c>
      <c r="B148" s="224" t="s">
        <v>402</v>
      </c>
      <c r="C148" s="230">
        <v>2554525</v>
      </c>
      <c r="D148" s="229">
        <v>2540948</v>
      </c>
      <c r="E148" s="229">
        <v>3115404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535141391</v>
      </c>
      <c r="D149" s="229">
        <f>SUM(D143:D148)</f>
        <v>600821647</v>
      </c>
      <c r="E149" s="229">
        <f>SUM(E143:E148)</f>
        <v>667350681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0.47192734172701661</v>
      </c>
      <c r="D152" s="227">
        <f>IF(D166=0,0,D160/D166)</f>
        <v>0.44376331214041426</v>
      </c>
      <c r="E152" s="227">
        <f>IF(E166=0,0,E160/E166)</f>
        <v>0.42672127042995017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0.38057438392347215</v>
      </c>
      <c r="D153" s="227">
        <f>IF(D166=0,0,D161/D166)</f>
        <v>0.38057053527590196</v>
      </c>
      <c r="E153" s="227">
        <f>IF(E166=0,0,E161/E166)</f>
        <v>0.38973312521961123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0.14112921063175327</v>
      </c>
      <c r="D154" s="227">
        <f>IF(D166=0,0,D162/D166)</f>
        <v>0.16725839113312088</v>
      </c>
      <c r="E154" s="227">
        <f>IF(E166=0,0,E162/E166)</f>
        <v>0.17657467003498004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4.7299590670010094E-4</v>
      </c>
      <c r="D155" s="227">
        <f>IF(D166=0,0,D163/D166)</f>
        <v>3.8266020258008823E-4</v>
      </c>
      <c r="E155" s="227">
        <f>IF(E166=0,0,E163/E166)</f>
        <v>2.7599513777938324E-4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2.2729563970450444E-3</v>
      </c>
      <c r="D156" s="227">
        <f>IF(D166=0,0,D164/D166)</f>
        <v>4.5459515044507697E-3</v>
      </c>
      <c r="E156" s="227">
        <f>IF(E166=0,0,E164/E166)</f>
        <v>2.807786086640869E-3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3.6231114140128557E-3</v>
      </c>
      <c r="D157" s="227">
        <f>IF(D166=0,0,D165/D166)</f>
        <v>3.4791497435320501E-3</v>
      </c>
      <c r="E157" s="227">
        <f>IF(E166=0,0,E165/E166)</f>
        <v>3.8871530910383058E-3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125234437</v>
      </c>
      <c r="D160" s="229">
        <f>+D44-D164</f>
        <v>124969416</v>
      </c>
      <c r="E160" s="229">
        <f>+E44-E164</f>
        <v>125345397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100992281</v>
      </c>
      <c r="D161" s="229">
        <f>+D50</f>
        <v>107173523</v>
      </c>
      <c r="E161" s="229">
        <f>+E50</f>
        <v>114480474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37451183</v>
      </c>
      <c r="D162" s="229">
        <f>+D54</f>
        <v>47102099</v>
      </c>
      <c r="E162" s="229">
        <f>+E54</f>
        <v>51867164</v>
      </c>
    </row>
    <row r="163" spans="1:6" ht="20.100000000000001" customHeight="1" x14ac:dyDescent="0.2">
      <c r="A163" s="226">
        <v>11</v>
      </c>
      <c r="B163" s="224" t="s">
        <v>415</v>
      </c>
      <c r="C163" s="228">
        <v>125518</v>
      </c>
      <c r="D163" s="229">
        <v>107762</v>
      </c>
      <c r="E163" s="229">
        <v>81071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603170</v>
      </c>
      <c r="D164" s="229">
        <f>+D45</f>
        <v>1280198</v>
      </c>
      <c r="E164" s="229">
        <f>+E45</f>
        <v>824761</v>
      </c>
    </row>
    <row r="165" spans="1:6" ht="20.100000000000001" customHeight="1" x14ac:dyDescent="0.2">
      <c r="A165" s="226">
        <v>13</v>
      </c>
      <c r="B165" s="224" t="s">
        <v>417</v>
      </c>
      <c r="C165" s="230">
        <v>961458</v>
      </c>
      <c r="D165" s="229">
        <v>979773</v>
      </c>
      <c r="E165" s="229">
        <v>1141815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265368047</v>
      </c>
      <c r="D166" s="229">
        <f>SUM(D160:D165)</f>
        <v>281612771</v>
      </c>
      <c r="E166" s="229">
        <f>SUM(E160:E165)</f>
        <v>293740682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2580</v>
      </c>
      <c r="D169" s="218">
        <v>2552</v>
      </c>
      <c r="E169" s="218">
        <v>2508</v>
      </c>
    </row>
    <row r="170" spans="1:6" ht="20.100000000000001" customHeight="1" x14ac:dyDescent="0.2">
      <c r="A170" s="226">
        <v>2</v>
      </c>
      <c r="B170" s="224" t="s">
        <v>420</v>
      </c>
      <c r="C170" s="218">
        <v>3700</v>
      </c>
      <c r="D170" s="218">
        <v>3822</v>
      </c>
      <c r="E170" s="218">
        <v>3846</v>
      </c>
    </row>
    <row r="171" spans="1:6" ht="20.100000000000001" customHeight="1" x14ac:dyDescent="0.2">
      <c r="A171" s="226">
        <v>3</v>
      </c>
      <c r="B171" s="224" t="s">
        <v>421</v>
      </c>
      <c r="C171" s="218">
        <v>2053</v>
      </c>
      <c r="D171" s="218">
        <v>2169</v>
      </c>
      <c r="E171" s="218">
        <v>2277</v>
      </c>
    </row>
    <row r="172" spans="1:6" ht="20.100000000000001" customHeight="1" x14ac:dyDescent="0.2">
      <c r="A172" s="226">
        <v>4</v>
      </c>
      <c r="B172" s="224" t="s">
        <v>422</v>
      </c>
      <c r="C172" s="218">
        <v>2050</v>
      </c>
      <c r="D172" s="218">
        <v>2162</v>
      </c>
      <c r="E172" s="218">
        <v>2272</v>
      </c>
    </row>
    <row r="173" spans="1:6" ht="20.100000000000001" customHeight="1" x14ac:dyDescent="0.2">
      <c r="A173" s="226">
        <v>5</v>
      </c>
      <c r="B173" s="224" t="s">
        <v>423</v>
      </c>
      <c r="C173" s="218">
        <v>3</v>
      </c>
      <c r="D173" s="218">
        <v>7</v>
      </c>
      <c r="E173" s="218">
        <v>5</v>
      </c>
    </row>
    <row r="174" spans="1:6" ht="20.100000000000001" customHeight="1" x14ac:dyDescent="0.2">
      <c r="A174" s="226">
        <v>6</v>
      </c>
      <c r="B174" s="224" t="s">
        <v>424</v>
      </c>
      <c r="C174" s="218">
        <v>41</v>
      </c>
      <c r="D174" s="218">
        <v>35</v>
      </c>
      <c r="E174" s="218">
        <v>38</v>
      </c>
    </row>
    <row r="175" spans="1:6" ht="20.100000000000001" customHeight="1" x14ac:dyDescent="0.2">
      <c r="A175" s="226">
        <v>7</v>
      </c>
      <c r="B175" s="224" t="s">
        <v>425</v>
      </c>
      <c r="C175" s="218">
        <v>39</v>
      </c>
      <c r="D175" s="218">
        <v>35</v>
      </c>
      <c r="E175" s="218">
        <v>45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8374</v>
      </c>
      <c r="D176" s="218">
        <f>+D169+D170+D171+D174</f>
        <v>8578</v>
      </c>
      <c r="E176" s="218">
        <f>+E169+E170+E171+E174</f>
        <v>8669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1.3021</v>
      </c>
      <c r="D179" s="231">
        <v>1.3512</v>
      </c>
      <c r="E179" s="231">
        <v>1.3150999999999999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1.5752999999999999</v>
      </c>
      <c r="D180" s="231">
        <v>1.583</v>
      </c>
      <c r="E180" s="231">
        <v>1.6133999999999999</v>
      </c>
    </row>
    <row r="181" spans="1:6" ht="20.100000000000001" customHeight="1" x14ac:dyDescent="0.2">
      <c r="A181" s="226">
        <v>3</v>
      </c>
      <c r="B181" s="224" t="s">
        <v>421</v>
      </c>
      <c r="C181" s="231">
        <v>1.2922640000000001</v>
      </c>
      <c r="D181" s="231">
        <v>1.378047</v>
      </c>
      <c r="E181" s="231">
        <v>1.37588</v>
      </c>
    </row>
    <row r="182" spans="1:6" ht="20.100000000000001" customHeight="1" x14ac:dyDescent="0.2">
      <c r="A182" s="226">
        <v>4</v>
      </c>
      <c r="B182" s="224" t="s">
        <v>422</v>
      </c>
      <c r="C182" s="231">
        <v>1.2915000000000001</v>
      </c>
      <c r="D182" s="231">
        <v>1.3789</v>
      </c>
      <c r="E182" s="231">
        <v>1.3765000000000001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1.8149</v>
      </c>
      <c r="D183" s="231">
        <v>1.1148</v>
      </c>
      <c r="E183" s="231">
        <v>1.0943000000000001</v>
      </c>
    </row>
    <row r="184" spans="1:6" ht="20.100000000000001" customHeight="1" x14ac:dyDescent="0.2">
      <c r="A184" s="226">
        <v>6</v>
      </c>
      <c r="B184" s="224" t="s">
        <v>424</v>
      </c>
      <c r="C184" s="231">
        <v>1.226</v>
      </c>
      <c r="D184" s="231">
        <v>1.0742</v>
      </c>
      <c r="E184" s="231">
        <v>1.5103</v>
      </c>
    </row>
    <row r="185" spans="1:6" ht="20.100000000000001" customHeight="1" x14ac:dyDescent="0.2">
      <c r="A185" s="226">
        <v>7</v>
      </c>
      <c r="B185" s="224" t="s">
        <v>425</v>
      </c>
      <c r="C185" s="231">
        <v>0.99029999999999996</v>
      </c>
      <c r="D185" s="231">
        <v>0.93859999999999999</v>
      </c>
      <c r="E185" s="231">
        <v>1.0604</v>
      </c>
    </row>
    <row r="186" spans="1:6" ht="20.100000000000001" customHeight="1" x14ac:dyDescent="0.2">
      <c r="A186" s="226">
        <v>8</v>
      </c>
      <c r="B186" s="224" t="s">
        <v>429</v>
      </c>
      <c r="C186" s="231">
        <v>1.4200269999999999</v>
      </c>
      <c r="D186" s="231">
        <v>1.4601379999999999</v>
      </c>
      <c r="E186" s="231">
        <v>1.4642599999999999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4877</v>
      </c>
      <c r="D189" s="218">
        <v>5131</v>
      </c>
      <c r="E189" s="218">
        <v>5251</v>
      </c>
    </row>
    <row r="190" spans="1:6" ht="20.100000000000001" customHeight="1" x14ac:dyDescent="0.2">
      <c r="A190" s="226">
        <v>2</v>
      </c>
      <c r="B190" s="224" t="s">
        <v>433</v>
      </c>
      <c r="C190" s="218">
        <v>24430</v>
      </c>
      <c r="D190" s="218">
        <v>23640</v>
      </c>
      <c r="E190" s="218">
        <v>24390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29307</v>
      </c>
      <c r="D191" s="218">
        <f>+D190+D189</f>
        <v>28771</v>
      </c>
      <c r="E191" s="218">
        <f>+E190+E189</f>
        <v>29641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FILING&amp;RJOHN DEMPSEY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1895051</v>
      </c>
      <c r="D14" s="258">
        <v>1735784</v>
      </c>
      <c r="E14" s="258">
        <f t="shared" ref="E14:E24" si="0">D14-C14</f>
        <v>-159267</v>
      </c>
      <c r="F14" s="259">
        <f t="shared" ref="F14:F24" si="1">IF(C14=0,0,E14/C14)</f>
        <v>-8.4043648429514561E-2</v>
      </c>
    </row>
    <row r="15" spans="1:7" ht="20.25" customHeight="1" x14ac:dyDescent="0.3">
      <c r="A15" s="256">
        <v>2</v>
      </c>
      <c r="B15" s="257" t="s">
        <v>442</v>
      </c>
      <c r="C15" s="258">
        <v>1019414</v>
      </c>
      <c r="D15" s="258">
        <v>739313</v>
      </c>
      <c r="E15" s="258">
        <f t="shared" si="0"/>
        <v>-280101</v>
      </c>
      <c r="F15" s="259">
        <f t="shared" si="1"/>
        <v>-0.2747666796806793</v>
      </c>
    </row>
    <row r="16" spans="1:7" ht="20.25" customHeight="1" x14ac:dyDescent="0.3">
      <c r="A16" s="256">
        <v>3</v>
      </c>
      <c r="B16" s="257" t="s">
        <v>443</v>
      </c>
      <c r="C16" s="258">
        <v>2304765</v>
      </c>
      <c r="D16" s="258">
        <v>1242525</v>
      </c>
      <c r="E16" s="258">
        <f t="shared" si="0"/>
        <v>-1062240</v>
      </c>
      <c r="F16" s="259">
        <f t="shared" si="1"/>
        <v>-0.46088863723633428</v>
      </c>
    </row>
    <row r="17" spans="1:6" ht="20.25" customHeight="1" x14ac:dyDescent="0.3">
      <c r="A17" s="256">
        <v>4</v>
      </c>
      <c r="B17" s="257" t="s">
        <v>444</v>
      </c>
      <c r="C17" s="258">
        <v>928004</v>
      </c>
      <c r="D17" s="258">
        <v>425037</v>
      </c>
      <c r="E17" s="258">
        <f t="shared" si="0"/>
        <v>-502967</v>
      </c>
      <c r="F17" s="259">
        <f t="shared" si="1"/>
        <v>-0.54198796556911388</v>
      </c>
    </row>
    <row r="18" spans="1:6" ht="20.25" customHeight="1" x14ac:dyDescent="0.3">
      <c r="A18" s="256">
        <v>5</v>
      </c>
      <c r="B18" s="257" t="s">
        <v>381</v>
      </c>
      <c r="C18" s="260">
        <v>57</v>
      </c>
      <c r="D18" s="260">
        <v>42</v>
      </c>
      <c r="E18" s="260">
        <f t="shared" si="0"/>
        <v>-15</v>
      </c>
      <c r="F18" s="259">
        <f t="shared" si="1"/>
        <v>-0.26315789473684209</v>
      </c>
    </row>
    <row r="19" spans="1:6" ht="20.25" customHeight="1" x14ac:dyDescent="0.3">
      <c r="A19" s="256">
        <v>6</v>
      </c>
      <c r="B19" s="257" t="s">
        <v>380</v>
      </c>
      <c r="C19" s="260">
        <v>252</v>
      </c>
      <c r="D19" s="260">
        <v>202</v>
      </c>
      <c r="E19" s="260">
        <f t="shared" si="0"/>
        <v>-50</v>
      </c>
      <c r="F19" s="259">
        <f t="shared" si="1"/>
        <v>-0.1984126984126984</v>
      </c>
    </row>
    <row r="20" spans="1:6" ht="20.25" customHeight="1" x14ac:dyDescent="0.3">
      <c r="A20" s="256">
        <v>7</v>
      </c>
      <c r="B20" s="257" t="s">
        <v>445</v>
      </c>
      <c r="C20" s="260">
        <v>2059</v>
      </c>
      <c r="D20" s="260">
        <v>1302</v>
      </c>
      <c r="E20" s="260">
        <f t="shared" si="0"/>
        <v>-757</v>
      </c>
      <c r="F20" s="259">
        <f t="shared" si="1"/>
        <v>-0.36765420106847985</v>
      </c>
    </row>
    <row r="21" spans="1:6" ht="20.25" customHeight="1" x14ac:dyDescent="0.3">
      <c r="A21" s="256">
        <v>8</v>
      </c>
      <c r="B21" s="257" t="s">
        <v>446</v>
      </c>
      <c r="C21" s="260">
        <v>94</v>
      </c>
      <c r="D21" s="260">
        <v>70</v>
      </c>
      <c r="E21" s="260">
        <f t="shared" si="0"/>
        <v>-24</v>
      </c>
      <c r="F21" s="259">
        <f t="shared" si="1"/>
        <v>-0.25531914893617019</v>
      </c>
    </row>
    <row r="22" spans="1:6" ht="20.25" customHeight="1" x14ac:dyDescent="0.3">
      <c r="A22" s="256">
        <v>9</v>
      </c>
      <c r="B22" s="257" t="s">
        <v>447</v>
      </c>
      <c r="C22" s="260">
        <v>41</v>
      </c>
      <c r="D22" s="260">
        <v>33</v>
      </c>
      <c r="E22" s="260">
        <f t="shared" si="0"/>
        <v>-8</v>
      </c>
      <c r="F22" s="259">
        <f t="shared" si="1"/>
        <v>-0.1951219512195122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4199816</v>
      </c>
      <c r="D23" s="263">
        <f>+D14+D16</f>
        <v>2978309</v>
      </c>
      <c r="E23" s="263">
        <f t="shared" si="0"/>
        <v>-1221507</v>
      </c>
      <c r="F23" s="264">
        <f t="shared" si="1"/>
        <v>-0.29084774190107376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1947418</v>
      </c>
      <c r="D24" s="263">
        <f>+D15+D17</f>
        <v>1164350</v>
      </c>
      <c r="E24" s="263">
        <f t="shared" si="0"/>
        <v>-783068</v>
      </c>
      <c r="F24" s="264">
        <f t="shared" si="1"/>
        <v>-0.40210576260463854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6950075</v>
      </c>
      <c r="D40" s="258">
        <v>11499698</v>
      </c>
      <c r="E40" s="258">
        <f t="shared" ref="E40:E50" si="4">D40-C40</f>
        <v>4549623</v>
      </c>
      <c r="F40" s="259">
        <f t="shared" ref="F40:F50" si="5">IF(C40=0,0,E40/C40)</f>
        <v>0.65461495019837912</v>
      </c>
    </row>
    <row r="41" spans="1:6" ht="20.25" customHeight="1" x14ac:dyDescent="0.3">
      <c r="A41" s="256">
        <v>2</v>
      </c>
      <c r="B41" s="257" t="s">
        <v>442</v>
      </c>
      <c r="C41" s="258">
        <v>3520936</v>
      </c>
      <c r="D41" s="258">
        <v>5694453</v>
      </c>
      <c r="E41" s="258">
        <f t="shared" si="4"/>
        <v>2173517</v>
      </c>
      <c r="F41" s="259">
        <f t="shared" si="5"/>
        <v>0.61731227150962131</v>
      </c>
    </row>
    <row r="42" spans="1:6" ht="20.25" customHeight="1" x14ac:dyDescent="0.3">
      <c r="A42" s="256">
        <v>3</v>
      </c>
      <c r="B42" s="257" t="s">
        <v>443</v>
      </c>
      <c r="C42" s="258">
        <v>8633767</v>
      </c>
      <c r="D42" s="258">
        <v>8743564</v>
      </c>
      <c r="E42" s="258">
        <f t="shared" si="4"/>
        <v>109797</v>
      </c>
      <c r="F42" s="259">
        <f t="shared" si="5"/>
        <v>1.2717160423717712E-2</v>
      </c>
    </row>
    <row r="43" spans="1:6" ht="20.25" customHeight="1" x14ac:dyDescent="0.3">
      <c r="A43" s="256">
        <v>4</v>
      </c>
      <c r="B43" s="257" t="s">
        <v>444</v>
      </c>
      <c r="C43" s="258">
        <v>2645471</v>
      </c>
      <c r="D43" s="258">
        <v>2474614</v>
      </c>
      <c r="E43" s="258">
        <f t="shared" si="4"/>
        <v>-170857</v>
      </c>
      <c r="F43" s="259">
        <f t="shared" si="5"/>
        <v>-6.4584718562403443E-2</v>
      </c>
    </row>
    <row r="44" spans="1:6" ht="20.25" customHeight="1" x14ac:dyDescent="0.3">
      <c r="A44" s="256">
        <v>5</v>
      </c>
      <c r="B44" s="257" t="s">
        <v>381</v>
      </c>
      <c r="C44" s="260">
        <v>189</v>
      </c>
      <c r="D44" s="260">
        <v>254</v>
      </c>
      <c r="E44" s="260">
        <f t="shared" si="4"/>
        <v>65</v>
      </c>
      <c r="F44" s="259">
        <f t="shared" si="5"/>
        <v>0.3439153439153439</v>
      </c>
    </row>
    <row r="45" spans="1:6" ht="20.25" customHeight="1" x14ac:dyDescent="0.3">
      <c r="A45" s="256">
        <v>6</v>
      </c>
      <c r="B45" s="257" t="s">
        <v>380</v>
      </c>
      <c r="C45" s="260">
        <v>808</v>
      </c>
      <c r="D45" s="260">
        <v>1283</v>
      </c>
      <c r="E45" s="260">
        <f t="shared" si="4"/>
        <v>475</v>
      </c>
      <c r="F45" s="259">
        <f t="shared" si="5"/>
        <v>0.58787128712871284</v>
      </c>
    </row>
    <row r="46" spans="1:6" ht="20.25" customHeight="1" x14ac:dyDescent="0.3">
      <c r="A46" s="256">
        <v>7</v>
      </c>
      <c r="B46" s="257" t="s">
        <v>445</v>
      </c>
      <c r="C46" s="260">
        <v>6964</v>
      </c>
      <c r="D46" s="260">
        <v>7548</v>
      </c>
      <c r="E46" s="260">
        <f t="shared" si="4"/>
        <v>584</v>
      </c>
      <c r="F46" s="259">
        <f t="shared" si="5"/>
        <v>8.3859850660539914E-2</v>
      </c>
    </row>
    <row r="47" spans="1:6" ht="20.25" customHeight="1" x14ac:dyDescent="0.3">
      <c r="A47" s="256">
        <v>8</v>
      </c>
      <c r="B47" s="257" t="s">
        <v>446</v>
      </c>
      <c r="C47" s="260">
        <v>266</v>
      </c>
      <c r="D47" s="260">
        <v>301</v>
      </c>
      <c r="E47" s="260">
        <f t="shared" si="4"/>
        <v>35</v>
      </c>
      <c r="F47" s="259">
        <f t="shared" si="5"/>
        <v>0.13157894736842105</v>
      </c>
    </row>
    <row r="48" spans="1:6" ht="20.25" customHeight="1" x14ac:dyDescent="0.3">
      <c r="A48" s="256">
        <v>9</v>
      </c>
      <c r="B48" s="257" t="s">
        <v>447</v>
      </c>
      <c r="C48" s="260">
        <v>120</v>
      </c>
      <c r="D48" s="260">
        <v>160</v>
      </c>
      <c r="E48" s="260">
        <f t="shared" si="4"/>
        <v>40</v>
      </c>
      <c r="F48" s="259">
        <f t="shared" si="5"/>
        <v>0.33333333333333331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15583842</v>
      </c>
      <c r="D49" s="263">
        <f>+D40+D42</f>
        <v>20243262</v>
      </c>
      <c r="E49" s="263">
        <f t="shared" si="4"/>
        <v>4659420</v>
      </c>
      <c r="F49" s="264">
        <f t="shared" si="5"/>
        <v>0.29899045434367211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6166407</v>
      </c>
      <c r="D50" s="263">
        <f>+D41+D43</f>
        <v>8169067</v>
      </c>
      <c r="E50" s="263">
        <f t="shared" si="4"/>
        <v>2002660</v>
      </c>
      <c r="F50" s="264">
        <f t="shared" si="5"/>
        <v>0.32476935109862193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2296194</v>
      </c>
      <c r="D66" s="258">
        <v>1386823</v>
      </c>
      <c r="E66" s="258">
        <f t="shared" ref="E66:E76" si="8">D66-C66</f>
        <v>-909371</v>
      </c>
      <c r="F66" s="259">
        <f t="shared" ref="F66:F76" si="9">IF(C66=0,0,E66/C66)</f>
        <v>-0.39603404590378688</v>
      </c>
    </row>
    <row r="67" spans="1:6" ht="20.25" customHeight="1" x14ac:dyDescent="0.3">
      <c r="A67" s="256">
        <v>2</v>
      </c>
      <c r="B67" s="257" t="s">
        <v>442</v>
      </c>
      <c r="C67" s="258">
        <v>1045618</v>
      </c>
      <c r="D67" s="258">
        <v>714034</v>
      </c>
      <c r="E67" s="258">
        <f t="shared" si="8"/>
        <v>-331584</v>
      </c>
      <c r="F67" s="259">
        <f t="shared" si="9"/>
        <v>-0.3171177236811149</v>
      </c>
    </row>
    <row r="68" spans="1:6" ht="20.25" customHeight="1" x14ac:dyDescent="0.3">
      <c r="A68" s="256">
        <v>3</v>
      </c>
      <c r="B68" s="257" t="s">
        <v>443</v>
      </c>
      <c r="C68" s="258">
        <v>1238650</v>
      </c>
      <c r="D68" s="258">
        <v>1311046</v>
      </c>
      <c r="E68" s="258">
        <f t="shared" si="8"/>
        <v>72396</v>
      </c>
      <c r="F68" s="259">
        <f t="shared" si="9"/>
        <v>5.8447503330238564E-2</v>
      </c>
    </row>
    <row r="69" spans="1:6" ht="20.25" customHeight="1" x14ac:dyDescent="0.3">
      <c r="A69" s="256">
        <v>4</v>
      </c>
      <c r="B69" s="257" t="s">
        <v>444</v>
      </c>
      <c r="C69" s="258">
        <v>355388</v>
      </c>
      <c r="D69" s="258">
        <v>351863</v>
      </c>
      <c r="E69" s="258">
        <f t="shared" si="8"/>
        <v>-3525</v>
      </c>
      <c r="F69" s="259">
        <f t="shared" si="9"/>
        <v>-9.9187367046720768E-3</v>
      </c>
    </row>
    <row r="70" spans="1:6" ht="20.25" customHeight="1" x14ac:dyDescent="0.3">
      <c r="A70" s="256">
        <v>5</v>
      </c>
      <c r="B70" s="257" t="s">
        <v>381</v>
      </c>
      <c r="C70" s="260">
        <v>56</v>
      </c>
      <c r="D70" s="260">
        <v>38</v>
      </c>
      <c r="E70" s="260">
        <f t="shared" si="8"/>
        <v>-18</v>
      </c>
      <c r="F70" s="259">
        <f t="shared" si="9"/>
        <v>-0.32142857142857145</v>
      </c>
    </row>
    <row r="71" spans="1:6" ht="20.25" customHeight="1" x14ac:dyDescent="0.3">
      <c r="A71" s="256">
        <v>6</v>
      </c>
      <c r="B71" s="257" t="s">
        <v>380</v>
      </c>
      <c r="C71" s="260">
        <v>410</v>
      </c>
      <c r="D71" s="260">
        <v>169</v>
      </c>
      <c r="E71" s="260">
        <f t="shared" si="8"/>
        <v>-241</v>
      </c>
      <c r="F71" s="259">
        <f t="shared" si="9"/>
        <v>-0.58780487804878045</v>
      </c>
    </row>
    <row r="72" spans="1:6" ht="20.25" customHeight="1" x14ac:dyDescent="0.3">
      <c r="A72" s="256">
        <v>7</v>
      </c>
      <c r="B72" s="257" t="s">
        <v>445</v>
      </c>
      <c r="C72" s="260">
        <v>942</v>
      </c>
      <c r="D72" s="260">
        <v>929</v>
      </c>
      <c r="E72" s="260">
        <f t="shared" si="8"/>
        <v>-13</v>
      </c>
      <c r="F72" s="259">
        <f t="shared" si="9"/>
        <v>-1.3800424628450107E-2</v>
      </c>
    </row>
    <row r="73" spans="1:6" ht="20.25" customHeight="1" x14ac:dyDescent="0.3">
      <c r="A73" s="256">
        <v>8</v>
      </c>
      <c r="B73" s="257" t="s">
        <v>446</v>
      </c>
      <c r="C73" s="260">
        <v>91</v>
      </c>
      <c r="D73" s="260">
        <v>98</v>
      </c>
      <c r="E73" s="260">
        <f t="shared" si="8"/>
        <v>7</v>
      </c>
      <c r="F73" s="259">
        <f t="shared" si="9"/>
        <v>7.6923076923076927E-2</v>
      </c>
    </row>
    <row r="74" spans="1:6" ht="20.25" customHeight="1" x14ac:dyDescent="0.3">
      <c r="A74" s="256">
        <v>9</v>
      </c>
      <c r="B74" s="257" t="s">
        <v>447</v>
      </c>
      <c r="C74" s="260">
        <v>41</v>
      </c>
      <c r="D74" s="260">
        <v>27</v>
      </c>
      <c r="E74" s="260">
        <f t="shared" si="8"/>
        <v>-14</v>
      </c>
      <c r="F74" s="259">
        <f t="shared" si="9"/>
        <v>-0.34146341463414637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3534844</v>
      </c>
      <c r="D75" s="263">
        <f>+D66+D68</f>
        <v>2697869</v>
      </c>
      <c r="E75" s="263">
        <f t="shared" si="8"/>
        <v>-836975</v>
      </c>
      <c r="F75" s="264">
        <f t="shared" si="9"/>
        <v>-0.23677848301084856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1401006</v>
      </c>
      <c r="D76" s="263">
        <f>+D67+D69</f>
        <v>1065897</v>
      </c>
      <c r="E76" s="263">
        <f t="shared" si="8"/>
        <v>-335109</v>
      </c>
      <c r="F76" s="264">
        <f t="shared" si="9"/>
        <v>-0.23919169511051344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1</v>
      </c>
      <c r="D85" s="260">
        <v>0</v>
      </c>
      <c r="E85" s="260">
        <f t="shared" si="10"/>
        <v>-1</v>
      </c>
      <c r="F85" s="259">
        <f t="shared" si="11"/>
        <v>-1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7742178</v>
      </c>
      <c r="D92" s="258">
        <v>11497225</v>
      </c>
      <c r="E92" s="258">
        <f t="shared" ref="E92:E102" si="12">D92-C92</f>
        <v>3755047</v>
      </c>
      <c r="F92" s="259">
        <f t="shared" ref="F92:F102" si="13">IF(C92=0,0,E92/C92)</f>
        <v>0.48501171117481412</v>
      </c>
    </row>
    <row r="93" spans="1:6" ht="20.25" customHeight="1" x14ac:dyDescent="0.3">
      <c r="A93" s="256">
        <v>2</v>
      </c>
      <c r="B93" s="257" t="s">
        <v>442</v>
      </c>
      <c r="C93" s="258">
        <v>3886232</v>
      </c>
      <c r="D93" s="258">
        <v>5178235</v>
      </c>
      <c r="E93" s="258">
        <f t="shared" si="12"/>
        <v>1292003</v>
      </c>
      <c r="F93" s="259">
        <f t="shared" si="13"/>
        <v>0.3324564771223128</v>
      </c>
    </row>
    <row r="94" spans="1:6" ht="20.25" customHeight="1" x14ac:dyDescent="0.3">
      <c r="A94" s="256">
        <v>3</v>
      </c>
      <c r="B94" s="257" t="s">
        <v>443</v>
      </c>
      <c r="C94" s="258">
        <v>8561066</v>
      </c>
      <c r="D94" s="258">
        <v>10866424</v>
      </c>
      <c r="E94" s="258">
        <f t="shared" si="12"/>
        <v>2305358</v>
      </c>
      <c r="F94" s="259">
        <f t="shared" si="13"/>
        <v>0.26928398869953812</v>
      </c>
    </row>
    <row r="95" spans="1:6" ht="20.25" customHeight="1" x14ac:dyDescent="0.3">
      <c r="A95" s="256">
        <v>4</v>
      </c>
      <c r="B95" s="257" t="s">
        <v>444</v>
      </c>
      <c r="C95" s="258">
        <v>2379135</v>
      </c>
      <c r="D95" s="258">
        <v>2722071</v>
      </c>
      <c r="E95" s="258">
        <f t="shared" si="12"/>
        <v>342936</v>
      </c>
      <c r="F95" s="259">
        <f t="shared" si="13"/>
        <v>0.14414314446216797</v>
      </c>
    </row>
    <row r="96" spans="1:6" ht="20.25" customHeight="1" x14ac:dyDescent="0.3">
      <c r="A96" s="256">
        <v>5</v>
      </c>
      <c r="B96" s="257" t="s">
        <v>381</v>
      </c>
      <c r="C96" s="260">
        <v>251</v>
      </c>
      <c r="D96" s="260">
        <v>300</v>
      </c>
      <c r="E96" s="260">
        <f t="shared" si="12"/>
        <v>49</v>
      </c>
      <c r="F96" s="259">
        <f t="shared" si="13"/>
        <v>0.19521912350597609</v>
      </c>
    </row>
    <row r="97" spans="1:6" ht="20.25" customHeight="1" x14ac:dyDescent="0.3">
      <c r="A97" s="256">
        <v>6</v>
      </c>
      <c r="B97" s="257" t="s">
        <v>380</v>
      </c>
      <c r="C97" s="260">
        <v>1157</v>
      </c>
      <c r="D97" s="260">
        <v>1421</v>
      </c>
      <c r="E97" s="260">
        <f t="shared" si="12"/>
        <v>264</v>
      </c>
      <c r="F97" s="259">
        <f t="shared" si="13"/>
        <v>0.22817631806395852</v>
      </c>
    </row>
    <row r="98" spans="1:6" ht="20.25" customHeight="1" x14ac:dyDescent="0.3">
      <c r="A98" s="256">
        <v>7</v>
      </c>
      <c r="B98" s="257" t="s">
        <v>445</v>
      </c>
      <c r="C98" s="260">
        <v>7512</v>
      </c>
      <c r="D98" s="260">
        <v>8322</v>
      </c>
      <c r="E98" s="260">
        <f t="shared" si="12"/>
        <v>810</v>
      </c>
      <c r="F98" s="259">
        <f t="shared" si="13"/>
        <v>0.10782747603833866</v>
      </c>
    </row>
    <row r="99" spans="1:6" ht="20.25" customHeight="1" x14ac:dyDescent="0.3">
      <c r="A99" s="256">
        <v>8</v>
      </c>
      <c r="B99" s="257" t="s">
        <v>446</v>
      </c>
      <c r="C99" s="260">
        <v>431</v>
      </c>
      <c r="D99" s="260">
        <v>454</v>
      </c>
      <c r="E99" s="260">
        <f t="shared" si="12"/>
        <v>23</v>
      </c>
      <c r="F99" s="259">
        <f t="shared" si="13"/>
        <v>5.336426914153132E-2</v>
      </c>
    </row>
    <row r="100" spans="1:6" ht="20.25" customHeight="1" x14ac:dyDescent="0.3">
      <c r="A100" s="256">
        <v>9</v>
      </c>
      <c r="B100" s="257" t="s">
        <v>447</v>
      </c>
      <c r="C100" s="260">
        <v>167</v>
      </c>
      <c r="D100" s="260">
        <v>212</v>
      </c>
      <c r="E100" s="260">
        <f t="shared" si="12"/>
        <v>45</v>
      </c>
      <c r="F100" s="259">
        <f t="shared" si="13"/>
        <v>0.26946107784431139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16303244</v>
      </c>
      <c r="D101" s="263">
        <f>+D92+D94</f>
        <v>22363649</v>
      </c>
      <c r="E101" s="263">
        <f t="shared" si="12"/>
        <v>6060405</v>
      </c>
      <c r="F101" s="264">
        <f t="shared" si="13"/>
        <v>0.37173000661708799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6265367</v>
      </c>
      <c r="D102" s="263">
        <f>+D93+D95</f>
        <v>7900306</v>
      </c>
      <c r="E102" s="263">
        <f t="shared" si="12"/>
        <v>1634939</v>
      </c>
      <c r="F102" s="264">
        <f t="shared" si="13"/>
        <v>0.26094864035897658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450954</v>
      </c>
      <c r="D105" s="258">
        <v>600609</v>
      </c>
      <c r="E105" s="258">
        <f t="shared" ref="E105:E115" si="14">D105-C105</f>
        <v>149655</v>
      </c>
      <c r="F105" s="259">
        <f t="shared" ref="F105:F115" si="15">IF(C105=0,0,E105/C105)</f>
        <v>0.33186311685892572</v>
      </c>
    </row>
    <row r="106" spans="1:6" ht="20.25" customHeight="1" x14ac:dyDescent="0.3">
      <c r="A106" s="256">
        <v>2</v>
      </c>
      <c r="B106" s="257" t="s">
        <v>442</v>
      </c>
      <c r="C106" s="258">
        <v>267795</v>
      </c>
      <c r="D106" s="258">
        <v>253690</v>
      </c>
      <c r="E106" s="258">
        <f t="shared" si="14"/>
        <v>-14105</v>
      </c>
      <c r="F106" s="259">
        <f t="shared" si="15"/>
        <v>-5.2670886312291117E-2</v>
      </c>
    </row>
    <row r="107" spans="1:6" ht="20.25" customHeight="1" x14ac:dyDescent="0.3">
      <c r="A107" s="256">
        <v>3</v>
      </c>
      <c r="B107" s="257" t="s">
        <v>443</v>
      </c>
      <c r="C107" s="258">
        <v>151284</v>
      </c>
      <c r="D107" s="258">
        <v>203511</v>
      </c>
      <c r="E107" s="258">
        <f t="shared" si="14"/>
        <v>52227</v>
      </c>
      <c r="F107" s="259">
        <f t="shared" si="15"/>
        <v>0.34522487506940591</v>
      </c>
    </row>
    <row r="108" spans="1:6" ht="20.25" customHeight="1" x14ac:dyDescent="0.3">
      <c r="A108" s="256">
        <v>4</v>
      </c>
      <c r="B108" s="257" t="s">
        <v>444</v>
      </c>
      <c r="C108" s="258">
        <v>48128</v>
      </c>
      <c r="D108" s="258">
        <v>54774</v>
      </c>
      <c r="E108" s="258">
        <f t="shared" si="14"/>
        <v>6646</v>
      </c>
      <c r="F108" s="259">
        <f t="shared" si="15"/>
        <v>0.13809009308510639</v>
      </c>
    </row>
    <row r="109" spans="1:6" ht="20.25" customHeight="1" x14ac:dyDescent="0.3">
      <c r="A109" s="256">
        <v>5</v>
      </c>
      <c r="B109" s="257" t="s">
        <v>381</v>
      </c>
      <c r="C109" s="260">
        <v>16</v>
      </c>
      <c r="D109" s="260">
        <v>18</v>
      </c>
      <c r="E109" s="260">
        <f t="shared" si="14"/>
        <v>2</v>
      </c>
      <c r="F109" s="259">
        <f t="shared" si="15"/>
        <v>0.125</v>
      </c>
    </row>
    <row r="110" spans="1:6" ht="20.25" customHeight="1" x14ac:dyDescent="0.3">
      <c r="A110" s="256">
        <v>6</v>
      </c>
      <c r="B110" s="257" t="s">
        <v>380</v>
      </c>
      <c r="C110" s="260">
        <v>83</v>
      </c>
      <c r="D110" s="260">
        <v>109</v>
      </c>
      <c r="E110" s="260">
        <f t="shared" si="14"/>
        <v>26</v>
      </c>
      <c r="F110" s="259">
        <f t="shared" si="15"/>
        <v>0.31325301204819278</v>
      </c>
    </row>
    <row r="111" spans="1:6" ht="20.25" customHeight="1" x14ac:dyDescent="0.3">
      <c r="A111" s="256">
        <v>7</v>
      </c>
      <c r="B111" s="257" t="s">
        <v>445</v>
      </c>
      <c r="C111" s="260">
        <v>99</v>
      </c>
      <c r="D111" s="260">
        <v>90</v>
      </c>
      <c r="E111" s="260">
        <f t="shared" si="14"/>
        <v>-9</v>
      </c>
      <c r="F111" s="259">
        <f t="shared" si="15"/>
        <v>-9.0909090909090912E-2</v>
      </c>
    </row>
    <row r="112" spans="1:6" ht="20.25" customHeight="1" x14ac:dyDescent="0.3">
      <c r="A112" s="256">
        <v>8</v>
      </c>
      <c r="B112" s="257" t="s">
        <v>446</v>
      </c>
      <c r="C112" s="260">
        <v>43</v>
      </c>
      <c r="D112" s="260">
        <v>66</v>
      </c>
      <c r="E112" s="260">
        <f t="shared" si="14"/>
        <v>23</v>
      </c>
      <c r="F112" s="259">
        <f t="shared" si="15"/>
        <v>0.53488372093023251</v>
      </c>
    </row>
    <row r="113" spans="1:6" ht="20.25" customHeight="1" x14ac:dyDescent="0.3">
      <c r="A113" s="256">
        <v>9</v>
      </c>
      <c r="B113" s="257" t="s">
        <v>447</v>
      </c>
      <c r="C113" s="260">
        <v>14</v>
      </c>
      <c r="D113" s="260">
        <v>17</v>
      </c>
      <c r="E113" s="260">
        <f t="shared" si="14"/>
        <v>3</v>
      </c>
      <c r="F113" s="259">
        <f t="shared" si="15"/>
        <v>0.21428571428571427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602238</v>
      </c>
      <c r="D114" s="263">
        <f>+D105+D107</f>
        <v>804120</v>
      </c>
      <c r="E114" s="263">
        <f t="shared" si="14"/>
        <v>201882</v>
      </c>
      <c r="F114" s="264">
        <f t="shared" si="15"/>
        <v>0.33521963077720102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315923</v>
      </c>
      <c r="D115" s="263">
        <f>+D106+D108</f>
        <v>308464</v>
      </c>
      <c r="E115" s="263">
        <f t="shared" si="14"/>
        <v>-7459</v>
      </c>
      <c r="F115" s="264">
        <f t="shared" si="15"/>
        <v>-2.3610183494079253E-2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4647448</v>
      </c>
      <c r="D118" s="258">
        <v>5777345</v>
      </c>
      <c r="E118" s="258">
        <f t="shared" ref="E118:E128" si="16">D118-C118</f>
        <v>1129897</v>
      </c>
      <c r="F118" s="259">
        <f t="shared" ref="F118:F128" si="17">IF(C118=0,0,E118/C118)</f>
        <v>0.24312203170428157</v>
      </c>
    </row>
    <row r="119" spans="1:6" ht="20.25" customHeight="1" x14ac:dyDescent="0.3">
      <c r="A119" s="256">
        <v>2</v>
      </c>
      <c r="B119" s="257" t="s">
        <v>442</v>
      </c>
      <c r="C119" s="258">
        <v>2291986</v>
      </c>
      <c r="D119" s="258">
        <v>2729816</v>
      </c>
      <c r="E119" s="258">
        <f t="shared" si="16"/>
        <v>437830</v>
      </c>
      <c r="F119" s="259">
        <f t="shared" si="17"/>
        <v>0.19102647223848662</v>
      </c>
    </row>
    <row r="120" spans="1:6" ht="20.25" customHeight="1" x14ac:dyDescent="0.3">
      <c r="A120" s="256">
        <v>3</v>
      </c>
      <c r="B120" s="257" t="s">
        <v>443</v>
      </c>
      <c r="C120" s="258">
        <v>4533626</v>
      </c>
      <c r="D120" s="258">
        <v>5631661</v>
      </c>
      <c r="E120" s="258">
        <f t="shared" si="16"/>
        <v>1098035</v>
      </c>
      <c r="F120" s="259">
        <f t="shared" si="17"/>
        <v>0.24219796692537054</v>
      </c>
    </row>
    <row r="121" spans="1:6" ht="20.25" customHeight="1" x14ac:dyDescent="0.3">
      <c r="A121" s="256">
        <v>4</v>
      </c>
      <c r="B121" s="257" t="s">
        <v>444</v>
      </c>
      <c r="C121" s="258">
        <v>1324185</v>
      </c>
      <c r="D121" s="258">
        <v>1577848</v>
      </c>
      <c r="E121" s="258">
        <f t="shared" si="16"/>
        <v>253663</v>
      </c>
      <c r="F121" s="259">
        <f t="shared" si="17"/>
        <v>0.19156160204201075</v>
      </c>
    </row>
    <row r="122" spans="1:6" ht="20.25" customHeight="1" x14ac:dyDescent="0.3">
      <c r="A122" s="256">
        <v>5</v>
      </c>
      <c r="B122" s="257" t="s">
        <v>381</v>
      </c>
      <c r="C122" s="260">
        <v>139</v>
      </c>
      <c r="D122" s="260">
        <v>125</v>
      </c>
      <c r="E122" s="260">
        <f t="shared" si="16"/>
        <v>-14</v>
      </c>
      <c r="F122" s="259">
        <f t="shared" si="17"/>
        <v>-0.10071942446043165</v>
      </c>
    </row>
    <row r="123" spans="1:6" ht="20.25" customHeight="1" x14ac:dyDescent="0.3">
      <c r="A123" s="256">
        <v>6</v>
      </c>
      <c r="B123" s="257" t="s">
        <v>380</v>
      </c>
      <c r="C123" s="260">
        <v>654</v>
      </c>
      <c r="D123" s="260">
        <v>686</v>
      </c>
      <c r="E123" s="260">
        <f t="shared" si="16"/>
        <v>32</v>
      </c>
      <c r="F123" s="259">
        <f t="shared" si="17"/>
        <v>4.8929663608562692E-2</v>
      </c>
    </row>
    <row r="124" spans="1:6" ht="20.25" customHeight="1" x14ac:dyDescent="0.3">
      <c r="A124" s="256">
        <v>7</v>
      </c>
      <c r="B124" s="257" t="s">
        <v>445</v>
      </c>
      <c r="C124" s="260">
        <v>4010</v>
      </c>
      <c r="D124" s="260">
        <v>4841</v>
      </c>
      <c r="E124" s="260">
        <f t="shared" si="16"/>
        <v>831</v>
      </c>
      <c r="F124" s="259">
        <f t="shared" si="17"/>
        <v>0.20723192019950123</v>
      </c>
    </row>
    <row r="125" spans="1:6" ht="20.25" customHeight="1" x14ac:dyDescent="0.3">
      <c r="A125" s="256">
        <v>8</v>
      </c>
      <c r="B125" s="257" t="s">
        <v>446</v>
      </c>
      <c r="C125" s="260">
        <v>172</v>
      </c>
      <c r="D125" s="260">
        <v>273</v>
      </c>
      <c r="E125" s="260">
        <f t="shared" si="16"/>
        <v>101</v>
      </c>
      <c r="F125" s="259">
        <f t="shared" si="17"/>
        <v>0.58720930232558144</v>
      </c>
    </row>
    <row r="126" spans="1:6" ht="20.25" customHeight="1" x14ac:dyDescent="0.3">
      <c r="A126" s="256">
        <v>9</v>
      </c>
      <c r="B126" s="257" t="s">
        <v>447</v>
      </c>
      <c r="C126" s="260">
        <v>106</v>
      </c>
      <c r="D126" s="260">
        <v>91</v>
      </c>
      <c r="E126" s="260">
        <f t="shared" si="16"/>
        <v>-15</v>
      </c>
      <c r="F126" s="259">
        <f t="shared" si="17"/>
        <v>-0.14150943396226415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9181074</v>
      </c>
      <c r="D127" s="263">
        <f>+D118+D120</f>
        <v>11409006</v>
      </c>
      <c r="E127" s="263">
        <f t="shared" si="16"/>
        <v>2227932</v>
      </c>
      <c r="F127" s="264">
        <f t="shared" si="17"/>
        <v>0.2426657273430102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3616171</v>
      </c>
      <c r="D128" s="263">
        <f>+D119+D121</f>
        <v>4307664</v>
      </c>
      <c r="E128" s="263">
        <f t="shared" si="16"/>
        <v>691493</v>
      </c>
      <c r="F128" s="264">
        <f t="shared" si="17"/>
        <v>0.19122242836414538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29047</v>
      </c>
      <c r="D131" s="258">
        <v>97018</v>
      </c>
      <c r="E131" s="258">
        <f t="shared" ref="E131:E141" si="18">D131-C131</f>
        <v>67971</v>
      </c>
      <c r="F131" s="259">
        <f t="shared" ref="F131:F141" si="19">IF(C131=0,0,E131/C131)</f>
        <v>2.3400351155024617</v>
      </c>
    </row>
    <row r="132" spans="1:6" ht="20.25" customHeight="1" x14ac:dyDescent="0.3">
      <c r="A132" s="256">
        <v>2</v>
      </c>
      <c r="B132" s="257" t="s">
        <v>442</v>
      </c>
      <c r="C132" s="258">
        <v>10836</v>
      </c>
      <c r="D132" s="258">
        <v>65588</v>
      </c>
      <c r="E132" s="258">
        <f t="shared" si="18"/>
        <v>54752</v>
      </c>
      <c r="F132" s="259">
        <f t="shared" si="19"/>
        <v>5.0527870062753788</v>
      </c>
    </row>
    <row r="133" spans="1:6" ht="20.25" customHeight="1" x14ac:dyDescent="0.3">
      <c r="A133" s="256">
        <v>3</v>
      </c>
      <c r="B133" s="257" t="s">
        <v>443</v>
      </c>
      <c r="C133" s="258">
        <v>31193</v>
      </c>
      <c r="D133" s="258">
        <v>42251</v>
      </c>
      <c r="E133" s="258">
        <f t="shared" si="18"/>
        <v>11058</v>
      </c>
      <c r="F133" s="259">
        <f t="shared" si="19"/>
        <v>0.35450261276568462</v>
      </c>
    </row>
    <row r="134" spans="1:6" ht="20.25" customHeight="1" x14ac:dyDescent="0.3">
      <c r="A134" s="256">
        <v>4</v>
      </c>
      <c r="B134" s="257" t="s">
        <v>444</v>
      </c>
      <c r="C134" s="258">
        <v>8848</v>
      </c>
      <c r="D134" s="258">
        <v>14673</v>
      </c>
      <c r="E134" s="258">
        <f t="shared" si="18"/>
        <v>5825</v>
      </c>
      <c r="F134" s="259">
        <f t="shared" si="19"/>
        <v>0.6583408679927667</v>
      </c>
    </row>
    <row r="135" spans="1:6" ht="20.25" customHeight="1" x14ac:dyDescent="0.3">
      <c r="A135" s="256">
        <v>5</v>
      </c>
      <c r="B135" s="257" t="s">
        <v>381</v>
      </c>
      <c r="C135" s="260">
        <v>1</v>
      </c>
      <c r="D135" s="260">
        <v>5</v>
      </c>
      <c r="E135" s="260">
        <f t="shared" si="18"/>
        <v>4</v>
      </c>
      <c r="F135" s="259">
        <f t="shared" si="19"/>
        <v>4</v>
      </c>
    </row>
    <row r="136" spans="1:6" ht="20.25" customHeight="1" x14ac:dyDescent="0.3">
      <c r="A136" s="256">
        <v>6</v>
      </c>
      <c r="B136" s="257" t="s">
        <v>380</v>
      </c>
      <c r="C136" s="260">
        <v>5</v>
      </c>
      <c r="D136" s="260">
        <v>17</v>
      </c>
      <c r="E136" s="260">
        <f t="shared" si="18"/>
        <v>12</v>
      </c>
      <c r="F136" s="259">
        <f t="shared" si="19"/>
        <v>2.4</v>
      </c>
    </row>
    <row r="137" spans="1:6" ht="20.25" customHeight="1" x14ac:dyDescent="0.3">
      <c r="A137" s="256">
        <v>7</v>
      </c>
      <c r="B137" s="257" t="s">
        <v>445</v>
      </c>
      <c r="C137" s="260">
        <v>44</v>
      </c>
      <c r="D137" s="260">
        <v>39</v>
      </c>
      <c r="E137" s="260">
        <f t="shared" si="18"/>
        <v>-5</v>
      </c>
      <c r="F137" s="259">
        <f t="shared" si="19"/>
        <v>-0.11363636363636363</v>
      </c>
    </row>
    <row r="138" spans="1:6" ht="20.25" customHeight="1" x14ac:dyDescent="0.3">
      <c r="A138" s="256">
        <v>8</v>
      </c>
      <c r="B138" s="257" t="s">
        <v>446</v>
      </c>
      <c r="C138" s="260">
        <v>6</v>
      </c>
      <c r="D138" s="260">
        <v>3</v>
      </c>
      <c r="E138" s="260">
        <f t="shared" si="18"/>
        <v>-3</v>
      </c>
      <c r="F138" s="259">
        <f t="shared" si="19"/>
        <v>-0.5</v>
      </c>
    </row>
    <row r="139" spans="1:6" ht="20.25" customHeight="1" x14ac:dyDescent="0.3">
      <c r="A139" s="256">
        <v>9</v>
      </c>
      <c r="B139" s="257" t="s">
        <v>447</v>
      </c>
      <c r="C139" s="260">
        <v>1</v>
      </c>
      <c r="D139" s="260">
        <v>5</v>
      </c>
      <c r="E139" s="260">
        <f t="shared" si="18"/>
        <v>4</v>
      </c>
      <c r="F139" s="259">
        <f t="shared" si="19"/>
        <v>4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60240</v>
      </c>
      <c r="D140" s="263">
        <f>+D131+D133</f>
        <v>139269</v>
      </c>
      <c r="E140" s="263">
        <f t="shared" si="18"/>
        <v>79029</v>
      </c>
      <c r="F140" s="264">
        <f t="shared" si="19"/>
        <v>1.311902390438247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19684</v>
      </c>
      <c r="D141" s="263">
        <f>+D132+D134</f>
        <v>80261</v>
      </c>
      <c r="E141" s="263">
        <f t="shared" si="18"/>
        <v>60577</v>
      </c>
      <c r="F141" s="264">
        <f t="shared" si="19"/>
        <v>3.0774740906319855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460169</v>
      </c>
      <c r="D183" s="258">
        <v>298067</v>
      </c>
      <c r="E183" s="258">
        <f t="shared" ref="E183:E193" si="26">D183-C183</f>
        <v>-162102</v>
      </c>
      <c r="F183" s="259">
        <f t="shared" ref="F183:F193" si="27">IF(C183=0,0,E183/C183)</f>
        <v>-0.35226623262323192</v>
      </c>
    </row>
    <row r="184" spans="1:6" ht="20.25" customHeight="1" x14ac:dyDescent="0.3">
      <c r="A184" s="256">
        <v>2</v>
      </c>
      <c r="B184" s="257" t="s">
        <v>442</v>
      </c>
      <c r="C184" s="258">
        <v>236956</v>
      </c>
      <c r="D184" s="258">
        <v>201948</v>
      </c>
      <c r="E184" s="258">
        <f t="shared" si="26"/>
        <v>-35008</v>
      </c>
      <c r="F184" s="259">
        <f t="shared" si="27"/>
        <v>-0.14774050878644138</v>
      </c>
    </row>
    <row r="185" spans="1:6" ht="20.25" customHeight="1" x14ac:dyDescent="0.3">
      <c r="A185" s="256">
        <v>3</v>
      </c>
      <c r="B185" s="257" t="s">
        <v>443</v>
      </c>
      <c r="C185" s="258">
        <v>222880</v>
      </c>
      <c r="D185" s="258">
        <v>183123</v>
      </c>
      <c r="E185" s="258">
        <f t="shared" si="26"/>
        <v>-39757</v>
      </c>
      <c r="F185" s="259">
        <f t="shared" si="27"/>
        <v>-0.17837849964106245</v>
      </c>
    </row>
    <row r="186" spans="1:6" ht="20.25" customHeight="1" x14ac:dyDescent="0.3">
      <c r="A186" s="256">
        <v>4</v>
      </c>
      <c r="B186" s="257" t="s">
        <v>444</v>
      </c>
      <c r="C186" s="258">
        <v>63496</v>
      </c>
      <c r="D186" s="258">
        <v>46609</v>
      </c>
      <c r="E186" s="258">
        <f t="shared" si="26"/>
        <v>-16887</v>
      </c>
      <c r="F186" s="259">
        <f t="shared" si="27"/>
        <v>-0.26595376086682626</v>
      </c>
    </row>
    <row r="187" spans="1:6" ht="20.25" customHeight="1" x14ac:dyDescent="0.3">
      <c r="A187" s="256">
        <v>5</v>
      </c>
      <c r="B187" s="257" t="s">
        <v>381</v>
      </c>
      <c r="C187" s="260">
        <v>15</v>
      </c>
      <c r="D187" s="260">
        <v>13</v>
      </c>
      <c r="E187" s="260">
        <f t="shared" si="26"/>
        <v>-2</v>
      </c>
      <c r="F187" s="259">
        <f t="shared" si="27"/>
        <v>-0.13333333333333333</v>
      </c>
    </row>
    <row r="188" spans="1:6" ht="20.25" customHeight="1" x14ac:dyDescent="0.3">
      <c r="A188" s="256">
        <v>6</v>
      </c>
      <c r="B188" s="257" t="s">
        <v>380</v>
      </c>
      <c r="C188" s="260">
        <v>64</v>
      </c>
      <c r="D188" s="260">
        <v>41</v>
      </c>
      <c r="E188" s="260">
        <f t="shared" si="26"/>
        <v>-23</v>
      </c>
      <c r="F188" s="259">
        <f t="shared" si="27"/>
        <v>-0.359375</v>
      </c>
    </row>
    <row r="189" spans="1:6" ht="20.25" customHeight="1" x14ac:dyDescent="0.3">
      <c r="A189" s="256">
        <v>7</v>
      </c>
      <c r="B189" s="257" t="s">
        <v>445</v>
      </c>
      <c r="C189" s="260">
        <v>184</v>
      </c>
      <c r="D189" s="260">
        <v>121</v>
      </c>
      <c r="E189" s="260">
        <f t="shared" si="26"/>
        <v>-63</v>
      </c>
      <c r="F189" s="259">
        <f t="shared" si="27"/>
        <v>-0.34239130434782611</v>
      </c>
    </row>
    <row r="190" spans="1:6" ht="20.25" customHeight="1" x14ac:dyDescent="0.3">
      <c r="A190" s="256">
        <v>8</v>
      </c>
      <c r="B190" s="257" t="s">
        <v>446</v>
      </c>
      <c r="C190" s="260">
        <v>23</v>
      </c>
      <c r="D190" s="260">
        <v>17</v>
      </c>
      <c r="E190" s="260">
        <f t="shared" si="26"/>
        <v>-6</v>
      </c>
      <c r="F190" s="259">
        <f t="shared" si="27"/>
        <v>-0.2608695652173913</v>
      </c>
    </row>
    <row r="191" spans="1:6" ht="20.25" customHeight="1" x14ac:dyDescent="0.3">
      <c r="A191" s="256">
        <v>9</v>
      </c>
      <c r="B191" s="257" t="s">
        <v>447</v>
      </c>
      <c r="C191" s="260">
        <v>13</v>
      </c>
      <c r="D191" s="260">
        <v>12</v>
      </c>
      <c r="E191" s="260">
        <f t="shared" si="26"/>
        <v>-1</v>
      </c>
      <c r="F191" s="259">
        <f t="shared" si="27"/>
        <v>-7.6923076923076927E-2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683049</v>
      </c>
      <c r="D192" s="263">
        <f>+D183+D185</f>
        <v>481190</v>
      </c>
      <c r="E192" s="263">
        <f t="shared" si="26"/>
        <v>-201859</v>
      </c>
      <c r="F192" s="264">
        <f t="shared" si="27"/>
        <v>-0.29552638244108403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300452</v>
      </c>
      <c r="D193" s="263">
        <f>+D184+D186</f>
        <v>248557</v>
      </c>
      <c r="E193" s="263">
        <f t="shared" si="26"/>
        <v>-51895</v>
      </c>
      <c r="F193" s="264">
        <f t="shared" si="27"/>
        <v>-0.17272309720021833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24471116</v>
      </c>
      <c r="D198" s="263">
        <f t="shared" si="28"/>
        <v>32892569</v>
      </c>
      <c r="E198" s="263">
        <f t="shared" ref="E198:E208" si="29">D198-C198</f>
        <v>8421453</v>
      </c>
      <c r="F198" s="273">
        <f t="shared" ref="F198:F208" si="30">IF(C198=0,0,E198/C198)</f>
        <v>0.3441384937246017</v>
      </c>
    </row>
    <row r="199" spans="1:9" ht="20.25" customHeight="1" x14ac:dyDescent="0.3">
      <c r="A199" s="271"/>
      <c r="B199" s="272" t="s">
        <v>466</v>
      </c>
      <c r="C199" s="263">
        <f t="shared" si="28"/>
        <v>12279773</v>
      </c>
      <c r="D199" s="263">
        <f t="shared" si="28"/>
        <v>15577077</v>
      </c>
      <c r="E199" s="263">
        <f t="shared" si="29"/>
        <v>3297304</v>
      </c>
      <c r="F199" s="273">
        <f t="shared" si="30"/>
        <v>0.26851506131261549</v>
      </c>
    </row>
    <row r="200" spans="1:9" ht="20.25" customHeight="1" x14ac:dyDescent="0.3">
      <c r="A200" s="271"/>
      <c r="B200" s="272" t="s">
        <v>467</v>
      </c>
      <c r="C200" s="263">
        <f t="shared" si="28"/>
        <v>25677231</v>
      </c>
      <c r="D200" s="263">
        <f t="shared" si="28"/>
        <v>28224105</v>
      </c>
      <c r="E200" s="263">
        <f t="shared" si="29"/>
        <v>2546874</v>
      </c>
      <c r="F200" s="273">
        <f t="shared" si="30"/>
        <v>9.9188031606679078E-2</v>
      </c>
    </row>
    <row r="201" spans="1:9" ht="20.25" customHeight="1" x14ac:dyDescent="0.3">
      <c r="A201" s="271"/>
      <c r="B201" s="272" t="s">
        <v>468</v>
      </c>
      <c r="C201" s="263">
        <f t="shared" si="28"/>
        <v>7752655</v>
      </c>
      <c r="D201" s="263">
        <f t="shared" si="28"/>
        <v>7667489</v>
      </c>
      <c r="E201" s="263">
        <f t="shared" si="29"/>
        <v>-85166</v>
      </c>
      <c r="F201" s="273">
        <f t="shared" si="30"/>
        <v>-1.098539790562072E-2</v>
      </c>
    </row>
    <row r="202" spans="1:9" ht="20.25" customHeight="1" x14ac:dyDescent="0.3">
      <c r="A202" s="271"/>
      <c r="B202" s="272" t="s">
        <v>138</v>
      </c>
      <c r="C202" s="274">
        <f t="shared" si="28"/>
        <v>724</v>
      </c>
      <c r="D202" s="274">
        <f t="shared" si="28"/>
        <v>795</v>
      </c>
      <c r="E202" s="274">
        <f t="shared" si="29"/>
        <v>71</v>
      </c>
      <c r="F202" s="273">
        <f t="shared" si="30"/>
        <v>9.8066298342541436E-2</v>
      </c>
    </row>
    <row r="203" spans="1:9" ht="20.25" customHeight="1" x14ac:dyDescent="0.3">
      <c r="A203" s="271"/>
      <c r="B203" s="272" t="s">
        <v>140</v>
      </c>
      <c r="C203" s="274">
        <f t="shared" si="28"/>
        <v>3433</v>
      </c>
      <c r="D203" s="274">
        <f t="shared" si="28"/>
        <v>3928</v>
      </c>
      <c r="E203" s="274">
        <f t="shared" si="29"/>
        <v>495</v>
      </c>
      <c r="F203" s="273">
        <f t="shared" si="30"/>
        <v>0.14418875618992136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21815</v>
      </c>
      <c r="D204" s="274">
        <f t="shared" si="28"/>
        <v>23192</v>
      </c>
      <c r="E204" s="274">
        <f t="shared" si="29"/>
        <v>1377</v>
      </c>
      <c r="F204" s="273">
        <f t="shared" si="30"/>
        <v>6.3121705248682103E-2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1126</v>
      </c>
      <c r="D205" s="274">
        <f t="shared" si="28"/>
        <v>1282</v>
      </c>
      <c r="E205" s="274">
        <f t="shared" si="29"/>
        <v>156</v>
      </c>
      <c r="F205" s="273">
        <f t="shared" si="30"/>
        <v>0.13854351687388988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503</v>
      </c>
      <c r="D206" s="274">
        <f t="shared" si="28"/>
        <v>557</v>
      </c>
      <c r="E206" s="274">
        <f t="shared" si="29"/>
        <v>54</v>
      </c>
      <c r="F206" s="273">
        <f t="shared" si="30"/>
        <v>0.1073558648111332</v>
      </c>
    </row>
    <row r="207" spans="1:9" ht="20.25" customHeight="1" x14ac:dyDescent="0.3">
      <c r="A207" s="271"/>
      <c r="B207" s="262" t="s">
        <v>471</v>
      </c>
      <c r="C207" s="263">
        <f>+C198+C200</f>
        <v>50148347</v>
      </c>
      <c r="D207" s="263">
        <f>+D198+D200</f>
        <v>61116674</v>
      </c>
      <c r="E207" s="263">
        <f t="shared" si="29"/>
        <v>10968327</v>
      </c>
      <c r="F207" s="273">
        <f t="shared" si="30"/>
        <v>0.21871761795059766</v>
      </c>
    </row>
    <row r="208" spans="1:9" ht="20.25" customHeight="1" x14ac:dyDescent="0.3">
      <c r="A208" s="271"/>
      <c r="B208" s="262" t="s">
        <v>472</v>
      </c>
      <c r="C208" s="263">
        <f>+C199+C201</f>
        <v>20032428</v>
      </c>
      <c r="D208" s="263">
        <f>+D199+D201</f>
        <v>23244566</v>
      </c>
      <c r="E208" s="263">
        <f t="shared" si="29"/>
        <v>3212138</v>
      </c>
      <c r="F208" s="273">
        <f t="shared" si="30"/>
        <v>0.1603469135144277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FILING&amp;RJOHN DEMPSEY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FILING&amp;RJOHN DEMPSEY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46236000</v>
      </c>
      <c r="D13" s="22">
        <v>45897000</v>
      </c>
      <c r="E13" s="22">
        <f t="shared" ref="E13:E22" si="0">D13-C13</f>
        <v>-339000</v>
      </c>
      <c r="F13" s="306">
        <f t="shared" ref="F13:F22" si="1">IF(C13=0,0,E13/C13)</f>
        <v>-7.3319491305476256E-3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47513000</v>
      </c>
      <c r="D15" s="22">
        <v>43781000</v>
      </c>
      <c r="E15" s="22">
        <f t="shared" si="0"/>
        <v>-3732000</v>
      </c>
      <c r="F15" s="306">
        <f t="shared" si="1"/>
        <v>-7.8546923999747442E-2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3938000</v>
      </c>
      <c r="D17" s="22">
        <v>91429000</v>
      </c>
      <c r="E17" s="22">
        <f t="shared" si="0"/>
        <v>87491000</v>
      </c>
      <c r="F17" s="306">
        <f t="shared" si="1"/>
        <v>22.217115286947688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10478000</v>
      </c>
      <c r="D19" s="22">
        <v>9964000</v>
      </c>
      <c r="E19" s="22">
        <f t="shared" si="0"/>
        <v>-514000</v>
      </c>
      <c r="F19" s="306">
        <f t="shared" si="1"/>
        <v>-4.9055163199083797E-2</v>
      </c>
    </row>
    <row r="20" spans="1:11" ht="24" customHeight="1" x14ac:dyDescent="0.2">
      <c r="A20" s="304">
        <v>8</v>
      </c>
      <c r="B20" s="305" t="s">
        <v>23</v>
      </c>
      <c r="C20" s="22">
        <v>7192000</v>
      </c>
      <c r="D20" s="22">
        <v>6303000</v>
      </c>
      <c r="E20" s="22">
        <f t="shared" si="0"/>
        <v>-889000</v>
      </c>
      <c r="F20" s="306">
        <f t="shared" si="1"/>
        <v>-0.12360956618464961</v>
      </c>
    </row>
    <row r="21" spans="1:11" ht="24" customHeight="1" x14ac:dyDescent="0.2">
      <c r="A21" s="304">
        <v>9</v>
      </c>
      <c r="B21" s="305" t="s">
        <v>24</v>
      </c>
      <c r="C21" s="22">
        <v>77805000</v>
      </c>
      <c r="D21" s="22">
        <v>116217000</v>
      </c>
      <c r="E21" s="22">
        <f t="shared" si="0"/>
        <v>38412000</v>
      </c>
      <c r="F21" s="306">
        <f t="shared" si="1"/>
        <v>0.4936957779063042</v>
      </c>
    </row>
    <row r="22" spans="1:11" ht="24" customHeight="1" x14ac:dyDescent="0.25">
      <c r="A22" s="307"/>
      <c r="B22" s="308" t="s">
        <v>25</v>
      </c>
      <c r="C22" s="309">
        <f>SUM(C13:C21)</f>
        <v>193162000</v>
      </c>
      <c r="D22" s="309">
        <f>SUM(D13:D21)</f>
        <v>313591000</v>
      </c>
      <c r="E22" s="309">
        <f t="shared" si="0"/>
        <v>120429000</v>
      </c>
      <c r="F22" s="310">
        <f t="shared" si="1"/>
        <v>0.62346113624833044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0</v>
      </c>
      <c r="D25" s="22">
        <v>0</v>
      </c>
      <c r="E25" s="22">
        <f>D25-C25</f>
        <v>0</v>
      </c>
      <c r="F25" s="306">
        <f>IF(C25=0,0,E25/C25)</f>
        <v>0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0</v>
      </c>
      <c r="E28" s="22">
        <f>D28-C28</f>
        <v>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0</v>
      </c>
      <c r="D29" s="309">
        <f>SUM(D25:D28)</f>
        <v>0</v>
      </c>
      <c r="E29" s="309">
        <f>D29-C29</f>
        <v>0</v>
      </c>
      <c r="F29" s="310">
        <f>IF(C29=0,0,E29/C29)</f>
        <v>0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0</v>
      </c>
      <c r="D32" s="22">
        <v>0</v>
      </c>
      <c r="E32" s="22">
        <f>D32-C32</f>
        <v>0</v>
      </c>
      <c r="F32" s="306">
        <f>IF(C32=0,0,E32/C32)</f>
        <v>0</v>
      </c>
    </row>
    <row r="33" spans="1:8" ht="24" customHeight="1" x14ac:dyDescent="0.2">
      <c r="A33" s="304">
        <v>7</v>
      </c>
      <c r="B33" s="305" t="s">
        <v>35</v>
      </c>
      <c r="C33" s="22">
        <v>6729000</v>
      </c>
      <c r="D33" s="22">
        <v>7700000</v>
      </c>
      <c r="E33" s="22">
        <f>D33-C33</f>
        <v>971000</v>
      </c>
      <c r="F33" s="306">
        <f>IF(C33=0,0,E33/C33)</f>
        <v>0.14430078763560708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698642000</v>
      </c>
      <c r="D36" s="22">
        <v>712535000</v>
      </c>
      <c r="E36" s="22">
        <f>D36-C36</f>
        <v>13893000</v>
      </c>
      <c r="F36" s="306">
        <f>IF(C36=0,0,E36/C36)</f>
        <v>1.9885721156185858E-2</v>
      </c>
    </row>
    <row r="37" spans="1:8" ht="24" customHeight="1" x14ac:dyDescent="0.2">
      <c r="A37" s="304">
        <v>2</v>
      </c>
      <c r="B37" s="305" t="s">
        <v>39</v>
      </c>
      <c r="C37" s="22">
        <v>464385000</v>
      </c>
      <c r="D37" s="22">
        <v>456394000</v>
      </c>
      <c r="E37" s="22">
        <f>D37-C37</f>
        <v>-7991000</v>
      </c>
      <c r="F37" s="22">
        <f>IF(C37=0,0,E37/C37)</f>
        <v>-1.7207704813893644E-2</v>
      </c>
    </row>
    <row r="38" spans="1:8" ht="24" customHeight="1" x14ac:dyDescent="0.25">
      <c r="A38" s="307"/>
      <c r="B38" s="308" t="s">
        <v>40</v>
      </c>
      <c r="C38" s="309">
        <f>C36-C37</f>
        <v>234257000</v>
      </c>
      <c r="D38" s="309">
        <f>D36-D37</f>
        <v>256141000</v>
      </c>
      <c r="E38" s="309">
        <f>D38-C38</f>
        <v>21884000</v>
      </c>
      <c r="F38" s="310">
        <f>IF(C38=0,0,E38/C38)</f>
        <v>9.341876656834161E-2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163646000</v>
      </c>
      <c r="D40" s="22">
        <v>317555000</v>
      </c>
      <c r="E40" s="22">
        <f>D40-C40</f>
        <v>153909000</v>
      </c>
      <c r="F40" s="306">
        <f>IF(C40=0,0,E40/C40)</f>
        <v>0.94049961502267088</v>
      </c>
    </row>
    <row r="41" spans="1:8" ht="24" customHeight="1" x14ac:dyDescent="0.25">
      <c r="A41" s="307"/>
      <c r="B41" s="308" t="s">
        <v>42</v>
      </c>
      <c r="C41" s="309">
        <f>+C38+C40</f>
        <v>397903000</v>
      </c>
      <c r="D41" s="309">
        <f>+D38+D40</f>
        <v>573696000</v>
      </c>
      <c r="E41" s="309">
        <f>D41-C41</f>
        <v>175793000</v>
      </c>
      <c r="F41" s="310">
        <f>IF(C41=0,0,E41/C41)</f>
        <v>0.44179862931417957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597794000</v>
      </c>
      <c r="D43" s="309">
        <f>D22+D29+D31+D32+D33+D41</f>
        <v>894987000</v>
      </c>
      <c r="E43" s="309">
        <f>D43-C43</f>
        <v>297193000</v>
      </c>
      <c r="F43" s="310">
        <f>IF(C43=0,0,E43/C43)</f>
        <v>0.49714951973422283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39417000</v>
      </c>
      <c r="D49" s="22">
        <v>47895000</v>
      </c>
      <c r="E49" s="22">
        <f t="shared" ref="E49:E56" si="2">D49-C49</f>
        <v>8478000</v>
      </c>
      <c r="F49" s="306">
        <f t="shared" ref="F49:F56" si="3">IF(C49=0,0,E49/C49)</f>
        <v>0.21508486186163331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19285000</v>
      </c>
      <c r="D50" s="22">
        <v>21497000</v>
      </c>
      <c r="E50" s="22">
        <f t="shared" si="2"/>
        <v>2212000</v>
      </c>
      <c r="F50" s="306">
        <f t="shared" si="3"/>
        <v>0.1147005444646098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2714000</v>
      </c>
      <c r="D51" s="22">
        <v>4492000</v>
      </c>
      <c r="E51" s="22">
        <f t="shared" si="2"/>
        <v>1778000</v>
      </c>
      <c r="F51" s="306">
        <f t="shared" si="3"/>
        <v>0.65512159174649964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1007000</v>
      </c>
      <c r="D53" s="22">
        <v>2130000</v>
      </c>
      <c r="E53" s="22">
        <f t="shared" si="2"/>
        <v>1123000</v>
      </c>
      <c r="F53" s="306">
        <f t="shared" si="3"/>
        <v>1.1151936444885799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31597000</v>
      </c>
      <c r="D55" s="22">
        <v>30395000</v>
      </c>
      <c r="E55" s="22">
        <f t="shared" si="2"/>
        <v>-1202000</v>
      </c>
      <c r="F55" s="306">
        <f t="shared" si="3"/>
        <v>-3.8041586226540497E-2</v>
      </c>
    </row>
    <row r="56" spans="1:6" ht="24" customHeight="1" x14ac:dyDescent="0.25">
      <c r="A56" s="307"/>
      <c r="B56" s="308" t="s">
        <v>54</v>
      </c>
      <c r="C56" s="309">
        <f>SUM(C49:C55)</f>
        <v>94020000</v>
      </c>
      <c r="D56" s="309">
        <f>SUM(D49:D55)</f>
        <v>106409000</v>
      </c>
      <c r="E56" s="309">
        <f t="shared" si="2"/>
        <v>12389000</v>
      </c>
      <c r="F56" s="310">
        <f t="shared" si="3"/>
        <v>0.13176983620506275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61881000</v>
      </c>
      <c r="D60" s="22">
        <v>165895000</v>
      </c>
      <c r="E60" s="22">
        <f>D60-C60</f>
        <v>104014000</v>
      </c>
      <c r="F60" s="306">
        <f>IF(C60=0,0,E60/C60)</f>
        <v>1.6808713498489036</v>
      </c>
    </row>
    <row r="61" spans="1:6" ht="24" customHeight="1" x14ac:dyDescent="0.25">
      <c r="A61" s="307"/>
      <c r="B61" s="308" t="s">
        <v>58</v>
      </c>
      <c r="C61" s="309">
        <f>SUM(C59:C60)</f>
        <v>61881000</v>
      </c>
      <c r="D61" s="309">
        <f>SUM(D59:D60)</f>
        <v>165895000</v>
      </c>
      <c r="E61" s="309">
        <f>D61-C61</f>
        <v>104014000</v>
      </c>
      <c r="F61" s="310">
        <f>IF(C61=0,0,E61/C61)</f>
        <v>1.6808713498489036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0</v>
      </c>
      <c r="D63" s="22">
        <v>0</v>
      </c>
      <c r="E63" s="22">
        <f>D63-C63</f>
        <v>0</v>
      </c>
      <c r="F63" s="306">
        <f>IF(C63=0,0,E63/C63)</f>
        <v>0</v>
      </c>
    </row>
    <row r="64" spans="1:6" ht="24" customHeight="1" x14ac:dyDescent="0.2">
      <c r="A64" s="304">
        <v>4</v>
      </c>
      <c r="B64" s="305" t="s">
        <v>60</v>
      </c>
      <c r="C64" s="22">
        <v>44163000</v>
      </c>
      <c r="D64" s="22">
        <v>45889000</v>
      </c>
      <c r="E64" s="22">
        <f>D64-C64</f>
        <v>1726000</v>
      </c>
      <c r="F64" s="306">
        <f>IF(C64=0,0,E64/C64)</f>
        <v>3.9082489867083306E-2</v>
      </c>
    </row>
    <row r="65" spans="1:6" ht="24" customHeight="1" x14ac:dyDescent="0.25">
      <c r="A65" s="307"/>
      <c r="B65" s="308" t="s">
        <v>61</v>
      </c>
      <c r="C65" s="309">
        <f>SUM(C61:C64)</f>
        <v>106044000</v>
      </c>
      <c r="D65" s="309">
        <f>SUM(D61:D64)</f>
        <v>211784000</v>
      </c>
      <c r="E65" s="309">
        <f>D65-C65</f>
        <v>105740000</v>
      </c>
      <c r="F65" s="310">
        <f>IF(C65=0,0,E65/C65)</f>
        <v>0.99713326543698844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29049000</v>
      </c>
      <c r="D70" s="22">
        <v>17703000</v>
      </c>
      <c r="E70" s="22">
        <f>D70-C70</f>
        <v>-11346000</v>
      </c>
      <c r="F70" s="306">
        <f>IF(C70=0,0,E70/C70)</f>
        <v>-0.39058143137457402</v>
      </c>
    </row>
    <row r="71" spans="1:6" ht="24" customHeight="1" x14ac:dyDescent="0.2">
      <c r="A71" s="304">
        <v>2</v>
      </c>
      <c r="B71" s="305" t="s">
        <v>65</v>
      </c>
      <c r="C71" s="22">
        <v>368620000</v>
      </c>
      <c r="D71" s="22">
        <v>559030000</v>
      </c>
      <c r="E71" s="22">
        <f>D71-C71</f>
        <v>190410000</v>
      </c>
      <c r="F71" s="306">
        <f>IF(C71=0,0,E71/C71)</f>
        <v>0.5165482068254571</v>
      </c>
    </row>
    <row r="72" spans="1:6" ht="24" customHeight="1" x14ac:dyDescent="0.2">
      <c r="A72" s="304">
        <v>3</v>
      </c>
      <c r="B72" s="305" t="s">
        <v>66</v>
      </c>
      <c r="C72" s="22">
        <v>61000</v>
      </c>
      <c r="D72" s="22">
        <v>61000</v>
      </c>
      <c r="E72" s="22">
        <f>D72-C72</f>
        <v>0</v>
      </c>
      <c r="F72" s="306">
        <f>IF(C72=0,0,E72/C72)</f>
        <v>0</v>
      </c>
    </row>
    <row r="73" spans="1:6" ht="24" customHeight="1" x14ac:dyDescent="0.25">
      <c r="A73" s="304"/>
      <c r="B73" s="308" t="s">
        <v>67</v>
      </c>
      <c r="C73" s="309">
        <f>SUM(C70:C72)</f>
        <v>397730000</v>
      </c>
      <c r="D73" s="309">
        <f>SUM(D70:D72)</f>
        <v>576794000</v>
      </c>
      <c r="E73" s="309">
        <f>D73-C73</f>
        <v>179064000</v>
      </c>
      <c r="F73" s="310">
        <f>IF(C73=0,0,E73/C73)</f>
        <v>0.45021496995449173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597794000</v>
      </c>
      <c r="D75" s="309">
        <f>D56+D65+D67+D73</f>
        <v>894987000</v>
      </c>
      <c r="E75" s="309">
        <f>D75-C75</f>
        <v>297193000</v>
      </c>
      <c r="F75" s="310">
        <f>IF(C75=0,0,E75/C75)</f>
        <v>0.49714951973422283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FILING&amp;RUNIVERSITY OF CONNECTICUT HEALTH CENTER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G40" sqref="G40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864470078</v>
      </c>
      <c r="D11" s="76">
        <v>951738899</v>
      </c>
      <c r="E11" s="76">
        <f t="shared" ref="E11:E20" si="0">D11-C11</f>
        <v>87268821</v>
      </c>
      <c r="F11" s="77">
        <f t="shared" ref="F11:F20" si="1">IF(C11=0,0,E11/C11)</f>
        <v>0.1009506554603964</v>
      </c>
    </row>
    <row r="12" spans="1:7" ht="23.1" customHeight="1" x14ac:dyDescent="0.2">
      <c r="A12" s="74">
        <v>2</v>
      </c>
      <c r="B12" s="75" t="s">
        <v>72</v>
      </c>
      <c r="C12" s="76">
        <v>421405481</v>
      </c>
      <c r="D12" s="76">
        <v>487335379</v>
      </c>
      <c r="E12" s="76">
        <f t="shared" si="0"/>
        <v>65929898</v>
      </c>
      <c r="F12" s="77">
        <f t="shared" si="1"/>
        <v>0.1564523979221808</v>
      </c>
    </row>
    <row r="13" spans="1:7" ht="23.1" customHeight="1" x14ac:dyDescent="0.2">
      <c r="A13" s="74">
        <v>3</v>
      </c>
      <c r="B13" s="75" t="s">
        <v>73</v>
      </c>
      <c r="C13" s="76">
        <v>801071</v>
      </c>
      <c r="D13" s="76">
        <v>629512</v>
      </c>
      <c r="E13" s="76">
        <f t="shared" si="0"/>
        <v>-171559</v>
      </c>
      <c r="F13" s="77">
        <f t="shared" si="1"/>
        <v>-0.21416204056818933</v>
      </c>
    </row>
    <row r="14" spans="1:7" ht="23.1" customHeight="1" x14ac:dyDescent="0.2">
      <c r="A14" s="74">
        <v>4</v>
      </c>
      <c r="B14" s="75" t="s">
        <v>74</v>
      </c>
      <c r="C14" s="76">
        <v>5488085</v>
      </c>
      <c r="D14" s="76">
        <v>6806979</v>
      </c>
      <c r="E14" s="76">
        <f t="shared" si="0"/>
        <v>1318894</v>
      </c>
      <c r="F14" s="77">
        <f t="shared" si="1"/>
        <v>0.2403195285787301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436775441</v>
      </c>
      <c r="D15" s="79">
        <f>D11-D12-D13-D14</f>
        <v>456967029</v>
      </c>
      <c r="E15" s="79">
        <f t="shared" si="0"/>
        <v>20191588</v>
      </c>
      <c r="F15" s="80">
        <f t="shared" si="1"/>
        <v>4.6228762207351302E-2</v>
      </c>
    </row>
    <row r="16" spans="1:7" ht="23.1" customHeight="1" x14ac:dyDescent="0.2">
      <c r="A16" s="74">
        <v>5</v>
      </c>
      <c r="B16" s="75" t="s">
        <v>76</v>
      </c>
      <c r="C16" s="76">
        <v>4743620</v>
      </c>
      <c r="D16" s="76">
        <v>6651810</v>
      </c>
      <c r="E16" s="76">
        <f t="shared" si="0"/>
        <v>1908190</v>
      </c>
      <c r="F16" s="77">
        <f t="shared" si="1"/>
        <v>0.40226451528579438</v>
      </c>
      <c r="G16" s="65"/>
    </row>
    <row r="17" spans="1:7" ht="31.5" customHeight="1" x14ac:dyDescent="0.25">
      <c r="A17" s="71"/>
      <c r="B17" s="81" t="s">
        <v>77</v>
      </c>
      <c r="C17" s="79">
        <f>C15-C16</f>
        <v>432031821</v>
      </c>
      <c r="D17" s="79">
        <f>D15-D16</f>
        <v>450315219</v>
      </c>
      <c r="E17" s="79">
        <f t="shared" si="0"/>
        <v>18283398</v>
      </c>
      <c r="F17" s="80">
        <f t="shared" si="1"/>
        <v>4.23195633082777E-2</v>
      </c>
    </row>
    <row r="18" spans="1:7" ht="23.1" customHeight="1" x14ac:dyDescent="0.2">
      <c r="A18" s="74">
        <v>6</v>
      </c>
      <c r="B18" s="75" t="s">
        <v>78</v>
      </c>
      <c r="C18" s="76">
        <v>204630000</v>
      </c>
      <c r="D18" s="76">
        <v>208895000</v>
      </c>
      <c r="E18" s="76">
        <f t="shared" si="0"/>
        <v>4265000</v>
      </c>
      <c r="F18" s="77">
        <f t="shared" si="1"/>
        <v>2.0842496212676538E-2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0</v>
      </c>
      <c r="E19" s="76">
        <f t="shared" si="0"/>
        <v>0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636661821</v>
      </c>
      <c r="D20" s="79">
        <f>SUM(D17:D19)</f>
        <v>659210219</v>
      </c>
      <c r="E20" s="79">
        <f t="shared" si="0"/>
        <v>22548398</v>
      </c>
      <c r="F20" s="80">
        <f t="shared" si="1"/>
        <v>3.5416601492741312E-2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352867930</v>
      </c>
      <c r="D23" s="76">
        <v>377598000</v>
      </c>
      <c r="E23" s="76">
        <f t="shared" ref="E23:E32" si="2">D23-C23</f>
        <v>24730070</v>
      </c>
      <c r="F23" s="77">
        <f t="shared" ref="F23:F32" si="3">IF(C23=0,0,E23/C23)</f>
        <v>7.008307612425986E-2</v>
      </c>
    </row>
    <row r="24" spans="1:7" ht="23.1" customHeight="1" x14ac:dyDescent="0.2">
      <c r="A24" s="74">
        <v>2</v>
      </c>
      <c r="B24" s="75" t="s">
        <v>83</v>
      </c>
      <c r="C24" s="76">
        <v>168641028</v>
      </c>
      <c r="D24" s="76">
        <v>213185146</v>
      </c>
      <c r="E24" s="76">
        <f t="shared" si="2"/>
        <v>44544118</v>
      </c>
      <c r="F24" s="77">
        <f t="shared" si="3"/>
        <v>0.26413571198107261</v>
      </c>
    </row>
    <row r="25" spans="1:7" ht="23.1" customHeight="1" x14ac:dyDescent="0.2">
      <c r="A25" s="74">
        <v>3</v>
      </c>
      <c r="B25" s="75" t="s">
        <v>84</v>
      </c>
      <c r="C25" s="76">
        <v>61973190</v>
      </c>
      <c r="D25" s="76">
        <v>51372063</v>
      </c>
      <c r="E25" s="76">
        <f t="shared" si="2"/>
        <v>-10601127</v>
      </c>
      <c r="F25" s="77">
        <f t="shared" si="3"/>
        <v>-0.1710598889616623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74723435</v>
      </c>
      <c r="D26" s="76">
        <v>83463562</v>
      </c>
      <c r="E26" s="76">
        <f t="shared" si="2"/>
        <v>8740127</v>
      </c>
      <c r="F26" s="77">
        <f t="shared" si="3"/>
        <v>0.11696634395889322</v>
      </c>
    </row>
    <row r="27" spans="1:7" ht="23.1" customHeight="1" x14ac:dyDescent="0.2">
      <c r="A27" s="74">
        <v>5</v>
      </c>
      <c r="B27" s="75" t="s">
        <v>86</v>
      </c>
      <c r="C27" s="76">
        <v>31611700</v>
      </c>
      <c r="D27" s="76">
        <v>32780000</v>
      </c>
      <c r="E27" s="76">
        <f t="shared" si="2"/>
        <v>1168300</v>
      </c>
      <c r="F27" s="77">
        <f t="shared" si="3"/>
        <v>3.6957835231891986E-2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8</v>
      </c>
      <c r="B30" s="75" t="s">
        <v>89</v>
      </c>
      <c r="C30" s="76">
        <v>3672492</v>
      </c>
      <c r="D30" s="76">
        <v>3128114</v>
      </c>
      <c r="E30" s="76">
        <f t="shared" si="2"/>
        <v>-544378</v>
      </c>
      <c r="F30" s="77">
        <f t="shared" si="3"/>
        <v>-0.14823122827769264</v>
      </c>
    </row>
    <row r="31" spans="1:7" ht="23.1" customHeight="1" x14ac:dyDescent="0.2">
      <c r="A31" s="74">
        <v>9</v>
      </c>
      <c r="B31" s="75" t="s">
        <v>90</v>
      </c>
      <c r="C31" s="76">
        <v>170667046</v>
      </c>
      <c r="D31" s="76">
        <v>183785819</v>
      </c>
      <c r="E31" s="76">
        <f t="shared" si="2"/>
        <v>13118773</v>
      </c>
      <c r="F31" s="77">
        <f t="shared" si="3"/>
        <v>7.6867639696535206E-2</v>
      </c>
    </row>
    <row r="32" spans="1:7" ht="23.1" customHeight="1" x14ac:dyDescent="0.25">
      <c r="A32" s="71"/>
      <c r="B32" s="78" t="s">
        <v>91</v>
      </c>
      <c r="C32" s="79">
        <f>SUM(C23:C31)</f>
        <v>864156821</v>
      </c>
      <c r="D32" s="79">
        <f>SUM(D23:D31)</f>
        <v>945312704</v>
      </c>
      <c r="E32" s="79">
        <f t="shared" si="2"/>
        <v>81155883</v>
      </c>
      <c r="F32" s="80">
        <f t="shared" si="3"/>
        <v>9.3913374317970005E-2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-227495000</v>
      </c>
      <c r="D34" s="79">
        <f>+D20-D32</f>
        <v>-286102485</v>
      </c>
      <c r="E34" s="79">
        <f>D34-C34</f>
        <v>-58607485</v>
      </c>
      <c r="F34" s="80">
        <f>IF(C34=0,0,E34/C34)</f>
        <v>0.25762098068089406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124000</v>
      </c>
      <c r="D37" s="76">
        <v>93000</v>
      </c>
      <c r="E37" s="76">
        <f>D37-C37</f>
        <v>-31000</v>
      </c>
      <c r="F37" s="77">
        <f>IF(C37=0,0,E37/C37)</f>
        <v>-0.25</v>
      </c>
    </row>
    <row r="38" spans="1:6" ht="23.1" customHeight="1" x14ac:dyDescent="0.2">
      <c r="A38" s="85">
        <v>2</v>
      </c>
      <c r="B38" s="75" t="s">
        <v>95</v>
      </c>
      <c r="C38" s="76">
        <v>7658000</v>
      </c>
      <c r="D38" s="76">
        <v>7300000</v>
      </c>
      <c r="E38" s="76">
        <f>D38-C38</f>
        <v>-358000</v>
      </c>
      <c r="F38" s="77">
        <f>IF(C38=0,0,E38/C38)</f>
        <v>-4.6748498302428831E-2</v>
      </c>
    </row>
    <row r="39" spans="1:6" ht="23.1" customHeight="1" x14ac:dyDescent="0.2">
      <c r="A39" s="85">
        <v>3</v>
      </c>
      <c r="B39" s="75" t="s">
        <v>96</v>
      </c>
      <c r="C39" s="76">
        <v>214321000</v>
      </c>
      <c r="D39" s="76">
        <v>457773000</v>
      </c>
      <c r="E39" s="76">
        <f>D39-C39</f>
        <v>243452000</v>
      </c>
      <c r="F39" s="77">
        <f>IF(C39=0,0,E39/C39)</f>
        <v>1.1359222847971033</v>
      </c>
    </row>
    <row r="40" spans="1:6" ht="23.1" customHeight="1" x14ac:dyDescent="0.25">
      <c r="A40" s="83"/>
      <c r="B40" s="78" t="s">
        <v>97</v>
      </c>
      <c r="C40" s="79">
        <f>SUM(C37:C39)</f>
        <v>222103000</v>
      </c>
      <c r="D40" s="79">
        <f>SUM(D37:D39)</f>
        <v>465166000</v>
      </c>
      <c r="E40" s="79">
        <f>D40-C40</f>
        <v>243063000</v>
      </c>
      <c r="F40" s="80">
        <f>IF(C40=0,0,E40/C40)</f>
        <v>1.0943706298429108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-5392000</v>
      </c>
      <c r="D42" s="79">
        <f>D34+D40</f>
        <v>179063515</v>
      </c>
      <c r="E42" s="79">
        <f>D42-C42</f>
        <v>184455515</v>
      </c>
      <c r="F42" s="80">
        <f>IF(C42=0,0,E42/C42)</f>
        <v>-34.209108864985161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-5392000</v>
      </c>
      <c r="D49" s="79">
        <f>D42+D47</f>
        <v>179063515</v>
      </c>
      <c r="E49" s="79">
        <f>D49-C49</f>
        <v>184455515</v>
      </c>
      <c r="F49" s="80">
        <f>IF(C49=0,0,E49/C49)</f>
        <v>-34.209108864985161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FILING&amp;R&amp;8UNIVERSITY OF CONNECTICUT HEALTH CENTER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2015-07-07T12:35:23Z</cp:lastPrinted>
  <dcterms:created xsi:type="dcterms:W3CDTF">2015-07-07T12:31:08Z</dcterms:created>
  <dcterms:modified xsi:type="dcterms:W3CDTF">2015-07-07T12:36:06Z</dcterms:modified>
</cp:coreProperties>
</file>