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5AR12M\Excel downloads\"/>
    </mc:Choice>
  </mc:AlternateContent>
  <bookViews>
    <workbookView xWindow="0" yWindow="0" windowWidth="21570" windowHeight="951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E87" i="22"/>
  <c r="D87" i="22"/>
  <c r="C87" i="22"/>
  <c r="E86" i="22"/>
  <c r="E88" i="22"/>
  <c r="D86" i="22"/>
  <c r="D88" i="22"/>
  <c r="C86" i="22"/>
  <c r="E83" i="22"/>
  <c r="D83" i="22"/>
  <c r="C83" i="22"/>
  <c r="E76" i="22"/>
  <c r="D76" i="22"/>
  <c r="C76" i="22"/>
  <c r="C102" i="22"/>
  <c r="E75" i="22"/>
  <c r="E77" i="22"/>
  <c r="D75" i="22"/>
  <c r="D77" i="22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D12" i="22"/>
  <c r="C12" i="22"/>
  <c r="C33" i="22"/>
  <c r="D21" i="21"/>
  <c r="C21" i="21"/>
  <c r="E21" i="21"/>
  <c r="D19" i="21"/>
  <c r="E19" i="21"/>
  <c r="F19" i="21"/>
  <c r="C19" i="21"/>
  <c r="E17" i="21"/>
  <c r="F17" i="21"/>
  <c r="F15" i="21"/>
  <c r="E15" i="21"/>
  <c r="D45" i="20"/>
  <c r="C45" i="20"/>
  <c r="C46" i="20"/>
  <c r="D44" i="20"/>
  <c r="E44" i="20"/>
  <c r="F44" i="20"/>
  <c r="C44" i="20"/>
  <c r="D43" i="20"/>
  <c r="E43" i="20"/>
  <c r="F43" i="20"/>
  <c r="D46" i="20"/>
  <c r="C43" i="20"/>
  <c r="D36" i="20"/>
  <c r="D40" i="20"/>
  <c r="C36" i="20"/>
  <c r="C40" i="20"/>
  <c r="F35" i="20"/>
  <c r="E35" i="20"/>
  <c r="E34" i="20"/>
  <c r="F34" i="20"/>
  <c r="E33" i="20"/>
  <c r="F30" i="20"/>
  <c r="E30" i="20"/>
  <c r="F29" i="20"/>
  <c r="E29" i="20"/>
  <c r="E28" i="20"/>
  <c r="F28" i="20"/>
  <c r="F27" i="20"/>
  <c r="E27" i="20"/>
  <c r="D25" i="20"/>
  <c r="D39" i="20"/>
  <c r="D41" i="20"/>
  <c r="C25" i="20"/>
  <c r="C39" i="20"/>
  <c r="E24" i="20"/>
  <c r="F24" i="20"/>
  <c r="E23" i="20"/>
  <c r="F23" i="20"/>
  <c r="F22" i="20"/>
  <c r="E22" i="20"/>
  <c r="D19" i="20"/>
  <c r="D20" i="20"/>
  <c r="C19" i="20"/>
  <c r="C20" i="20"/>
  <c r="E18" i="20"/>
  <c r="F18" i="20"/>
  <c r="D16" i="20"/>
  <c r="E16" i="20"/>
  <c r="C16" i="20"/>
  <c r="F15" i="20"/>
  <c r="E15" i="20"/>
  <c r="E13" i="20"/>
  <c r="F13" i="20"/>
  <c r="F12" i="20"/>
  <c r="E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3" i="19"/>
  <c r="C65" i="19"/>
  <c r="C114" i="19"/>
  <c r="C116" i="19"/>
  <c r="C119" i="19"/>
  <c r="C123" i="19"/>
  <c r="C60" i="19"/>
  <c r="C59" i="19"/>
  <c r="C49" i="19"/>
  <c r="C48" i="19"/>
  <c r="C64" i="19"/>
  <c r="C36" i="19"/>
  <c r="C32" i="19"/>
  <c r="C33" i="19"/>
  <c r="C21" i="19"/>
  <c r="E328" i="18"/>
  <c r="E325" i="18"/>
  <c r="D324" i="18"/>
  <c r="C324" i="18"/>
  <c r="C326" i="18"/>
  <c r="C330" i="18"/>
  <c r="E318" i="18"/>
  <c r="E315" i="18"/>
  <c r="D314" i="18"/>
  <c r="D316" i="18"/>
  <c r="C314" i="18"/>
  <c r="C316" i="18"/>
  <c r="E316" i="18"/>
  <c r="C320" i="18"/>
  <c r="E308" i="18"/>
  <c r="E305" i="18"/>
  <c r="D301" i="18"/>
  <c r="C301" i="18"/>
  <c r="D293" i="18"/>
  <c r="E293" i="18"/>
  <c r="C293" i="18"/>
  <c r="D292" i="18"/>
  <c r="C292" i="18"/>
  <c r="D291" i="18"/>
  <c r="C291" i="18"/>
  <c r="E291" i="18"/>
  <c r="D290" i="18"/>
  <c r="C290" i="18"/>
  <c r="E290" i="18"/>
  <c r="D288" i="18"/>
  <c r="E288" i="18"/>
  <c r="C288" i="18"/>
  <c r="D287" i="18"/>
  <c r="E287" i="18"/>
  <c r="C287" i="18"/>
  <c r="D282" i="18"/>
  <c r="E282" i="18"/>
  <c r="C282" i="18"/>
  <c r="D281" i="18"/>
  <c r="E281" i="18"/>
  <c r="C281" i="18"/>
  <c r="D280" i="18"/>
  <c r="C280" i="18"/>
  <c r="E280" i="18"/>
  <c r="D279" i="18"/>
  <c r="C279" i="18"/>
  <c r="D278" i="18"/>
  <c r="C278" i="18"/>
  <c r="E278" i="18"/>
  <c r="D277" i="18"/>
  <c r="C277" i="18"/>
  <c r="E277" i="18"/>
  <c r="D276" i="18"/>
  <c r="C276" i="18"/>
  <c r="E270" i="18"/>
  <c r="D265" i="18"/>
  <c r="D302" i="18"/>
  <c r="C265" i="18"/>
  <c r="C302" i="18"/>
  <c r="E302" i="18"/>
  <c r="D262" i="18"/>
  <c r="E262" i="18"/>
  <c r="C262" i="18"/>
  <c r="D251" i="18"/>
  <c r="C251" i="18"/>
  <c r="D233" i="18"/>
  <c r="C233" i="18"/>
  <c r="D232" i="18"/>
  <c r="E232" i="18"/>
  <c r="C232" i="18"/>
  <c r="D231" i="18"/>
  <c r="C231" i="18"/>
  <c r="D230" i="18"/>
  <c r="E230" i="18"/>
  <c r="C230" i="18"/>
  <c r="D228" i="18"/>
  <c r="E228" i="18"/>
  <c r="C228" i="18"/>
  <c r="D227" i="18"/>
  <c r="C227" i="18"/>
  <c r="E227" i="18"/>
  <c r="D221" i="18"/>
  <c r="D245" i="18"/>
  <c r="C221" i="18"/>
  <c r="C245" i="18"/>
  <c r="D220" i="18"/>
  <c r="D244" i="18"/>
  <c r="E244" i="18"/>
  <c r="C220" i="18"/>
  <c r="C244" i="18"/>
  <c r="D219" i="18"/>
  <c r="D243" i="18"/>
  <c r="E243" i="18"/>
  <c r="C219" i="18"/>
  <c r="C243" i="18"/>
  <c r="D218" i="18"/>
  <c r="C218" i="18"/>
  <c r="D216" i="18"/>
  <c r="C216" i="18"/>
  <c r="C240" i="18"/>
  <c r="D215" i="18"/>
  <c r="D239" i="18"/>
  <c r="C215" i="18"/>
  <c r="C239" i="18"/>
  <c r="E209" i="18"/>
  <c r="E208" i="18"/>
  <c r="E207" i="18"/>
  <c r="E206" i="18"/>
  <c r="D205" i="18"/>
  <c r="D229" i="18"/>
  <c r="E229" i="18"/>
  <c r="C205" i="18"/>
  <c r="C229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8" i="18"/>
  <c r="C188" i="18"/>
  <c r="E186" i="18"/>
  <c r="E185" i="18"/>
  <c r="D179" i="18"/>
  <c r="E179" i="18"/>
  <c r="C179" i="18"/>
  <c r="D178" i="18"/>
  <c r="E178" i="18"/>
  <c r="C178" i="18"/>
  <c r="D177" i="18"/>
  <c r="E177" i="18"/>
  <c r="C177" i="18"/>
  <c r="D176" i="18"/>
  <c r="E176" i="18"/>
  <c r="C176" i="18"/>
  <c r="D174" i="18"/>
  <c r="C174" i="18"/>
  <c r="D173" i="18"/>
  <c r="C173" i="18"/>
  <c r="E173" i="18"/>
  <c r="D167" i="18"/>
  <c r="E167" i="18"/>
  <c r="C167" i="18"/>
  <c r="D166" i="18"/>
  <c r="C166" i="18"/>
  <c r="E166" i="18"/>
  <c r="D165" i="18"/>
  <c r="E165" i="18"/>
  <c r="C165" i="18"/>
  <c r="D164" i="18"/>
  <c r="E164" i="18"/>
  <c r="C164" i="18"/>
  <c r="D162" i="18"/>
  <c r="C162" i="18"/>
  <c r="D161" i="18"/>
  <c r="C161" i="18"/>
  <c r="D156" i="18"/>
  <c r="D157" i="18"/>
  <c r="E155" i="18"/>
  <c r="E154" i="18"/>
  <c r="E153" i="18"/>
  <c r="E152" i="18"/>
  <c r="D151" i="18"/>
  <c r="C151" i="18"/>
  <c r="E151" i="18"/>
  <c r="C156" i="18"/>
  <c r="E150" i="18"/>
  <c r="E149" i="18"/>
  <c r="E143" i="18"/>
  <c r="E142" i="18"/>
  <c r="E141" i="18"/>
  <c r="E140" i="18"/>
  <c r="D139" i="18"/>
  <c r="C139" i="18"/>
  <c r="E138" i="18"/>
  <c r="E137" i="18"/>
  <c r="D75" i="18"/>
  <c r="C75" i="18"/>
  <c r="D74" i="18"/>
  <c r="C74" i="18"/>
  <c r="D73" i="18"/>
  <c r="C73" i="18"/>
  <c r="E73" i="18"/>
  <c r="D72" i="18"/>
  <c r="C72" i="18"/>
  <c r="D70" i="18"/>
  <c r="C70" i="18"/>
  <c r="D69" i="18"/>
  <c r="C69" i="18"/>
  <c r="C65" i="18"/>
  <c r="C66" i="18"/>
  <c r="E64" i="18"/>
  <c r="E63" i="18"/>
  <c r="E62" i="18"/>
  <c r="E61" i="18"/>
  <c r="D60" i="18"/>
  <c r="D289" i="18"/>
  <c r="C60" i="18"/>
  <c r="E59" i="18"/>
  <c r="E58" i="18"/>
  <c r="D54" i="18"/>
  <c r="D55" i="18"/>
  <c r="E55" i="18"/>
  <c r="C54" i="18"/>
  <c r="C55" i="18"/>
  <c r="E53" i="18"/>
  <c r="E52" i="18"/>
  <c r="E51" i="18"/>
  <c r="E50" i="18"/>
  <c r="E49" i="18"/>
  <c r="E48" i="18"/>
  <c r="E47" i="18"/>
  <c r="D42" i="18"/>
  <c r="E42" i="18"/>
  <c r="C42" i="18"/>
  <c r="D41" i="18"/>
  <c r="C41" i="18"/>
  <c r="E41" i="18"/>
  <c r="D40" i="18"/>
  <c r="C40" i="18"/>
  <c r="E40" i="18"/>
  <c r="D39" i="18"/>
  <c r="E39" i="18"/>
  <c r="C39" i="18"/>
  <c r="D38" i="18"/>
  <c r="E38" i="18"/>
  <c r="C38" i="18"/>
  <c r="D37" i="18"/>
  <c r="C37" i="18"/>
  <c r="C43" i="18"/>
  <c r="D36" i="18"/>
  <c r="C36" i="18"/>
  <c r="C33" i="18"/>
  <c r="D32" i="18"/>
  <c r="D33" i="18"/>
  <c r="C32" i="18"/>
  <c r="E31" i="18"/>
  <c r="E30" i="18"/>
  <c r="E29" i="18"/>
  <c r="E28" i="18"/>
  <c r="E27" i="18"/>
  <c r="E26" i="18"/>
  <c r="E25" i="18"/>
  <c r="D21" i="18"/>
  <c r="C21" i="18"/>
  <c r="E20" i="18"/>
  <c r="E19" i="18"/>
  <c r="E18" i="18"/>
  <c r="E17" i="18"/>
  <c r="E16" i="18"/>
  <c r="E15" i="18"/>
  <c r="E14" i="18"/>
  <c r="E335" i="17"/>
  <c r="F335" i="17"/>
  <c r="F334" i="17"/>
  <c r="E334" i="17"/>
  <c r="E333" i="17"/>
  <c r="F333" i="17"/>
  <c r="F332" i="17"/>
  <c r="E332" i="17"/>
  <c r="E331" i="17"/>
  <c r="F331" i="17"/>
  <c r="F330" i="17"/>
  <c r="E330" i="17"/>
  <c r="F329" i="17"/>
  <c r="E329" i="17"/>
  <c r="F316" i="17"/>
  <c r="E316" i="17"/>
  <c r="D311" i="17"/>
  <c r="C311" i="17"/>
  <c r="F311" i="17"/>
  <c r="F308" i="17"/>
  <c r="E308" i="17"/>
  <c r="D307" i="17"/>
  <c r="C307" i="17"/>
  <c r="D299" i="17"/>
  <c r="E299" i="17"/>
  <c r="F299" i="17"/>
  <c r="C299" i="17"/>
  <c r="D298" i="17"/>
  <c r="E298" i="17"/>
  <c r="C298" i="17"/>
  <c r="D297" i="17"/>
  <c r="E297" i="17"/>
  <c r="C297" i="17"/>
  <c r="D296" i="17"/>
  <c r="C296" i="17"/>
  <c r="D295" i="17"/>
  <c r="E295" i="17"/>
  <c r="C295" i="17"/>
  <c r="D294" i="17"/>
  <c r="E294" i="17"/>
  <c r="C294" i="17"/>
  <c r="D250" i="17"/>
  <c r="E250" i="17"/>
  <c r="D306" i="17"/>
  <c r="E306" i="17"/>
  <c r="C250" i="17"/>
  <c r="E249" i="17"/>
  <c r="F249" i="17"/>
  <c r="E248" i="17"/>
  <c r="F248" i="17"/>
  <c r="F245" i="17"/>
  <c r="E245" i="17"/>
  <c r="E244" i="17"/>
  <c r="F244" i="17"/>
  <c r="E243" i="17"/>
  <c r="F243" i="17"/>
  <c r="D238" i="17"/>
  <c r="C238" i="17"/>
  <c r="D237" i="17"/>
  <c r="D239" i="17"/>
  <c r="C237" i="17"/>
  <c r="E234" i="17"/>
  <c r="F234" i="17"/>
  <c r="E233" i="17"/>
  <c r="F233" i="17"/>
  <c r="D230" i="17"/>
  <c r="C230" i="17"/>
  <c r="D229" i="17"/>
  <c r="C229" i="17"/>
  <c r="E228" i="17"/>
  <c r="F228" i="17"/>
  <c r="D226" i="17"/>
  <c r="D227" i="17"/>
  <c r="E227" i="17"/>
  <c r="C226" i="17"/>
  <c r="C227" i="17"/>
  <c r="E225" i="17"/>
  <c r="F225" i="17"/>
  <c r="E224" i="17"/>
  <c r="F224" i="17"/>
  <c r="D223" i="17"/>
  <c r="C223" i="17"/>
  <c r="E222" i="17"/>
  <c r="F222" i="17"/>
  <c r="E221" i="17"/>
  <c r="F221" i="17"/>
  <c r="D204" i="17"/>
  <c r="D285" i="17"/>
  <c r="C204" i="17"/>
  <c r="D203" i="17"/>
  <c r="D267" i="17"/>
  <c r="C203" i="17"/>
  <c r="D198" i="17"/>
  <c r="D199" i="17"/>
  <c r="C198" i="17"/>
  <c r="D191" i="17"/>
  <c r="D280" i="17"/>
  <c r="D264" i="17"/>
  <c r="C191" i="17"/>
  <c r="D189" i="17"/>
  <c r="D262" i="17"/>
  <c r="C189" i="17"/>
  <c r="D188" i="17"/>
  <c r="D261" i="17"/>
  <c r="C188" i="17"/>
  <c r="D180" i="17"/>
  <c r="C180" i="17"/>
  <c r="C181" i="17"/>
  <c r="D179" i="17"/>
  <c r="D181" i="17"/>
  <c r="C179" i="17"/>
  <c r="D171" i="17"/>
  <c r="D172" i="17"/>
  <c r="C171" i="17"/>
  <c r="D170" i="17"/>
  <c r="C170" i="17"/>
  <c r="E169" i="17"/>
  <c r="F169" i="17"/>
  <c r="E168" i="17"/>
  <c r="F168" i="17"/>
  <c r="D165" i="17"/>
  <c r="C165" i="17"/>
  <c r="D164" i="17"/>
  <c r="E164" i="17"/>
  <c r="F164" i="17"/>
  <c r="C164" i="17"/>
  <c r="E163" i="17"/>
  <c r="F163" i="17"/>
  <c r="D158" i="17"/>
  <c r="D159" i="17"/>
  <c r="C158" i="17"/>
  <c r="E157" i="17"/>
  <c r="F157" i="17"/>
  <c r="E156" i="17"/>
  <c r="F156" i="17"/>
  <c r="D155" i="17"/>
  <c r="C155" i="17"/>
  <c r="E154" i="17"/>
  <c r="F154" i="17"/>
  <c r="E153" i="17"/>
  <c r="F153" i="17"/>
  <c r="D145" i="17"/>
  <c r="E145" i="17"/>
  <c r="C145" i="17"/>
  <c r="D144" i="17"/>
  <c r="C144" i="17"/>
  <c r="C146" i="17"/>
  <c r="D136" i="17"/>
  <c r="C136" i="17"/>
  <c r="C137" i="17"/>
  <c r="D135" i="17"/>
  <c r="E135" i="17"/>
  <c r="C135" i="17"/>
  <c r="E134" i="17"/>
  <c r="F134" i="17"/>
  <c r="E133" i="17"/>
  <c r="F133" i="17"/>
  <c r="D130" i="17"/>
  <c r="E130" i="17"/>
  <c r="F130" i="17"/>
  <c r="C130" i="17"/>
  <c r="D129" i="17"/>
  <c r="E129" i="17"/>
  <c r="F129" i="17"/>
  <c r="C129" i="17"/>
  <c r="E128" i="17"/>
  <c r="F128" i="17"/>
  <c r="D123" i="17"/>
  <c r="D192" i="17"/>
  <c r="C123" i="17"/>
  <c r="C193" i="17"/>
  <c r="E122" i="17"/>
  <c r="F122" i="17"/>
  <c r="E121" i="17"/>
  <c r="F121" i="17"/>
  <c r="D120" i="17"/>
  <c r="E120" i="17"/>
  <c r="C120" i="17"/>
  <c r="E119" i="17"/>
  <c r="F119" i="17"/>
  <c r="E118" i="17"/>
  <c r="F118" i="17"/>
  <c r="D110" i="17"/>
  <c r="C110" i="17"/>
  <c r="D109" i="17"/>
  <c r="E109" i="17"/>
  <c r="C109" i="17"/>
  <c r="D101" i="17"/>
  <c r="C101" i="17"/>
  <c r="D100" i="17"/>
  <c r="E100" i="17"/>
  <c r="C100" i="17"/>
  <c r="E99" i="17"/>
  <c r="F99" i="17"/>
  <c r="E98" i="17"/>
  <c r="F98" i="17"/>
  <c r="D95" i="17"/>
  <c r="E95" i="17"/>
  <c r="F95" i="17"/>
  <c r="C95" i="17"/>
  <c r="D94" i="17"/>
  <c r="E94" i="17"/>
  <c r="F94" i="17"/>
  <c r="C94" i="17"/>
  <c r="E93" i="17"/>
  <c r="F93" i="17"/>
  <c r="D88" i="17"/>
  <c r="C88" i="17"/>
  <c r="C89" i="17"/>
  <c r="E87" i="17"/>
  <c r="F87" i="17"/>
  <c r="E86" i="17"/>
  <c r="F86" i="17"/>
  <c r="D85" i="17"/>
  <c r="E85" i="17"/>
  <c r="C85" i="17"/>
  <c r="E84" i="17"/>
  <c r="F84" i="17"/>
  <c r="E83" i="17"/>
  <c r="F83" i="17"/>
  <c r="D76" i="17"/>
  <c r="D77" i="17"/>
  <c r="C76" i="17"/>
  <c r="E74" i="17"/>
  <c r="F74" i="17"/>
  <c r="E73" i="17"/>
  <c r="F73" i="17"/>
  <c r="D67" i="17"/>
  <c r="C67" i="17"/>
  <c r="D66" i="17"/>
  <c r="C66" i="17"/>
  <c r="C60" i="17"/>
  <c r="E60" i="17"/>
  <c r="D59" i="17"/>
  <c r="D60" i="17"/>
  <c r="D61" i="17"/>
  <c r="C59" i="17"/>
  <c r="D58" i="17"/>
  <c r="E58" i="17"/>
  <c r="F58" i="17"/>
  <c r="C58" i="17"/>
  <c r="E57" i="17"/>
  <c r="F57" i="17"/>
  <c r="E56" i="17"/>
  <c r="F56" i="17"/>
  <c r="D53" i="17"/>
  <c r="C53" i="17"/>
  <c r="D52" i="17"/>
  <c r="E52" i="17"/>
  <c r="F52" i="17"/>
  <c r="C52" i="17"/>
  <c r="E51" i="17"/>
  <c r="F51" i="17"/>
  <c r="D47" i="17"/>
  <c r="D48" i="17"/>
  <c r="C47" i="17"/>
  <c r="E46" i="17"/>
  <c r="F46" i="17"/>
  <c r="E45" i="17"/>
  <c r="F45" i="17"/>
  <c r="D44" i="17"/>
  <c r="E44" i="17"/>
  <c r="C44" i="17"/>
  <c r="E43" i="17"/>
  <c r="F43" i="17"/>
  <c r="E42" i="17"/>
  <c r="F42" i="17"/>
  <c r="D36" i="17"/>
  <c r="C36" i="17"/>
  <c r="D35" i="17"/>
  <c r="C35" i="17"/>
  <c r="D30" i="17"/>
  <c r="D31" i="17"/>
  <c r="D32" i="17"/>
  <c r="C30" i="17"/>
  <c r="D29" i="17"/>
  <c r="C29" i="17"/>
  <c r="E28" i="17"/>
  <c r="F28" i="17"/>
  <c r="E27" i="17"/>
  <c r="F27" i="17"/>
  <c r="D24" i="17"/>
  <c r="C24" i="17"/>
  <c r="D23" i="17"/>
  <c r="C23" i="17"/>
  <c r="E22" i="17"/>
  <c r="F22" i="17"/>
  <c r="C21" i="17"/>
  <c r="D20" i="17"/>
  <c r="C20" i="17"/>
  <c r="E19" i="17"/>
  <c r="F19" i="17"/>
  <c r="E18" i="17"/>
  <c r="F18" i="17"/>
  <c r="D17" i="17"/>
  <c r="C17" i="17"/>
  <c r="E16" i="17"/>
  <c r="F16" i="17"/>
  <c r="E15" i="17"/>
  <c r="F15" i="17"/>
  <c r="D21" i="16"/>
  <c r="E21" i="16"/>
  <c r="F21" i="16"/>
  <c r="C21" i="16"/>
  <c r="E20" i="16"/>
  <c r="F20" i="16"/>
  <c r="D17" i="16"/>
  <c r="C17" i="16"/>
  <c r="F16" i="16"/>
  <c r="E16" i="16"/>
  <c r="D13" i="16"/>
  <c r="E13" i="16"/>
  <c r="F13" i="16"/>
  <c r="C13" i="16"/>
  <c r="E12" i="16"/>
  <c r="F12" i="16"/>
  <c r="D107" i="15"/>
  <c r="E107" i="15"/>
  <c r="F107" i="15"/>
  <c r="C107" i="15"/>
  <c r="E106" i="15"/>
  <c r="F106" i="15"/>
  <c r="E105" i="15"/>
  <c r="F105" i="15"/>
  <c r="E104" i="15"/>
  <c r="F104" i="15"/>
  <c r="D100" i="15"/>
  <c r="C100" i="15"/>
  <c r="E99" i="15"/>
  <c r="F99" i="15"/>
  <c r="F98" i="15"/>
  <c r="E98" i="15"/>
  <c r="F97" i="15"/>
  <c r="E97" i="15"/>
  <c r="F96" i="15"/>
  <c r="E96" i="15"/>
  <c r="E95" i="15"/>
  <c r="F95" i="15"/>
  <c r="D92" i="15"/>
  <c r="E92" i="15"/>
  <c r="F92" i="15"/>
  <c r="C92" i="15"/>
  <c r="E91" i="15"/>
  <c r="F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E81" i="15"/>
  <c r="F81" i="15"/>
  <c r="F80" i="15"/>
  <c r="E80" i="15"/>
  <c r="F79" i="15"/>
  <c r="E79" i="15"/>
  <c r="D75" i="15"/>
  <c r="C75" i="15"/>
  <c r="E74" i="15"/>
  <c r="F73" i="15"/>
  <c r="E73" i="15"/>
  <c r="D70" i="15"/>
  <c r="E70" i="15"/>
  <c r="C70" i="15"/>
  <c r="F69" i="15"/>
  <c r="E69" i="15"/>
  <c r="F68" i="15"/>
  <c r="E68" i="15"/>
  <c r="D65" i="15"/>
  <c r="C65" i="15"/>
  <c r="F64" i="15"/>
  <c r="E64" i="15"/>
  <c r="F63" i="15"/>
  <c r="E63" i="15"/>
  <c r="D60" i="15"/>
  <c r="C60" i="15"/>
  <c r="E59" i="15"/>
  <c r="F59" i="15"/>
  <c r="F58" i="15"/>
  <c r="E58" i="15"/>
  <c r="E60" i="15"/>
  <c r="F60" i="15"/>
  <c r="D55" i="15"/>
  <c r="E55" i="15"/>
  <c r="C55" i="15"/>
  <c r="F54" i="15"/>
  <c r="E54" i="15"/>
  <c r="F53" i="15"/>
  <c r="E53" i="15"/>
  <c r="D50" i="15"/>
  <c r="E50" i="15"/>
  <c r="C50" i="15"/>
  <c r="F49" i="15"/>
  <c r="E49" i="15"/>
  <c r="E48" i="15"/>
  <c r="F48" i="15"/>
  <c r="D45" i="15"/>
  <c r="E45" i="15"/>
  <c r="C45" i="15"/>
  <c r="F44" i="15"/>
  <c r="E44" i="15"/>
  <c r="E43" i="15"/>
  <c r="F43" i="15"/>
  <c r="D37" i="15"/>
  <c r="E37" i="15"/>
  <c r="C37" i="15"/>
  <c r="F36" i="15"/>
  <c r="E36" i="15"/>
  <c r="F35" i="15"/>
  <c r="E35" i="15"/>
  <c r="E34" i="15"/>
  <c r="F34" i="15"/>
  <c r="F33" i="15"/>
  <c r="E33" i="15"/>
  <c r="D30" i="15"/>
  <c r="E30" i="15"/>
  <c r="F30" i="15"/>
  <c r="C30" i="15"/>
  <c r="F29" i="15"/>
  <c r="E29" i="15"/>
  <c r="F28" i="15"/>
  <c r="E28" i="15"/>
  <c r="F27" i="15"/>
  <c r="E27" i="15"/>
  <c r="F26" i="15"/>
  <c r="E26" i="15"/>
  <c r="D23" i="15"/>
  <c r="C23" i="15"/>
  <c r="F22" i="15"/>
  <c r="E22" i="15"/>
  <c r="F21" i="15"/>
  <c r="E21" i="15"/>
  <c r="E20" i="15"/>
  <c r="F20" i="15"/>
  <c r="F19" i="15"/>
  <c r="E19" i="15"/>
  <c r="D16" i="15"/>
  <c r="C16" i="15"/>
  <c r="F15" i="15"/>
  <c r="E15" i="15"/>
  <c r="F14" i="15"/>
  <c r="E14" i="15"/>
  <c r="F13" i="15"/>
  <c r="E13" i="15"/>
  <c r="E12" i="15"/>
  <c r="F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I31" i="14"/>
  <c r="F17" i="14"/>
  <c r="F33" i="14"/>
  <c r="E17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D80" i="13"/>
  <c r="D77" i="13"/>
  <c r="C79" i="13"/>
  <c r="E78" i="13"/>
  <c r="E80" i="13"/>
  <c r="E77" i="13"/>
  <c r="D78" i="13"/>
  <c r="C78" i="13"/>
  <c r="C80" i="13"/>
  <c r="C77" i="13"/>
  <c r="E75" i="13"/>
  <c r="E73" i="13"/>
  <c r="D73" i="13"/>
  <c r="D75" i="13"/>
  <c r="C73" i="13"/>
  <c r="C75" i="13"/>
  <c r="E71" i="13"/>
  <c r="D71" i="13"/>
  <c r="C71" i="13"/>
  <c r="E66" i="13"/>
  <c r="E65" i="13"/>
  <c r="D66" i="13"/>
  <c r="D65" i="13"/>
  <c r="C66" i="13"/>
  <c r="C65" i="13"/>
  <c r="E60" i="13"/>
  <c r="D60" i="13"/>
  <c r="C60" i="13"/>
  <c r="C59" i="13"/>
  <c r="C61" i="13"/>
  <c r="E58" i="13"/>
  <c r="D58" i="13"/>
  <c r="C58" i="13"/>
  <c r="C57" i="13"/>
  <c r="E55" i="13"/>
  <c r="E50" i="13"/>
  <c r="D55" i="13"/>
  <c r="C55" i="13"/>
  <c r="E54" i="13"/>
  <c r="D54" i="13"/>
  <c r="C54" i="13"/>
  <c r="C50" i="13"/>
  <c r="D50" i="13"/>
  <c r="E46" i="13"/>
  <c r="E48" i="13"/>
  <c r="E42" i="13"/>
  <c r="D46" i="13"/>
  <c r="D59" i="13"/>
  <c r="D61" i="13"/>
  <c r="D57" i="13"/>
  <c r="C46" i="13"/>
  <c r="C48" i="13"/>
  <c r="E45" i="13"/>
  <c r="D45" i="13"/>
  <c r="C45" i="13"/>
  <c r="C42" i="13"/>
  <c r="E38" i="13"/>
  <c r="D38" i="13"/>
  <c r="C38" i="13"/>
  <c r="E33" i="13"/>
  <c r="E34" i="13"/>
  <c r="D33" i="13"/>
  <c r="D34" i="13"/>
  <c r="E26" i="13"/>
  <c r="D26" i="13"/>
  <c r="C26" i="13"/>
  <c r="E13" i="13"/>
  <c r="D13" i="13"/>
  <c r="D25" i="13"/>
  <c r="D27" i="13"/>
  <c r="C13" i="13"/>
  <c r="D47" i="12"/>
  <c r="C47" i="12"/>
  <c r="F47" i="12"/>
  <c r="F46" i="12"/>
  <c r="E46" i="12"/>
  <c r="F45" i="12"/>
  <c r="E45" i="12"/>
  <c r="D40" i="12"/>
  <c r="C40" i="12"/>
  <c r="E39" i="12"/>
  <c r="F39" i="12"/>
  <c r="E38" i="12"/>
  <c r="F38" i="12"/>
  <c r="F37" i="12"/>
  <c r="E37" i="12"/>
  <c r="D32" i="12"/>
  <c r="E32" i="12"/>
  <c r="F32" i="12"/>
  <c r="C32" i="12"/>
  <c r="E31" i="12"/>
  <c r="F31" i="12"/>
  <c r="F30" i="12"/>
  <c r="E30" i="12"/>
  <c r="F29" i="12"/>
  <c r="E29" i="12"/>
  <c r="F28" i="12"/>
  <c r="E28" i="12"/>
  <c r="E27" i="12"/>
  <c r="F27" i="12"/>
  <c r="F26" i="12"/>
  <c r="E26" i="12"/>
  <c r="E25" i="12"/>
  <c r="F25" i="12"/>
  <c r="F24" i="12"/>
  <c r="E24" i="12"/>
  <c r="E23" i="12"/>
  <c r="F23" i="12"/>
  <c r="F19" i="12"/>
  <c r="E19" i="12"/>
  <c r="F18" i="12"/>
  <c r="E18" i="12"/>
  <c r="F16" i="12"/>
  <c r="E16" i="12"/>
  <c r="D15" i="12"/>
  <c r="D17" i="12"/>
  <c r="C15" i="12"/>
  <c r="C17" i="12"/>
  <c r="E14" i="12"/>
  <c r="F14" i="12"/>
  <c r="E13" i="12"/>
  <c r="F13" i="12"/>
  <c r="E12" i="12"/>
  <c r="F12" i="12"/>
  <c r="F11" i="12"/>
  <c r="E11" i="12"/>
  <c r="D73" i="11"/>
  <c r="E73" i="11"/>
  <c r="C73" i="11"/>
  <c r="F72" i="11"/>
  <c r="E72" i="11"/>
  <c r="F71" i="11"/>
  <c r="E71" i="11"/>
  <c r="E70" i="11"/>
  <c r="F70" i="11"/>
  <c r="F67" i="11"/>
  <c r="E67" i="11"/>
  <c r="F64" i="11"/>
  <c r="E64" i="11"/>
  <c r="F63" i="11"/>
  <c r="E63" i="11"/>
  <c r="D61" i="11"/>
  <c r="D65" i="11"/>
  <c r="C61" i="11"/>
  <c r="C65" i="11"/>
  <c r="E60" i="11"/>
  <c r="F60" i="11"/>
  <c r="F59" i="11"/>
  <c r="E59" i="11"/>
  <c r="D56" i="11"/>
  <c r="C56" i="11"/>
  <c r="C75" i="11"/>
  <c r="F55" i="11"/>
  <c r="E55" i="11"/>
  <c r="F54" i="11"/>
  <c r="E54" i="11"/>
  <c r="E53" i="11"/>
  <c r="F53" i="11"/>
  <c r="F52" i="11"/>
  <c r="E52" i="11"/>
  <c r="F51" i="11"/>
  <c r="E51" i="11"/>
  <c r="A52" i="11"/>
  <c r="A53" i="11"/>
  <c r="A54" i="11"/>
  <c r="A55" i="11"/>
  <c r="E50" i="11"/>
  <c r="F50" i="11"/>
  <c r="A50" i="11"/>
  <c r="A51" i="11"/>
  <c r="E49" i="11"/>
  <c r="F49" i="11"/>
  <c r="E40" i="11"/>
  <c r="F40" i="11"/>
  <c r="D38" i="11"/>
  <c r="D41" i="11"/>
  <c r="C38" i="11"/>
  <c r="C41" i="11"/>
  <c r="E37" i="11"/>
  <c r="F37" i="11"/>
  <c r="F36" i="11"/>
  <c r="E36" i="11"/>
  <c r="F33" i="11"/>
  <c r="E33" i="11"/>
  <c r="F32" i="11"/>
  <c r="E32" i="11"/>
  <c r="F31" i="11"/>
  <c r="E31" i="11"/>
  <c r="F29" i="11"/>
  <c r="D29" i="11"/>
  <c r="E29" i="11"/>
  <c r="C29" i="11"/>
  <c r="F28" i="11"/>
  <c r="E28" i="11"/>
  <c r="F27" i="11"/>
  <c r="E27" i="11"/>
  <c r="F26" i="11"/>
  <c r="E26" i="11"/>
  <c r="F25" i="11"/>
  <c r="E25" i="11"/>
  <c r="D22" i="11"/>
  <c r="D43" i="11"/>
  <c r="C22" i="11"/>
  <c r="F21" i="11"/>
  <c r="E21" i="11"/>
  <c r="E20" i="11"/>
  <c r="F20" i="11"/>
  <c r="E19" i="11"/>
  <c r="F19" i="11"/>
  <c r="F18" i="11"/>
  <c r="E18" i="11"/>
  <c r="E17" i="11"/>
  <c r="F17" i="11"/>
  <c r="F16" i="11"/>
  <c r="E16" i="11"/>
  <c r="E15" i="11"/>
  <c r="F15" i="11"/>
  <c r="F14" i="11"/>
  <c r="E14" i="11"/>
  <c r="F13" i="11"/>
  <c r="E13" i="11"/>
  <c r="D120" i="10"/>
  <c r="C120" i="10"/>
  <c r="F120" i="10"/>
  <c r="D119" i="10"/>
  <c r="C119" i="10"/>
  <c r="F119" i="10"/>
  <c r="D118" i="10"/>
  <c r="C118" i="10"/>
  <c r="F118" i="10"/>
  <c r="D117" i="10"/>
  <c r="C117" i="10"/>
  <c r="F117" i="10"/>
  <c r="D116" i="10"/>
  <c r="C116" i="10"/>
  <c r="F116" i="10"/>
  <c r="D115" i="10"/>
  <c r="C115" i="10"/>
  <c r="F115" i="10"/>
  <c r="D114" i="10"/>
  <c r="C114" i="10"/>
  <c r="D113" i="10"/>
  <c r="D122" i="10"/>
  <c r="C113" i="10"/>
  <c r="F113" i="10"/>
  <c r="D112" i="10"/>
  <c r="D121" i="10"/>
  <c r="C112" i="10"/>
  <c r="F112" i="10"/>
  <c r="D108" i="10"/>
  <c r="C108" i="10"/>
  <c r="D107" i="10"/>
  <c r="C107" i="10"/>
  <c r="F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/>
  <c r="D95" i="10"/>
  <c r="C95" i="10"/>
  <c r="F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D83" i="10"/>
  <c r="C83" i="10"/>
  <c r="F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/>
  <c r="D71" i="10"/>
  <c r="C71" i="10"/>
  <c r="F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/>
  <c r="D59" i="10"/>
  <c r="E59" i="10"/>
  <c r="C59" i="10"/>
  <c r="F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/>
  <c r="D47" i="10"/>
  <c r="C47" i="10"/>
  <c r="F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/>
  <c r="D35" i="10"/>
  <c r="C35" i="10"/>
  <c r="F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/>
  <c r="D23" i="10"/>
  <c r="E23" i="10"/>
  <c r="C23" i="10"/>
  <c r="F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F206" i="9"/>
  <c r="C206" i="9"/>
  <c r="D205" i="9"/>
  <c r="E205" i="9"/>
  <c r="C205" i="9"/>
  <c r="D204" i="9"/>
  <c r="C204" i="9"/>
  <c r="D203" i="9"/>
  <c r="C203" i="9"/>
  <c r="D202" i="9"/>
  <c r="E202" i="9"/>
  <c r="C202" i="9"/>
  <c r="D201" i="9"/>
  <c r="C201" i="9"/>
  <c r="D200" i="9"/>
  <c r="E200" i="9"/>
  <c r="F200" i="9"/>
  <c r="C200" i="9"/>
  <c r="D199" i="9"/>
  <c r="D208" i="9"/>
  <c r="C199" i="9"/>
  <c r="D198" i="9"/>
  <c r="C198" i="9"/>
  <c r="C207" i="9"/>
  <c r="D193" i="9"/>
  <c r="E193" i="9"/>
  <c r="C193" i="9"/>
  <c r="D192" i="9"/>
  <c r="E192" i="9"/>
  <c r="F192" i="9"/>
  <c r="C192" i="9"/>
  <c r="F191" i="9"/>
  <c r="E191" i="9"/>
  <c r="E190" i="9"/>
  <c r="F190" i="9"/>
  <c r="F189" i="9"/>
  <c r="E189" i="9"/>
  <c r="F188" i="9"/>
  <c r="E188" i="9"/>
  <c r="F187" i="9"/>
  <c r="E187" i="9"/>
  <c r="E186" i="9"/>
  <c r="F186" i="9"/>
  <c r="E185" i="9"/>
  <c r="F185" i="9"/>
  <c r="F184" i="9"/>
  <c r="E184" i="9"/>
  <c r="E183" i="9"/>
  <c r="F183" i="9"/>
  <c r="D180" i="9"/>
  <c r="E180" i="9"/>
  <c r="C180" i="9"/>
  <c r="F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D153" i="9"/>
  <c r="E153" i="9"/>
  <c r="C153" i="9"/>
  <c r="F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D140" i="9"/>
  <c r="E140" i="9"/>
  <c r="F140" i="9"/>
  <c r="C140" i="9"/>
  <c r="E139" i="9"/>
  <c r="F139" i="9"/>
  <c r="E138" i="9"/>
  <c r="F138" i="9"/>
  <c r="E137" i="9"/>
  <c r="F137" i="9"/>
  <c r="F136" i="9"/>
  <c r="E136" i="9"/>
  <c r="F135" i="9"/>
  <c r="E135" i="9"/>
  <c r="E134" i="9"/>
  <c r="F134" i="9"/>
  <c r="E133" i="9"/>
  <c r="F133" i="9"/>
  <c r="F132" i="9"/>
  <c r="E132" i="9"/>
  <c r="E131" i="9"/>
  <c r="F131" i="9"/>
  <c r="D128" i="9"/>
  <c r="E128" i="9"/>
  <c r="C128" i="9"/>
  <c r="D127" i="9"/>
  <c r="E127" i="9"/>
  <c r="C127" i="9"/>
  <c r="F126" i="9"/>
  <c r="E126" i="9"/>
  <c r="F125" i="9"/>
  <c r="E125" i="9"/>
  <c r="F124" i="9"/>
  <c r="E124" i="9"/>
  <c r="E123" i="9"/>
  <c r="F123" i="9"/>
  <c r="F122" i="9"/>
  <c r="E122" i="9"/>
  <c r="F121" i="9"/>
  <c r="E121" i="9"/>
  <c r="F120" i="9"/>
  <c r="E120" i="9"/>
  <c r="E119" i="9"/>
  <c r="F119" i="9"/>
  <c r="F118" i="9"/>
  <c r="E118" i="9"/>
  <c r="D115" i="9"/>
  <c r="E115" i="9"/>
  <c r="F115" i="9"/>
  <c r="C115" i="9"/>
  <c r="D114" i="9"/>
  <c r="E114" i="9"/>
  <c r="F114" i="9"/>
  <c r="C114" i="9"/>
  <c r="F113" i="9"/>
  <c r="E113" i="9"/>
  <c r="F112" i="9"/>
  <c r="E112" i="9"/>
  <c r="E111" i="9"/>
  <c r="F111" i="9"/>
  <c r="F110" i="9"/>
  <c r="E110" i="9"/>
  <c r="F109" i="9"/>
  <c r="E109" i="9"/>
  <c r="F108" i="9"/>
  <c r="E108" i="9"/>
  <c r="E107" i="9"/>
  <c r="F107" i="9"/>
  <c r="F106" i="9"/>
  <c r="E106" i="9"/>
  <c r="F105" i="9"/>
  <c r="E105" i="9"/>
  <c r="D102" i="9"/>
  <c r="E102" i="9"/>
  <c r="F102" i="9"/>
  <c r="C102" i="9"/>
  <c r="D101" i="9"/>
  <c r="E101" i="9"/>
  <c r="C101" i="9"/>
  <c r="E100" i="9"/>
  <c r="F100" i="9"/>
  <c r="F99" i="9"/>
  <c r="E99" i="9"/>
  <c r="F98" i="9"/>
  <c r="E98" i="9"/>
  <c r="E97" i="9"/>
  <c r="F97" i="9"/>
  <c r="E96" i="9"/>
  <c r="F96" i="9"/>
  <c r="F95" i="9"/>
  <c r="E95" i="9"/>
  <c r="E94" i="9"/>
  <c r="F94" i="9"/>
  <c r="E93" i="9"/>
  <c r="F93" i="9"/>
  <c r="E92" i="9"/>
  <c r="F92" i="9"/>
  <c r="F89" i="9"/>
  <c r="D89" i="9"/>
  <c r="E89" i="9"/>
  <c r="C89" i="9"/>
  <c r="D88" i="9"/>
  <c r="C88" i="9"/>
  <c r="F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C76" i="9"/>
  <c r="D75" i="9"/>
  <c r="E75" i="9"/>
  <c r="F75" i="9"/>
  <c r="C75" i="9"/>
  <c r="F74" i="9"/>
  <c r="E74" i="9"/>
  <c r="E73" i="9"/>
  <c r="F73" i="9"/>
  <c r="E72" i="9"/>
  <c r="F72" i="9"/>
  <c r="F71" i="9"/>
  <c r="E71" i="9"/>
  <c r="E70" i="9"/>
  <c r="F70" i="9"/>
  <c r="E69" i="9"/>
  <c r="F69" i="9"/>
  <c r="E68" i="9"/>
  <c r="F68" i="9"/>
  <c r="F67" i="9"/>
  <c r="E67" i="9"/>
  <c r="E66" i="9"/>
  <c r="F66" i="9"/>
  <c r="D63" i="9"/>
  <c r="E63" i="9"/>
  <c r="C63" i="9"/>
  <c r="F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C49" i="9"/>
  <c r="E48" i="9"/>
  <c r="F48" i="9"/>
  <c r="F47" i="9"/>
  <c r="E47" i="9"/>
  <c r="E46" i="9"/>
  <c r="F46" i="9"/>
  <c r="E45" i="9"/>
  <c r="F45" i="9"/>
  <c r="E44" i="9"/>
  <c r="F44" i="9"/>
  <c r="F43" i="9"/>
  <c r="E43" i="9"/>
  <c r="E42" i="9"/>
  <c r="F42" i="9"/>
  <c r="E41" i="9"/>
  <c r="F41" i="9"/>
  <c r="E40" i="9"/>
  <c r="F40" i="9"/>
  <c r="D37" i="9"/>
  <c r="C37" i="9"/>
  <c r="D36" i="9"/>
  <c r="E36" i="9"/>
  <c r="C36" i="9"/>
  <c r="F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C24" i="9"/>
  <c r="D23" i="9"/>
  <c r="E23" i="9"/>
  <c r="F23" i="9"/>
  <c r="C23" i="9"/>
  <c r="F22" i="9"/>
  <c r="E22" i="9"/>
  <c r="E21" i="9"/>
  <c r="F21" i="9"/>
  <c r="E20" i="9"/>
  <c r="F20" i="9"/>
  <c r="F19" i="9"/>
  <c r="E19" i="9"/>
  <c r="F18" i="9"/>
  <c r="E18" i="9"/>
  <c r="E17" i="9"/>
  <c r="F17" i="9"/>
  <c r="E16" i="9"/>
  <c r="F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E160" i="8"/>
  <c r="E166" i="8"/>
  <c r="C160" i="8"/>
  <c r="C166" i="8"/>
  <c r="E147" i="8"/>
  <c r="E143" i="8"/>
  <c r="E149" i="8"/>
  <c r="D147" i="8"/>
  <c r="D143" i="8"/>
  <c r="D149" i="8"/>
  <c r="C147" i="8"/>
  <c r="C143" i="8"/>
  <c r="E145" i="8"/>
  <c r="D145" i="8"/>
  <c r="C145" i="8"/>
  <c r="C149" i="8"/>
  <c r="E144" i="8"/>
  <c r="D144" i="8"/>
  <c r="C144" i="8"/>
  <c r="E126" i="8"/>
  <c r="D126" i="8"/>
  <c r="C126" i="8"/>
  <c r="E119" i="8"/>
  <c r="D119" i="8"/>
  <c r="C119" i="8"/>
  <c r="E108" i="8"/>
  <c r="D108" i="8"/>
  <c r="D109" i="8"/>
  <c r="D106" i="8"/>
  <c r="C108" i="8"/>
  <c r="E107" i="8"/>
  <c r="E109" i="8"/>
  <c r="E106" i="8"/>
  <c r="D107" i="8"/>
  <c r="C107" i="8"/>
  <c r="C109" i="8"/>
  <c r="C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D94" i="8"/>
  <c r="C95" i="8"/>
  <c r="C94" i="8"/>
  <c r="E89" i="8"/>
  <c r="D89" i="8"/>
  <c r="C89" i="8"/>
  <c r="E87" i="8"/>
  <c r="D87" i="8"/>
  <c r="C87" i="8"/>
  <c r="E84" i="8"/>
  <c r="E79" i="8"/>
  <c r="D84" i="8"/>
  <c r="C84" i="8"/>
  <c r="E83" i="8"/>
  <c r="D83" i="8"/>
  <c r="C83" i="8"/>
  <c r="C79" i="8"/>
  <c r="D79" i="8"/>
  <c r="E77" i="8"/>
  <c r="C77" i="8"/>
  <c r="C71" i="8"/>
  <c r="E75" i="8"/>
  <c r="E88" i="8"/>
  <c r="E90" i="8"/>
  <c r="E86" i="8"/>
  <c r="D75" i="8"/>
  <c r="D88" i="8"/>
  <c r="D90" i="8"/>
  <c r="D86" i="8"/>
  <c r="C75" i="8"/>
  <c r="C88" i="8"/>
  <c r="E74" i="8"/>
  <c r="D74" i="8"/>
  <c r="C74" i="8"/>
  <c r="E67" i="8"/>
  <c r="D67" i="8"/>
  <c r="C67" i="8"/>
  <c r="E38" i="8"/>
  <c r="E57" i="8"/>
  <c r="E62" i="8"/>
  <c r="D38" i="8"/>
  <c r="C38" i="8"/>
  <c r="C57" i="8"/>
  <c r="C62" i="8"/>
  <c r="E33" i="8"/>
  <c r="E34" i="8"/>
  <c r="D33" i="8"/>
  <c r="D34" i="8"/>
  <c r="E26" i="8"/>
  <c r="D26" i="8"/>
  <c r="C26" i="8"/>
  <c r="C25" i="8"/>
  <c r="C27" i="8"/>
  <c r="C15" i="8"/>
  <c r="C24" i="8"/>
  <c r="E13" i="8"/>
  <c r="D13" i="8"/>
  <c r="D25" i="8"/>
  <c r="D27" i="8"/>
  <c r="C13" i="8"/>
  <c r="F186" i="7"/>
  <c r="E186" i="7"/>
  <c r="D183" i="7"/>
  <c r="C183" i="7"/>
  <c r="F182" i="7"/>
  <c r="E182" i="7"/>
  <c r="E181" i="7"/>
  <c r="F181" i="7"/>
  <c r="F180" i="7"/>
  <c r="E180" i="7"/>
  <c r="F179" i="7"/>
  <c r="E179" i="7"/>
  <c r="E178" i="7"/>
  <c r="F178" i="7"/>
  <c r="E177" i="7"/>
  <c r="F177" i="7"/>
  <c r="F176" i="7"/>
  <c r="E176" i="7"/>
  <c r="F175" i="7"/>
  <c r="E175" i="7"/>
  <c r="F174" i="7"/>
  <c r="E174" i="7"/>
  <c r="E173" i="7"/>
  <c r="F173" i="7"/>
  <c r="F172" i="7"/>
  <c r="E172" i="7"/>
  <c r="E171" i="7"/>
  <c r="F171" i="7"/>
  <c r="E170" i="7"/>
  <c r="F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E161" i="7"/>
  <c r="F161" i="7"/>
  <c r="F160" i="7"/>
  <c r="E160" i="7"/>
  <c r="F159" i="7"/>
  <c r="E159" i="7"/>
  <c r="F158" i="7"/>
  <c r="E158" i="7"/>
  <c r="E157" i="7"/>
  <c r="F157" i="7"/>
  <c r="E156" i="7"/>
  <c r="F156" i="7"/>
  <c r="F155" i="7"/>
  <c r="E155" i="7"/>
  <c r="F154" i="7"/>
  <c r="E154" i="7"/>
  <c r="E153" i="7"/>
  <c r="F153" i="7"/>
  <c r="F152" i="7"/>
  <c r="E152" i="7"/>
  <c r="F151" i="7"/>
  <c r="E151" i="7"/>
  <c r="E150" i="7"/>
  <c r="F150" i="7"/>
  <c r="F149" i="7"/>
  <c r="E149" i="7"/>
  <c r="F148" i="7"/>
  <c r="E148" i="7"/>
  <c r="E147" i="7"/>
  <c r="F147" i="7"/>
  <c r="F146" i="7"/>
  <c r="E146" i="7"/>
  <c r="E145" i="7"/>
  <c r="F145" i="7"/>
  <c r="F144" i="7"/>
  <c r="E144" i="7"/>
  <c r="E143" i="7"/>
  <c r="F143" i="7"/>
  <c r="E142" i="7"/>
  <c r="F142" i="7"/>
  <c r="E141" i="7"/>
  <c r="F141" i="7"/>
  <c r="F140" i="7"/>
  <c r="E140" i="7"/>
  <c r="F139" i="7"/>
  <c r="E139" i="7"/>
  <c r="E138" i="7"/>
  <c r="F138" i="7"/>
  <c r="E137" i="7"/>
  <c r="F137" i="7"/>
  <c r="E136" i="7"/>
  <c r="F136" i="7"/>
  <c r="F135" i="7"/>
  <c r="E135" i="7"/>
  <c r="E134" i="7"/>
  <c r="F134" i="7"/>
  <c r="E133" i="7"/>
  <c r="F133" i="7"/>
  <c r="D130" i="7"/>
  <c r="E130" i="7"/>
  <c r="F130" i="7"/>
  <c r="C130" i="7"/>
  <c r="F129" i="7"/>
  <c r="E129" i="7"/>
  <c r="E128" i="7"/>
  <c r="F128" i="7"/>
  <c r="E127" i="7"/>
  <c r="F127" i="7"/>
  <c r="F126" i="7"/>
  <c r="E126" i="7"/>
  <c r="F125" i="7"/>
  <c r="E125" i="7"/>
  <c r="E124" i="7"/>
  <c r="F124" i="7"/>
  <c r="D121" i="7"/>
  <c r="C121" i="7"/>
  <c r="F120" i="7"/>
  <c r="E120" i="7"/>
  <c r="E119" i="7"/>
  <c r="F119" i="7"/>
  <c r="E118" i="7"/>
  <c r="F118" i="7"/>
  <c r="F117" i="7"/>
  <c r="E117" i="7"/>
  <c r="F116" i="7"/>
  <c r="E116" i="7"/>
  <c r="F115" i="7"/>
  <c r="E115" i="7"/>
  <c r="E114" i="7"/>
  <c r="F114" i="7"/>
  <c r="E113" i="7"/>
  <c r="F113" i="7"/>
  <c r="E112" i="7"/>
  <c r="F112" i="7"/>
  <c r="F111" i="7"/>
  <c r="E111" i="7"/>
  <c r="E110" i="7"/>
  <c r="F110" i="7"/>
  <c r="F109" i="7"/>
  <c r="E109" i="7"/>
  <c r="F108" i="7"/>
  <c r="E108" i="7"/>
  <c r="F107" i="7"/>
  <c r="E107" i="7"/>
  <c r="E106" i="7"/>
  <c r="F106" i="7"/>
  <c r="F105" i="7"/>
  <c r="E105" i="7"/>
  <c r="E104" i="7"/>
  <c r="F104" i="7"/>
  <c r="F103" i="7"/>
  <c r="E103" i="7"/>
  <c r="E93" i="7"/>
  <c r="F93" i="7"/>
  <c r="D90" i="7"/>
  <c r="E90" i="7"/>
  <c r="F90" i="7"/>
  <c r="D95" i="7"/>
  <c r="C90" i="7"/>
  <c r="F89" i="7"/>
  <c r="E89" i="7"/>
  <c r="F88" i="7"/>
  <c r="E88" i="7"/>
  <c r="E87" i="7"/>
  <c r="F87" i="7"/>
  <c r="F86" i="7"/>
  <c r="E86" i="7"/>
  <c r="F85" i="7"/>
  <c r="E85" i="7"/>
  <c r="E84" i="7"/>
  <c r="F84" i="7"/>
  <c r="E83" i="7"/>
  <c r="F83" i="7"/>
  <c r="F82" i="7"/>
  <c r="E82" i="7"/>
  <c r="F81" i="7"/>
  <c r="E81" i="7"/>
  <c r="E80" i="7"/>
  <c r="F80" i="7"/>
  <c r="E79" i="7"/>
  <c r="F79" i="7"/>
  <c r="F78" i="7"/>
  <c r="E78" i="7"/>
  <c r="F77" i="7"/>
  <c r="E77" i="7"/>
  <c r="E76" i="7"/>
  <c r="F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E68" i="7"/>
  <c r="F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E39" i="7"/>
  <c r="F39" i="7"/>
  <c r="F38" i="7"/>
  <c r="E38" i="7"/>
  <c r="D35" i="7"/>
  <c r="E35" i="7"/>
  <c r="F35" i="7"/>
  <c r="C35" i="7"/>
  <c r="F34" i="7"/>
  <c r="E34" i="7"/>
  <c r="F33" i="7"/>
  <c r="E33" i="7"/>
  <c r="D30" i="7"/>
  <c r="E30" i="7"/>
  <c r="C30" i="7"/>
  <c r="F30" i="7"/>
  <c r="E29" i="7"/>
  <c r="F29" i="7"/>
  <c r="F28" i="7"/>
  <c r="E28" i="7"/>
  <c r="F27" i="7"/>
  <c r="E27" i="7"/>
  <c r="D24" i="7"/>
  <c r="E24" i="7"/>
  <c r="C24" i="7"/>
  <c r="F23" i="7"/>
  <c r="E23" i="7"/>
  <c r="F22" i="7"/>
  <c r="E22" i="7"/>
  <c r="E21" i="7"/>
  <c r="F21" i="7"/>
  <c r="D18" i="7"/>
  <c r="E18" i="7"/>
  <c r="F18" i="7"/>
  <c r="C18" i="7"/>
  <c r="F17" i="7"/>
  <c r="E17" i="7"/>
  <c r="F16" i="7"/>
  <c r="E16" i="7"/>
  <c r="E15" i="7"/>
  <c r="F15" i="7"/>
  <c r="D179" i="6"/>
  <c r="E179" i="6"/>
  <c r="F179" i="6"/>
  <c r="C179" i="6"/>
  <c r="F178" i="6"/>
  <c r="E178" i="6"/>
  <c r="F177" i="6"/>
  <c r="E177" i="6"/>
  <c r="F176" i="6"/>
  <c r="E176" i="6"/>
  <c r="F175" i="6"/>
  <c r="E175" i="6"/>
  <c r="F174" i="6"/>
  <c r="E174" i="6"/>
  <c r="E173" i="6"/>
  <c r="F173" i="6"/>
  <c r="F172" i="6"/>
  <c r="E172" i="6"/>
  <c r="F171" i="6"/>
  <c r="E171" i="6"/>
  <c r="F170" i="6"/>
  <c r="E170" i="6"/>
  <c r="E169" i="6"/>
  <c r="F169" i="6"/>
  <c r="F168" i="6"/>
  <c r="E168" i="6"/>
  <c r="D166" i="6"/>
  <c r="C166" i="6"/>
  <c r="F165" i="6"/>
  <c r="E165" i="6"/>
  <c r="F164" i="6"/>
  <c r="E164" i="6"/>
  <c r="F163" i="6"/>
  <c r="E163" i="6"/>
  <c r="E162" i="6"/>
  <c r="F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C153" i="6"/>
  <c r="E153" i="6"/>
  <c r="F153" i="6"/>
  <c r="F152" i="6"/>
  <c r="E152" i="6"/>
  <c r="F151" i="6"/>
  <c r="E151" i="6"/>
  <c r="E150" i="6"/>
  <c r="F150" i="6"/>
  <c r="E149" i="6"/>
  <c r="F149" i="6"/>
  <c r="F148" i="6"/>
  <c r="E148" i="6"/>
  <c r="F147" i="6"/>
  <c r="E147" i="6"/>
  <c r="E146" i="6"/>
  <c r="F146" i="6"/>
  <c r="F145" i="6"/>
  <c r="E145" i="6"/>
  <c r="F144" i="6"/>
  <c r="E144" i="6"/>
  <c r="F143" i="6"/>
  <c r="E143" i="6"/>
  <c r="E142" i="6"/>
  <c r="F142" i="6"/>
  <c r="D137" i="6"/>
  <c r="E137" i="6"/>
  <c r="F137" i="6"/>
  <c r="C137" i="6"/>
  <c r="F136" i="6"/>
  <c r="E136" i="6"/>
  <c r="F135" i="6"/>
  <c r="E135" i="6"/>
  <c r="E134" i="6"/>
  <c r="F134" i="6"/>
  <c r="F133" i="6"/>
  <c r="E133" i="6"/>
  <c r="F132" i="6"/>
  <c r="E132" i="6"/>
  <c r="E131" i="6"/>
  <c r="F131" i="6"/>
  <c r="F130" i="6"/>
  <c r="E130" i="6"/>
  <c r="F129" i="6"/>
  <c r="E129" i="6"/>
  <c r="F128" i="6"/>
  <c r="E128" i="6"/>
  <c r="E127" i="6"/>
  <c r="F127" i="6"/>
  <c r="E126" i="6"/>
  <c r="F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E118" i="6"/>
  <c r="F118" i="6"/>
  <c r="F117" i="6"/>
  <c r="E117" i="6"/>
  <c r="F116" i="6"/>
  <c r="E116" i="6"/>
  <c r="F115" i="6"/>
  <c r="E115" i="6"/>
  <c r="E114" i="6"/>
  <c r="F114" i="6"/>
  <c r="F113" i="6"/>
  <c r="E113" i="6"/>
  <c r="D111" i="6"/>
  <c r="C111" i="6"/>
  <c r="E110" i="6"/>
  <c r="F110" i="6"/>
  <c r="F109" i="6"/>
  <c r="E109" i="6"/>
  <c r="F108" i="6"/>
  <c r="E108" i="6"/>
  <c r="E107" i="6"/>
  <c r="F107" i="6"/>
  <c r="E106" i="6"/>
  <c r="F106" i="6"/>
  <c r="F105" i="6"/>
  <c r="E105" i="6"/>
  <c r="F104" i="6"/>
  <c r="E104" i="6"/>
  <c r="F103" i="6"/>
  <c r="E103" i="6"/>
  <c r="E102" i="6"/>
  <c r="F102" i="6"/>
  <c r="F101" i="6"/>
  <c r="E101" i="6"/>
  <c r="F100" i="6"/>
  <c r="E100" i="6"/>
  <c r="D94" i="6"/>
  <c r="E94" i="6"/>
  <c r="C94" i="6"/>
  <c r="F93" i="6"/>
  <c r="D93" i="6"/>
  <c r="E93" i="6"/>
  <c r="C93" i="6"/>
  <c r="D92" i="6"/>
  <c r="E92" i="6"/>
  <c r="C92" i="6"/>
  <c r="F92" i="6"/>
  <c r="D91" i="6"/>
  <c r="E91" i="6"/>
  <c r="F91" i="6"/>
  <c r="C91" i="6"/>
  <c r="D90" i="6"/>
  <c r="C90" i="6"/>
  <c r="D89" i="6"/>
  <c r="E89" i="6"/>
  <c r="F89" i="6"/>
  <c r="C89" i="6"/>
  <c r="D88" i="6"/>
  <c r="E88" i="6"/>
  <c r="C88" i="6"/>
  <c r="F88" i="6"/>
  <c r="F87" i="6"/>
  <c r="D87" i="6"/>
  <c r="E87" i="6"/>
  <c r="C87" i="6"/>
  <c r="D86" i="6"/>
  <c r="E86" i="6"/>
  <c r="C86" i="6"/>
  <c r="F86" i="6"/>
  <c r="D85" i="6"/>
  <c r="E85" i="6"/>
  <c r="F85" i="6"/>
  <c r="C85" i="6"/>
  <c r="D84" i="6"/>
  <c r="C84" i="6"/>
  <c r="E84" i="6"/>
  <c r="D81" i="6"/>
  <c r="C81" i="6"/>
  <c r="F80" i="6"/>
  <c r="E80" i="6"/>
  <c r="F79" i="6"/>
  <c r="E79" i="6"/>
  <c r="E78" i="6"/>
  <c r="F78" i="6"/>
  <c r="E77" i="6"/>
  <c r="F77" i="6"/>
  <c r="F76" i="6"/>
  <c r="E76" i="6"/>
  <c r="F75" i="6"/>
  <c r="E75" i="6"/>
  <c r="E74" i="6"/>
  <c r="F74" i="6"/>
  <c r="F73" i="6"/>
  <c r="E73" i="6"/>
  <c r="F72" i="6"/>
  <c r="E72" i="6"/>
  <c r="E71" i="6"/>
  <c r="F71" i="6"/>
  <c r="E70" i="6"/>
  <c r="F70" i="6"/>
  <c r="D68" i="6"/>
  <c r="E68" i="6"/>
  <c r="C68" i="6"/>
  <c r="F68" i="6"/>
  <c r="F67" i="6"/>
  <c r="E67" i="6"/>
  <c r="F66" i="6"/>
  <c r="E66" i="6"/>
  <c r="E65" i="6"/>
  <c r="F65" i="6"/>
  <c r="F64" i="6"/>
  <c r="E64" i="6"/>
  <c r="F63" i="6"/>
  <c r="E63" i="6"/>
  <c r="E62" i="6"/>
  <c r="F62" i="6"/>
  <c r="E61" i="6"/>
  <c r="F61" i="6"/>
  <c r="F60" i="6"/>
  <c r="E60" i="6"/>
  <c r="F59" i="6"/>
  <c r="E59" i="6"/>
  <c r="E58" i="6"/>
  <c r="F58" i="6"/>
  <c r="E57" i="6"/>
  <c r="F57" i="6"/>
  <c r="D51" i="6"/>
  <c r="E51" i="6"/>
  <c r="C51" i="6"/>
  <c r="F51" i="6"/>
  <c r="D50" i="6"/>
  <c r="C50" i="6"/>
  <c r="F50" i="6"/>
  <c r="D49" i="6"/>
  <c r="E49" i="6"/>
  <c r="C49" i="6"/>
  <c r="D48" i="6"/>
  <c r="C48" i="6"/>
  <c r="D47" i="6"/>
  <c r="E47" i="6"/>
  <c r="F47" i="6"/>
  <c r="C47" i="6"/>
  <c r="D46" i="6"/>
  <c r="C46" i="6"/>
  <c r="D45" i="6"/>
  <c r="C45" i="6"/>
  <c r="D44" i="6"/>
  <c r="E44" i="6"/>
  <c r="C44" i="6"/>
  <c r="F44" i="6"/>
  <c r="D43" i="6"/>
  <c r="E43" i="6"/>
  <c r="C43" i="6"/>
  <c r="D42" i="6"/>
  <c r="C42" i="6"/>
  <c r="D41" i="6"/>
  <c r="D52" i="6"/>
  <c r="C41" i="6"/>
  <c r="D38" i="6"/>
  <c r="C38" i="6"/>
  <c r="F37" i="6"/>
  <c r="E37" i="6"/>
  <c r="F36" i="6"/>
  <c r="E36" i="6"/>
  <c r="F35" i="6"/>
  <c r="E35" i="6"/>
  <c r="E34" i="6"/>
  <c r="F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C25" i="6"/>
  <c r="E25" i="6"/>
  <c r="F25" i="6"/>
  <c r="F24" i="6"/>
  <c r="E24" i="6"/>
  <c r="F23" i="6"/>
  <c r="E23" i="6"/>
  <c r="E22" i="6"/>
  <c r="F22" i="6"/>
  <c r="E21" i="6"/>
  <c r="F21" i="6"/>
  <c r="F20" i="6"/>
  <c r="E20" i="6"/>
  <c r="F19" i="6"/>
  <c r="E19" i="6"/>
  <c r="E18" i="6"/>
  <c r="F18" i="6"/>
  <c r="F17" i="6"/>
  <c r="E17" i="6"/>
  <c r="F16" i="6"/>
  <c r="E16" i="6"/>
  <c r="F15" i="6"/>
  <c r="E15" i="6"/>
  <c r="E14" i="6"/>
  <c r="F14" i="6"/>
  <c r="E51" i="5"/>
  <c r="F51" i="5"/>
  <c r="D48" i="5"/>
  <c r="E48" i="5"/>
  <c r="F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E32" i="5"/>
  <c r="F32" i="5"/>
  <c r="F31" i="5"/>
  <c r="E31" i="5"/>
  <c r="F30" i="5"/>
  <c r="E30" i="5"/>
  <c r="F29" i="5"/>
  <c r="E29" i="5"/>
  <c r="E28" i="5"/>
  <c r="F28" i="5"/>
  <c r="F27" i="5"/>
  <c r="E27" i="5"/>
  <c r="F26" i="5"/>
  <c r="E26" i="5"/>
  <c r="F25" i="5"/>
  <c r="E25" i="5"/>
  <c r="E24" i="5"/>
  <c r="F24" i="5"/>
  <c r="F20" i="5"/>
  <c r="E20" i="5"/>
  <c r="F19" i="5"/>
  <c r="E19" i="5"/>
  <c r="E17" i="5"/>
  <c r="F17" i="5"/>
  <c r="D16" i="5"/>
  <c r="D18" i="5"/>
  <c r="C16" i="5"/>
  <c r="C18" i="5"/>
  <c r="C21" i="5"/>
  <c r="F15" i="5"/>
  <c r="E15" i="5"/>
  <c r="E14" i="5"/>
  <c r="F14" i="5"/>
  <c r="F13" i="5"/>
  <c r="E13" i="5"/>
  <c r="F12" i="5"/>
  <c r="E12" i="5"/>
  <c r="D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/>
  <c r="C61" i="4"/>
  <c r="C65" i="4"/>
  <c r="E65" i="4"/>
  <c r="F65" i="4"/>
  <c r="F60" i="4"/>
  <c r="E60" i="4"/>
  <c r="F59" i="4"/>
  <c r="E59" i="4"/>
  <c r="D56" i="4"/>
  <c r="D75" i="4"/>
  <c r="E75" i="4"/>
  <c r="C56" i="4"/>
  <c r="E56" i="4"/>
  <c r="C75" i="4"/>
  <c r="E55" i="4"/>
  <c r="F55" i="4"/>
  <c r="F54" i="4"/>
  <c r="E54" i="4"/>
  <c r="F53" i="4"/>
  <c r="E53" i="4"/>
  <c r="F52" i="4"/>
  <c r="E52" i="4"/>
  <c r="E51" i="4"/>
  <c r="F51" i="4"/>
  <c r="A53" i="4"/>
  <c r="A54" i="4"/>
  <c r="A55" i="4"/>
  <c r="E50" i="4"/>
  <c r="F50" i="4"/>
  <c r="A50" i="4"/>
  <c r="A51" i="4"/>
  <c r="A52" i="4"/>
  <c r="E49" i="4"/>
  <c r="F49" i="4"/>
  <c r="F40" i="4"/>
  <c r="E40" i="4"/>
  <c r="D38" i="4"/>
  <c r="C38" i="4"/>
  <c r="F37" i="4"/>
  <c r="E37" i="4"/>
  <c r="E36" i="4"/>
  <c r="F36" i="4"/>
  <c r="F33" i="4"/>
  <c r="E33" i="4"/>
  <c r="F32" i="4"/>
  <c r="E32" i="4"/>
  <c r="F31" i="4"/>
  <c r="E31" i="4"/>
  <c r="F29" i="4"/>
  <c r="D29" i="4"/>
  <c r="E29" i="4"/>
  <c r="C29" i="4"/>
  <c r="F28" i="4"/>
  <c r="E28" i="4"/>
  <c r="F27" i="4"/>
  <c r="E27" i="4"/>
  <c r="F26" i="4"/>
  <c r="E26" i="4"/>
  <c r="F25" i="4"/>
  <c r="E25" i="4"/>
  <c r="D22" i="4"/>
  <c r="C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D108" i="22"/>
  <c r="D109" i="22"/>
  <c r="D22" i="22"/>
  <c r="D35" i="22"/>
  <c r="C23" i="22"/>
  <c r="E23" i="22"/>
  <c r="E40" i="22"/>
  <c r="C34" i="22"/>
  <c r="C22" i="22"/>
  <c r="E22" i="22"/>
  <c r="E53" i="22"/>
  <c r="D268" i="17"/>
  <c r="C41" i="20"/>
  <c r="E39" i="20"/>
  <c r="D283" i="17"/>
  <c r="D286" i="17"/>
  <c r="E283" i="17"/>
  <c r="E19" i="20"/>
  <c r="F19" i="20"/>
  <c r="D269" i="17"/>
  <c r="D270" i="17"/>
  <c r="C22" i="19"/>
  <c r="D277" i="17"/>
  <c r="D284" i="17"/>
  <c r="C22" i="18"/>
  <c r="C284" i="18"/>
  <c r="C294" i="18"/>
  <c r="E294" i="18"/>
  <c r="E32" i="18"/>
  <c r="E36" i="18"/>
  <c r="E54" i="18"/>
  <c r="D65" i="18"/>
  <c r="D294" i="18"/>
  <c r="E70" i="18"/>
  <c r="D71" i="18"/>
  <c r="D76" i="18"/>
  <c r="D274" i="17"/>
  <c r="D278" i="17"/>
  <c r="E278" i="17"/>
  <c r="F278" i="17"/>
  <c r="D290" i="17"/>
  <c r="E21" i="18"/>
  <c r="E69" i="18"/>
  <c r="D163" i="18"/>
  <c r="C261" i="18"/>
  <c r="C189" i="18"/>
  <c r="D260" i="18"/>
  <c r="E195" i="18"/>
  <c r="C303" i="18"/>
  <c r="C306" i="18"/>
  <c r="C310" i="18"/>
  <c r="D144" i="18"/>
  <c r="E239" i="18"/>
  <c r="D303" i="18"/>
  <c r="E303" i="18"/>
  <c r="D320" i="18"/>
  <c r="E320" i="18"/>
  <c r="C210" i="18"/>
  <c r="E215" i="18"/>
  <c r="E219" i="18"/>
  <c r="E221" i="18"/>
  <c r="E265" i="18"/>
  <c r="E314" i="18"/>
  <c r="D326" i="18"/>
  <c r="E205" i="18"/>
  <c r="E220" i="18"/>
  <c r="C222" i="18"/>
  <c r="E233" i="18"/>
  <c r="E251" i="18"/>
  <c r="E301" i="18"/>
  <c r="E24" i="17"/>
  <c r="F24" i="17"/>
  <c r="E30" i="17"/>
  <c r="F30" i="17"/>
  <c r="E36" i="17"/>
  <c r="F36" i="17"/>
  <c r="E47" i="17"/>
  <c r="F47" i="17"/>
  <c r="C61" i="17"/>
  <c r="C68" i="17"/>
  <c r="E181" i="17"/>
  <c r="F181" i="17"/>
  <c r="C282" i="17"/>
  <c r="C266" i="17"/>
  <c r="E20" i="17"/>
  <c r="F20" i="17"/>
  <c r="E29" i="17"/>
  <c r="F29" i="17"/>
  <c r="D62" i="17"/>
  <c r="C31" i="17"/>
  <c r="C37" i="17"/>
  <c r="F44" i="17"/>
  <c r="D160" i="17"/>
  <c r="C48" i="17"/>
  <c r="E53" i="17"/>
  <c r="F53" i="17"/>
  <c r="E59" i="17"/>
  <c r="F59" i="17"/>
  <c r="F60" i="17"/>
  <c r="E67" i="17"/>
  <c r="F67" i="17"/>
  <c r="D89" i="17"/>
  <c r="C194" i="17"/>
  <c r="C138" i="17"/>
  <c r="D102" i="17"/>
  <c r="D124" i="17"/>
  <c r="E124" i="17"/>
  <c r="F124" i="17"/>
  <c r="D137" i="17"/>
  <c r="E158" i="17"/>
  <c r="F158" i="17"/>
  <c r="E170" i="17"/>
  <c r="F170" i="17"/>
  <c r="E179" i="17"/>
  <c r="F179" i="17"/>
  <c r="C280" i="17"/>
  <c r="E191" i="17"/>
  <c r="F191" i="17"/>
  <c r="C200" i="17"/>
  <c r="C283" i="17"/>
  <c r="E203" i="17"/>
  <c r="F203" i="17"/>
  <c r="C214" i="17"/>
  <c r="F227" i="17"/>
  <c r="E230" i="17"/>
  <c r="F230" i="17"/>
  <c r="E238" i="17"/>
  <c r="F238" i="17"/>
  <c r="C264" i="17"/>
  <c r="C267" i="17"/>
  <c r="E280" i="17"/>
  <c r="F280" i="17"/>
  <c r="D288" i="17"/>
  <c r="D21" i="17"/>
  <c r="E123" i="17"/>
  <c r="F123" i="17"/>
  <c r="C124" i="17"/>
  <c r="E155" i="17"/>
  <c r="F155" i="17"/>
  <c r="C159" i="17"/>
  <c r="E165" i="17"/>
  <c r="F165" i="17"/>
  <c r="E171" i="17"/>
  <c r="E180" i="17"/>
  <c r="F180" i="17"/>
  <c r="D263" i="17"/>
  <c r="C278" i="17"/>
  <c r="E189" i="17"/>
  <c r="F189" i="17"/>
  <c r="C192" i="17"/>
  <c r="C290" i="17"/>
  <c r="C274" i="17"/>
  <c r="E274" i="17"/>
  <c r="F274" i="17"/>
  <c r="E198" i="17"/>
  <c r="F198" i="17"/>
  <c r="E226" i="17"/>
  <c r="F226" i="17"/>
  <c r="E229" i="17"/>
  <c r="F229" i="17"/>
  <c r="E237" i="17"/>
  <c r="F237" i="17"/>
  <c r="C239" i="17"/>
  <c r="C306" i="17"/>
  <c r="F250" i="17"/>
  <c r="E264" i="17"/>
  <c r="F264" i="17"/>
  <c r="D271" i="17"/>
  <c r="D273" i="17"/>
  <c r="E311" i="17"/>
  <c r="D190" i="17"/>
  <c r="D193" i="17"/>
  <c r="D194" i="17"/>
  <c r="D196" i="17"/>
  <c r="D200" i="17"/>
  <c r="E200" i="17"/>
  <c r="D205" i="17"/>
  <c r="D206" i="17"/>
  <c r="D214" i="17"/>
  <c r="D215" i="17"/>
  <c r="E307" i="17"/>
  <c r="F307" i="17"/>
  <c r="F36" i="14"/>
  <c r="F38" i="14"/>
  <c r="F40" i="14"/>
  <c r="I17" i="14"/>
  <c r="D31" i="14"/>
  <c r="F31" i="14"/>
  <c r="C33" i="14"/>
  <c r="C36" i="14"/>
  <c r="C38" i="14"/>
  <c r="C40" i="14"/>
  <c r="G33" i="14"/>
  <c r="H17" i="14"/>
  <c r="D21" i="13"/>
  <c r="D15" i="13"/>
  <c r="D48" i="13"/>
  <c r="D42" i="13"/>
  <c r="C20" i="12"/>
  <c r="E15" i="12"/>
  <c r="F15" i="12"/>
  <c r="C43" i="11"/>
  <c r="E41" i="11"/>
  <c r="E22" i="11"/>
  <c r="F22" i="11"/>
  <c r="E38" i="11"/>
  <c r="F38" i="11"/>
  <c r="E56" i="11"/>
  <c r="F56" i="11"/>
  <c r="E24" i="10"/>
  <c r="E35" i="10"/>
  <c r="E36" i="10"/>
  <c r="E47" i="10"/>
  <c r="E48" i="10"/>
  <c r="E60" i="10"/>
  <c r="E71" i="10"/>
  <c r="E72" i="10"/>
  <c r="E83" i="10"/>
  <c r="E95" i="10"/>
  <c r="E96" i="10"/>
  <c r="E107" i="10"/>
  <c r="E112" i="10"/>
  <c r="E113" i="10"/>
  <c r="E115" i="10"/>
  <c r="E116" i="10"/>
  <c r="E117" i="10"/>
  <c r="E118" i="10"/>
  <c r="E119" i="10"/>
  <c r="E120" i="10"/>
  <c r="C121" i="10"/>
  <c r="C122" i="10"/>
  <c r="E199" i="9"/>
  <c r="F199" i="9"/>
  <c r="D21" i="8"/>
  <c r="C20" i="8"/>
  <c r="D152" i="8"/>
  <c r="E140" i="8"/>
  <c r="E138" i="8"/>
  <c r="D139" i="8"/>
  <c r="D135" i="8"/>
  <c r="C153" i="8"/>
  <c r="C156" i="8"/>
  <c r="C154" i="8"/>
  <c r="C152" i="8"/>
  <c r="D15" i="8"/>
  <c r="C17" i="8"/>
  <c r="C43" i="8"/>
  <c r="E43" i="8"/>
  <c r="C53" i="8"/>
  <c r="E53" i="8"/>
  <c r="D77" i="8"/>
  <c r="D71" i="8"/>
  <c r="C49" i="8"/>
  <c r="E49" i="8"/>
  <c r="E41" i="6"/>
  <c r="F84" i="6"/>
  <c r="E16" i="5"/>
  <c r="F16" i="5"/>
  <c r="E22" i="4"/>
  <c r="F22" i="4"/>
  <c r="E45" i="22"/>
  <c r="E39" i="22"/>
  <c r="E35" i="22"/>
  <c r="E29" i="22"/>
  <c r="E55" i="22"/>
  <c r="C36" i="22"/>
  <c r="C30" i="22"/>
  <c r="C35" i="22"/>
  <c r="C29" i="22"/>
  <c r="C37" i="22"/>
  <c r="E111" i="22"/>
  <c r="D110" i="22"/>
  <c r="D53" i="22"/>
  <c r="D45" i="22"/>
  <c r="D39" i="22"/>
  <c r="D29" i="22"/>
  <c r="D287" i="17"/>
  <c r="D272" i="17"/>
  <c r="C211" i="18"/>
  <c r="C235" i="18"/>
  <c r="C234" i="18"/>
  <c r="D168" i="18"/>
  <c r="D145" i="18"/>
  <c r="E260" i="18"/>
  <c r="D306" i="18"/>
  <c r="E306" i="18"/>
  <c r="D66" i="18"/>
  <c r="E65" i="18"/>
  <c r="D255" i="17"/>
  <c r="E290" i="17"/>
  <c r="F290" i="17"/>
  <c r="F200" i="17"/>
  <c r="C281" i="17"/>
  <c r="D103" i="17"/>
  <c r="C195" i="17"/>
  <c r="C125" i="17"/>
  <c r="E48" i="17"/>
  <c r="D125" i="17"/>
  <c r="E125" i="17"/>
  <c r="F125" i="17"/>
  <c r="D63" i="17"/>
  <c r="C139" i="17"/>
  <c r="D254" i="17"/>
  <c r="D216" i="17"/>
  <c r="E214" i="17"/>
  <c r="D304" i="17"/>
  <c r="D161" i="17"/>
  <c r="D162" i="17"/>
  <c r="D126" i="17"/>
  <c r="C300" i="17"/>
  <c r="C265" i="17"/>
  <c r="F283" i="17"/>
  <c r="D138" i="17"/>
  <c r="E267" i="17"/>
  <c r="E61" i="17"/>
  <c r="C32" i="17"/>
  <c r="E31" i="17"/>
  <c r="F31" i="17"/>
  <c r="E239" i="17"/>
  <c r="F239" i="17"/>
  <c r="E192" i="17"/>
  <c r="F192" i="17"/>
  <c r="G36" i="14"/>
  <c r="G38" i="14"/>
  <c r="G40" i="14"/>
  <c r="I33" i="14"/>
  <c r="I36" i="14"/>
  <c r="I38" i="14"/>
  <c r="I40" i="14"/>
  <c r="H33" i="14"/>
  <c r="H36" i="14"/>
  <c r="H38" i="14"/>
  <c r="H40" i="14"/>
  <c r="D24" i="13"/>
  <c r="D20" i="13"/>
  <c r="D17" i="13"/>
  <c r="D28" i="13"/>
  <c r="D22" i="13"/>
  <c r="C34" i="12"/>
  <c r="E43" i="11"/>
  <c r="D24" i="8"/>
  <c r="D20" i="8"/>
  <c r="D17" i="8"/>
  <c r="C112" i="8"/>
  <c r="C111" i="8"/>
  <c r="C28" i="8"/>
  <c r="C35" i="5"/>
  <c r="D112" i="22"/>
  <c r="D55" i="22"/>
  <c r="D47" i="22"/>
  <c r="D37" i="22"/>
  <c r="C38" i="22"/>
  <c r="C55" i="22"/>
  <c r="C47" i="22"/>
  <c r="D289" i="17"/>
  <c r="D169" i="18"/>
  <c r="E66" i="18"/>
  <c r="D197" i="17"/>
  <c r="C140" i="17"/>
  <c r="C62" i="17"/>
  <c r="E32" i="17"/>
  <c r="F32" i="17"/>
  <c r="D140" i="17"/>
  <c r="D141" i="17"/>
  <c r="D322" i="17"/>
  <c r="D127" i="17"/>
  <c r="E194" i="17"/>
  <c r="F194" i="17"/>
  <c r="D104" i="17"/>
  <c r="D105" i="17"/>
  <c r="D70" i="13"/>
  <c r="D72" i="13"/>
  <c r="D69" i="13"/>
  <c r="C99" i="8"/>
  <c r="C101" i="8"/>
  <c r="C98" i="8"/>
  <c r="D28" i="8"/>
  <c r="D99" i="8"/>
  <c r="D101" i="8"/>
  <c r="D98" i="8"/>
  <c r="D112" i="8"/>
  <c r="D111" i="8"/>
  <c r="C63" i="17"/>
  <c r="E62" i="17"/>
  <c r="D106" i="17"/>
  <c r="D77" i="18"/>
  <c r="E216" i="17"/>
  <c r="E41" i="20"/>
  <c r="F41" i="20"/>
  <c r="F39" i="20"/>
  <c r="E154" i="9"/>
  <c r="F154" i="9"/>
  <c r="E159" i="17"/>
  <c r="F159" i="17"/>
  <c r="C160" i="17"/>
  <c r="F267" i="17"/>
  <c r="E183" i="7"/>
  <c r="D188" i="7"/>
  <c r="C42" i="12"/>
  <c r="C15" i="13"/>
  <c r="C25" i="13"/>
  <c r="C27" i="13"/>
  <c r="E140" i="17"/>
  <c r="F62" i="17"/>
  <c r="D310" i="18"/>
  <c r="E310" i="18"/>
  <c r="F43" i="11"/>
  <c r="D90" i="17"/>
  <c r="E89" i="17"/>
  <c r="F75" i="4"/>
  <c r="E45" i="6"/>
  <c r="F45" i="6"/>
  <c r="E90" i="6"/>
  <c r="F90" i="6"/>
  <c r="C21" i="8"/>
  <c r="C22" i="8"/>
  <c r="E33" i="18"/>
  <c r="D295" i="18"/>
  <c r="F140" i="17"/>
  <c r="E304" i="17"/>
  <c r="D57" i="8"/>
  <c r="D62" i="8"/>
  <c r="D53" i="8"/>
  <c r="D43" i="8"/>
  <c r="D49" i="8"/>
  <c r="F296" i="17"/>
  <c r="E108" i="22"/>
  <c r="E109" i="22"/>
  <c r="E110" i="22"/>
  <c r="E112" i="22"/>
  <c r="E63" i="17"/>
  <c r="F63" i="17"/>
  <c r="D291" i="17"/>
  <c r="D207" i="17"/>
  <c r="E137" i="17"/>
  <c r="F137" i="17"/>
  <c r="E46" i="22"/>
  <c r="E36" i="22"/>
  <c r="E30" i="22"/>
  <c r="E54" i="22"/>
  <c r="D21" i="5"/>
  <c r="E18" i="5"/>
  <c r="F18" i="5"/>
  <c r="D111" i="17"/>
  <c r="E110" i="17"/>
  <c r="F110" i="17"/>
  <c r="E31" i="14"/>
  <c r="E33" i="14"/>
  <c r="E36" i="14"/>
  <c r="E38" i="14"/>
  <c r="E40" i="14"/>
  <c r="F17" i="16"/>
  <c r="C126" i="17"/>
  <c r="C91" i="17"/>
  <c r="C49" i="17"/>
  <c r="C161" i="17"/>
  <c r="C196" i="17"/>
  <c r="E204" i="17"/>
  <c r="F204" i="17"/>
  <c r="C205" i="17"/>
  <c r="C285" i="17"/>
  <c r="C269" i="17"/>
  <c r="C215" i="17"/>
  <c r="E196" i="17"/>
  <c r="E17" i="17"/>
  <c r="F17" i="17"/>
  <c r="D22" i="8"/>
  <c r="C141" i="17"/>
  <c r="E21" i="17"/>
  <c r="F89" i="17"/>
  <c r="C102" i="17"/>
  <c r="F101" i="17"/>
  <c r="C44" i="18"/>
  <c r="D68" i="17"/>
  <c r="E68" i="17"/>
  <c r="F68" i="17"/>
  <c r="E66" i="17"/>
  <c r="F66" i="17"/>
  <c r="D139" i="17"/>
  <c r="E139" i="17"/>
  <c r="F139" i="17"/>
  <c r="E138" i="17"/>
  <c r="F138" i="17"/>
  <c r="F21" i="17"/>
  <c r="E121" i="7"/>
  <c r="F121" i="7"/>
  <c r="E65" i="15"/>
  <c r="F65" i="15"/>
  <c r="E17" i="16"/>
  <c r="D148" i="17"/>
  <c r="C43" i="5"/>
  <c r="C56" i="22"/>
  <c r="C48" i="22"/>
  <c r="C158" i="8"/>
  <c r="C216" i="17"/>
  <c r="C304" i="17"/>
  <c r="F214" i="17"/>
  <c r="C52" i="6"/>
  <c r="F41" i="6"/>
  <c r="E50" i="6"/>
  <c r="F59" i="7"/>
  <c r="C140" i="8"/>
  <c r="C138" i="8"/>
  <c r="C137" i="8"/>
  <c r="C135" i="8"/>
  <c r="C136" i="8"/>
  <c r="C139" i="8"/>
  <c r="E155" i="8"/>
  <c r="E153" i="8"/>
  <c r="E156" i="8"/>
  <c r="E154" i="8"/>
  <c r="E152" i="8"/>
  <c r="E157" i="8"/>
  <c r="D157" i="8"/>
  <c r="D155" i="8"/>
  <c r="D153" i="8"/>
  <c r="D154" i="8"/>
  <c r="D156" i="8"/>
  <c r="D158" i="8"/>
  <c r="E326" i="18"/>
  <c r="D330" i="18"/>
  <c r="E330" i="18"/>
  <c r="F24" i="7"/>
  <c r="F183" i="7"/>
  <c r="C188" i="7"/>
  <c r="E15" i="8"/>
  <c r="E25" i="8"/>
  <c r="E27" i="8"/>
  <c r="E139" i="8"/>
  <c r="E137" i="8"/>
  <c r="E135" i="8"/>
  <c r="E65" i="11"/>
  <c r="F65" i="11"/>
  <c r="D75" i="11"/>
  <c r="E75" i="11"/>
  <c r="F75" i="11"/>
  <c r="C144" i="18"/>
  <c r="C163" i="18"/>
  <c r="E163" i="18"/>
  <c r="C175" i="18"/>
  <c r="E139" i="18"/>
  <c r="C157" i="18"/>
  <c r="E157" i="18"/>
  <c r="E156" i="18"/>
  <c r="C242" i="18"/>
  <c r="E218" i="18"/>
  <c r="D102" i="22"/>
  <c r="D101" i="22"/>
  <c r="D103" i="22"/>
  <c r="D195" i="17"/>
  <c r="E195" i="17"/>
  <c r="F195" i="17"/>
  <c r="E136" i="8"/>
  <c r="D91" i="17"/>
  <c r="D49" i="17"/>
  <c r="F48" i="17"/>
  <c r="C90" i="17"/>
  <c r="F61" i="17"/>
  <c r="C53" i="22"/>
  <c r="C45" i="22"/>
  <c r="C39" i="22"/>
  <c r="F84" i="10"/>
  <c r="E84" i="10"/>
  <c r="E35" i="17"/>
  <c r="F35" i="17"/>
  <c r="D37" i="17"/>
  <c r="E37" i="17"/>
  <c r="F37" i="17"/>
  <c r="C77" i="17"/>
  <c r="E77" i="17"/>
  <c r="E76" i="17"/>
  <c r="F76" i="17"/>
  <c r="F100" i="17"/>
  <c r="D22" i="18"/>
  <c r="D283" i="18"/>
  <c r="D43" i="18"/>
  <c r="E37" i="18"/>
  <c r="C289" i="18"/>
  <c r="E289" i="18"/>
  <c r="C71" i="18"/>
  <c r="E71" i="18"/>
  <c r="E60" i="18"/>
  <c r="E161" i="18"/>
  <c r="E174" i="18"/>
  <c r="C223" i="18"/>
  <c r="C247" i="18"/>
  <c r="C246" i="18"/>
  <c r="C46" i="22"/>
  <c r="C54" i="22"/>
  <c r="C40" i="22"/>
  <c r="D41" i="4"/>
  <c r="E38" i="4"/>
  <c r="F56" i="4"/>
  <c r="E42" i="6"/>
  <c r="F42" i="6"/>
  <c r="E111" i="6"/>
  <c r="F111" i="6"/>
  <c r="D207" i="9"/>
  <c r="E207" i="9"/>
  <c r="E198" i="9"/>
  <c r="F198" i="9"/>
  <c r="E16" i="15"/>
  <c r="F16" i="15"/>
  <c r="E23" i="15"/>
  <c r="F23" i="15"/>
  <c r="E100" i="15"/>
  <c r="F100" i="15"/>
  <c r="E23" i="17"/>
  <c r="F23" i="17"/>
  <c r="E37" i="22"/>
  <c r="E193" i="17"/>
  <c r="F193" i="17"/>
  <c r="E122" i="10"/>
  <c r="F122" i="10"/>
  <c r="D279" i="17"/>
  <c r="F61" i="4"/>
  <c r="E61" i="4"/>
  <c r="E71" i="8"/>
  <c r="E88" i="9"/>
  <c r="D20" i="12"/>
  <c r="E17" i="12"/>
  <c r="F17" i="12"/>
  <c r="E25" i="13"/>
  <c r="E27" i="13"/>
  <c r="E15" i="13"/>
  <c r="E59" i="13"/>
  <c r="E61" i="13"/>
  <c r="E57" i="13"/>
  <c r="E144" i="17"/>
  <c r="F144" i="17"/>
  <c r="D146" i="17"/>
  <c r="E146" i="17"/>
  <c r="F146" i="17"/>
  <c r="C172" i="17"/>
  <c r="F171" i="17"/>
  <c r="C261" i="17"/>
  <c r="C277" i="17"/>
  <c r="E277" i="17"/>
  <c r="E188" i="17"/>
  <c r="F188" i="17"/>
  <c r="C190" i="17"/>
  <c r="C254" i="17"/>
  <c r="E254" i="17"/>
  <c r="C206" i="17"/>
  <c r="D189" i="18"/>
  <c r="E189" i="18"/>
  <c r="D261" i="18"/>
  <c r="E261" i="18"/>
  <c r="E188" i="18"/>
  <c r="E292" i="18"/>
  <c r="E47" i="22"/>
  <c r="D282" i="17"/>
  <c r="E121" i="10"/>
  <c r="F121" i="10"/>
  <c r="D266" i="17"/>
  <c r="C217" i="18"/>
  <c r="C241" i="18"/>
  <c r="F43" i="6"/>
  <c r="E46" i="6"/>
  <c r="F46" i="6"/>
  <c r="F49" i="6"/>
  <c r="C95" i="6"/>
  <c r="F94" i="6"/>
  <c r="D136" i="8"/>
  <c r="D141" i="8"/>
  <c r="D140" i="8"/>
  <c r="D138" i="8"/>
  <c r="D137" i="8"/>
  <c r="E208" i="9"/>
  <c r="F114" i="10"/>
  <c r="E114" i="10"/>
  <c r="E61" i="11"/>
  <c r="F61" i="11"/>
  <c r="D240" i="18"/>
  <c r="D222" i="18"/>
  <c r="E216" i="18"/>
  <c r="C253" i="18"/>
  <c r="C252" i="18"/>
  <c r="C254" i="18"/>
  <c r="E81" i="6"/>
  <c r="F81" i="6"/>
  <c r="C95" i="7"/>
  <c r="F37" i="9"/>
  <c r="E37" i="9"/>
  <c r="F127" i="9"/>
  <c r="F108" i="10"/>
  <c r="E108" i="10"/>
  <c r="F41" i="11"/>
  <c r="F73" i="11"/>
  <c r="E40" i="12"/>
  <c r="F40" i="12"/>
  <c r="F37" i="15"/>
  <c r="F70" i="15"/>
  <c r="F135" i="17"/>
  <c r="D173" i="17"/>
  <c r="E172" i="17"/>
  <c r="E199" i="17"/>
  <c r="E231" i="18"/>
  <c r="D252" i="18"/>
  <c r="E279" i="18"/>
  <c r="E101" i="22"/>
  <c r="E102" i="22"/>
  <c r="C93" i="22"/>
  <c r="H31" i="14"/>
  <c r="F38" i="4"/>
  <c r="E73" i="4"/>
  <c r="F73" i="4"/>
  <c r="E48" i="6"/>
  <c r="F48" i="6"/>
  <c r="D95" i="6"/>
  <c r="C157" i="8"/>
  <c r="C155" i="8"/>
  <c r="F207" i="9"/>
  <c r="F74" i="15"/>
  <c r="E75" i="15"/>
  <c r="F75" i="15"/>
  <c r="D300" i="17"/>
  <c r="E300" i="17"/>
  <c r="F300" i="17"/>
  <c r="E285" i="17"/>
  <c r="E223" i="17"/>
  <c r="F223" i="17"/>
  <c r="C76" i="18"/>
  <c r="C77" i="18"/>
  <c r="E25" i="20"/>
  <c r="F25" i="20"/>
  <c r="F33" i="20"/>
  <c r="E36" i="20"/>
  <c r="F36" i="20"/>
  <c r="D23" i="22"/>
  <c r="D33" i="22"/>
  <c r="D34" i="22"/>
  <c r="E38" i="6"/>
  <c r="F38" i="6"/>
  <c r="E166" i="6"/>
  <c r="F166" i="6"/>
  <c r="E141" i="9"/>
  <c r="F141" i="9"/>
  <c r="F201" i="9"/>
  <c r="E204" i="9"/>
  <c r="F204" i="9"/>
  <c r="F45" i="15"/>
  <c r="F109" i="17"/>
  <c r="C111" i="17"/>
  <c r="F294" i="17"/>
  <c r="F297" i="17"/>
  <c r="C295" i="18"/>
  <c r="F16" i="20"/>
  <c r="E33" i="22"/>
  <c r="E34" i="22"/>
  <c r="C41" i="4"/>
  <c r="F24" i="9"/>
  <c r="F49" i="9"/>
  <c r="F128" i="9"/>
  <c r="E201" i="9"/>
  <c r="C255" i="17"/>
  <c r="C262" i="17"/>
  <c r="C199" i="17"/>
  <c r="E74" i="18"/>
  <c r="E162" i="18"/>
  <c r="D217" i="18"/>
  <c r="D242" i="18"/>
  <c r="E242" i="18"/>
  <c r="E245" i="18"/>
  <c r="C77" i="22"/>
  <c r="C101" i="22"/>
  <c r="C103" i="22"/>
  <c r="C90" i="8"/>
  <c r="C86" i="8"/>
  <c r="F76" i="9"/>
  <c r="F101" i="9"/>
  <c r="F202" i="9"/>
  <c r="F55" i="15"/>
  <c r="E88" i="17"/>
  <c r="F88" i="17"/>
  <c r="F295" i="17"/>
  <c r="E40" i="20"/>
  <c r="F40" i="20"/>
  <c r="F193" i="9"/>
  <c r="F205" i="9"/>
  <c r="F50" i="15"/>
  <c r="F85" i="17"/>
  <c r="C37" i="19"/>
  <c r="C38" i="19"/>
  <c r="C127" i="19"/>
  <c r="C129" i="19"/>
  <c r="C133" i="19"/>
  <c r="E20" i="20"/>
  <c r="F20" i="20"/>
  <c r="E45" i="20"/>
  <c r="F21" i="21"/>
  <c r="E101" i="17"/>
  <c r="E136" i="17"/>
  <c r="F136" i="17"/>
  <c r="E296" i="17"/>
  <c r="C283" i="18"/>
  <c r="E72" i="18"/>
  <c r="E75" i="18"/>
  <c r="E276" i="18"/>
  <c r="E324" i="18"/>
  <c r="E166" i="9"/>
  <c r="F120" i="17"/>
  <c r="C208" i="9"/>
  <c r="E203" i="9"/>
  <c r="F203" i="9"/>
  <c r="E47" i="12"/>
  <c r="F145" i="17"/>
  <c r="F298" i="17"/>
  <c r="D175" i="18"/>
  <c r="E175" i="18"/>
  <c r="D210" i="18"/>
  <c r="C88" i="22"/>
  <c r="C123" i="18"/>
  <c r="C121" i="18"/>
  <c r="C115" i="18"/>
  <c r="C114" i="18"/>
  <c r="C113" i="18"/>
  <c r="C125" i="18"/>
  <c r="C112" i="18"/>
  <c r="C109" i="18"/>
  <c r="C124" i="18"/>
  <c r="C122" i="18"/>
  <c r="C111" i="18"/>
  <c r="C110" i="18"/>
  <c r="C116" i="18"/>
  <c r="C126" i="18"/>
  <c r="C127" i="18"/>
  <c r="E17" i="8"/>
  <c r="E24" i="8"/>
  <c r="E20" i="8"/>
  <c r="D36" i="22"/>
  <c r="D40" i="22"/>
  <c r="D46" i="22"/>
  <c r="D30" i="22"/>
  <c r="D111" i="22"/>
  <c r="D54" i="22"/>
  <c r="E252" i="18"/>
  <c r="D254" i="18"/>
  <c r="E254" i="18"/>
  <c r="E95" i="7"/>
  <c r="F95" i="7"/>
  <c r="D265" i="17"/>
  <c r="E265" i="17"/>
  <c r="F265" i="17"/>
  <c r="E266" i="17"/>
  <c r="F266" i="17"/>
  <c r="F172" i="17"/>
  <c r="C207" i="17"/>
  <c r="E207" i="17"/>
  <c r="C173" i="17"/>
  <c r="E158" i="8"/>
  <c r="F304" i="17"/>
  <c r="C98" i="18"/>
  <c r="C86" i="18"/>
  <c r="C96" i="18"/>
  <c r="C102" i="18"/>
  <c r="C84" i="18"/>
  <c r="C99" i="18"/>
  <c r="C95" i="18"/>
  <c r="C258" i="18"/>
  <c r="C88" i="18"/>
  <c r="C101" i="18"/>
  <c r="C83" i="18"/>
  <c r="C85" i="18"/>
  <c r="C97" i="18"/>
  <c r="C87" i="18"/>
  <c r="C100" i="18"/>
  <c r="C89" i="18"/>
  <c r="C322" i="17"/>
  <c r="E141" i="17"/>
  <c r="F141" i="17"/>
  <c r="E269" i="17"/>
  <c r="F269" i="17"/>
  <c r="C92" i="17"/>
  <c r="C21" i="13"/>
  <c r="C22" i="13"/>
  <c r="F208" i="9"/>
  <c r="D241" i="18"/>
  <c r="E241" i="18"/>
  <c r="E217" i="18"/>
  <c r="E206" i="17"/>
  <c r="F206" i="17"/>
  <c r="E21" i="8"/>
  <c r="F216" i="17"/>
  <c r="C259" i="18"/>
  <c r="C263" i="18"/>
  <c r="C286" i="17"/>
  <c r="F285" i="17"/>
  <c r="C288" i="17"/>
  <c r="C127" i="17"/>
  <c r="E126" i="17"/>
  <c r="F126" i="17"/>
  <c r="E111" i="17"/>
  <c r="F111" i="17"/>
  <c r="D208" i="17"/>
  <c r="E90" i="17"/>
  <c r="C17" i="13"/>
  <c r="C28" i="13"/>
  <c r="C70" i="13"/>
  <c r="C72" i="13"/>
  <c r="C69" i="13"/>
  <c r="C24" i="13"/>
  <c r="C20" i="13"/>
  <c r="C270" i="17"/>
  <c r="E210" i="18"/>
  <c r="D211" i="18"/>
  <c r="D234" i="18"/>
  <c r="E234" i="18"/>
  <c r="D180" i="18"/>
  <c r="E180" i="18"/>
  <c r="E205" i="17"/>
  <c r="F205" i="17"/>
  <c r="D281" i="17"/>
  <c r="E281" i="17"/>
  <c r="F281" i="17"/>
  <c r="E282" i="17"/>
  <c r="F282" i="17"/>
  <c r="C168" i="18"/>
  <c r="E168" i="18"/>
  <c r="C145" i="18"/>
  <c r="E144" i="18"/>
  <c r="C180" i="18"/>
  <c r="C103" i="17"/>
  <c r="E102" i="17"/>
  <c r="F102" i="17"/>
  <c r="D35" i="5"/>
  <c r="E21" i="5"/>
  <c r="F21" i="5"/>
  <c r="D44" i="18"/>
  <c r="D259" i="18"/>
  <c r="E43" i="18"/>
  <c r="F90" i="17"/>
  <c r="E188" i="7"/>
  <c r="F188" i="7"/>
  <c r="E21" i="13"/>
  <c r="E20" i="13"/>
  <c r="E283" i="18"/>
  <c r="F196" i="17"/>
  <c r="E38" i="22"/>
  <c r="E56" i="22"/>
  <c r="E48" i="22"/>
  <c r="E113" i="22"/>
  <c r="E76" i="18"/>
  <c r="C49" i="12"/>
  <c r="E190" i="17"/>
  <c r="F190" i="17"/>
  <c r="C43" i="4"/>
  <c r="F41" i="4"/>
  <c r="E173" i="17"/>
  <c r="D175" i="17"/>
  <c r="D174" i="17"/>
  <c r="E24" i="13"/>
  <c r="E17" i="13"/>
  <c r="E28" i="13"/>
  <c r="E70" i="13"/>
  <c r="E72" i="13"/>
  <c r="E69" i="13"/>
  <c r="C272" i="17"/>
  <c r="C108" i="22"/>
  <c r="C110" i="22"/>
  <c r="C112" i="22"/>
  <c r="C111" i="22"/>
  <c r="C109" i="22"/>
  <c r="E95" i="6"/>
  <c r="F95" i="6"/>
  <c r="E103" i="22"/>
  <c r="D223" i="18"/>
  <c r="E222" i="18"/>
  <c r="D246" i="18"/>
  <c r="E246" i="18"/>
  <c r="E261" i="17"/>
  <c r="F261" i="17"/>
  <c r="C263" i="17"/>
  <c r="C271" i="17"/>
  <c r="C268" i="17"/>
  <c r="D284" i="18"/>
  <c r="E284" i="18"/>
  <c r="E22" i="18"/>
  <c r="E49" i="17"/>
  <c r="D50" i="17"/>
  <c r="E141" i="8"/>
  <c r="C113" i="22"/>
  <c r="C162" i="17"/>
  <c r="E161" i="17"/>
  <c r="F161" i="17"/>
  <c r="D124" i="18"/>
  <c r="E124" i="18"/>
  <c r="D121" i="18"/>
  <c r="D109" i="18"/>
  <c r="D114" i="18"/>
  <c r="D122" i="18"/>
  <c r="D127" i="18"/>
  <c r="D126" i="18"/>
  <c r="E126" i="18"/>
  <c r="D123" i="18"/>
  <c r="E123" i="18"/>
  <c r="D125" i="18"/>
  <c r="D115" i="18"/>
  <c r="E115" i="18"/>
  <c r="E77" i="18"/>
  <c r="D113" i="18"/>
  <c r="D112" i="18"/>
  <c r="E112" i="18"/>
  <c r="D111" i="18"/>
  <c r="E111" i="18"/>
  <c r="D110" i="18"/>
  <c r="F254" i="17"/>
  <c r="D305" i="17"/>
  <c r="E160" i="17"/>
  <c r="F160" i="17"/>
  <c r="F199" i="17"/>
  <c r="E279" i="17"/>
  <c r="F45" i="20"/>
  <c r="E46" i="20"/>
  <c r="F46" i="20"/>
  <c r="C287" i="17"/>
  <c r="C284" i="17"/>
  <c r="C279" i="17"/>
  <c r="F277" i="17"/>
  <c r="E255" i="17"/>
  <c r="F255" i="17"/>
  <c r="E240" i="18"/>
  <c r="D253" i="18"/>
  <c r="E253" i="18"/>
  <c r="D34" i="12"/>
  <c r="E20" i="12"/>
  <c r="F20" i="12"/>
  <c r="D43" i="4"/>
  <c r="E41" i="4"/>
  <c r="D92" i="17"/>
  <c r="E91" i="17"/>
  <c r="F91" i="17"/>
  <c r="C141" i="8"/>
  <c r="C50" i="5"/>
  <c r="E215" i="17"/>
  <c r="F215" i="17"/>
  <c r="C50" i="17"/>
  <c r="F49" i="17"/>
  <c r="E262" i="17"/>
  <c r="F262" i="17"/>
  <c r="E295" i="18"/>
  <c r="E52" i="6"/>
  <c r="F52" i="6"/>
  <c r="E34" i="12"/>
  <c r="F34" i="12"/>
  <c r="D42" i="12"/>
  <c r="C291" i="17"/>
  <c r="C289" i="17"/>
  <c r="F287" i="17"/>
  <c r="E287" i="17"/>
  <c r="D309" i="17"/>
  <c r="E121" i="18"/>
  <c r="D70" i="17"/>
  <c r="E50" i="17"/>
  <c r="D176" i="17"/>
  <c r="C181" i="18"/>
  <c r="C169" i="18"/>
  <c r="E169" i="18"/>
  <c r="E145" i="18"/>
  <c r="E286" i="17"/>
  <c r="F286" i="17"/>
  <c r="C117" i="18"/>
  <c r="C131" i="18"/>
  <c r="E125" i="18"/>
  <c r="E22" i="13"/>
  <c r="D210" i="17"/>
  <c r="D209" i="17"/>
  <c r="C90" i="18"/>
  <c r="C91" i="18"/>
  <c r="C105" i="18"/>
  <c r="C174" i="17"/>
  <c r="C175" i="17"/>
  <c r="E175" i="17"/>
  <c r="F173" i="17"/>
  <c r="E112" i="8"/>
  <c r="E111" i="8"/>
  <c r="E28" i="8"/>
  <c r="D43" i="5"/>
  <c r="E35" i="5"/>
  <c r="F35" i="5"/>
  <c r="E110" i="18"/>
  <c r="D116" i="18"/>
  <c r="E116" i="18"/>
  <c r="E272" i="17"/>
  <c r="F272" i="17"/>
  <c r="D324" i="17"/>
  <c r="D113" i="17"/>
  <c r="E92" i="17"/>
  <c r="E162" i="17"/>
  <c r="F162" i="17"/>
  <c r="D38" i="22"/>
  <c r="D113" i="22"/>
  <c r="D56" i="22"/>
  <c r="D48" i="22"/>
  <c r="E268" i="17"/>
  <c r="F268" i="17"/>
  <c r="D181" i="18"/>
  <c r="E181" i="18"/>
  <c r="D235" i="18"/>
  <c r="E235" i="18"/>
  <c r="E211" i="18"/>
  <c r="D247" i="18"/>
  <c r="E247" i="18"/>
  <c r="E223" i="18"/>
  <c r="E322" i="17"/>
  <c r="F322" i="17"/>
  <c r="C70" i="17"/>
  <c r="F50" i="17"/>
  <c r="F127" i="17"/>
  <c r="C197" i="17"/>
  <c r="C148" i="17"/>
  <c r="E127" i="17"/>
  <c r="E43" i="4"/>
  <c r="F279" i="17"/>
  <c r="E113" i="18"/>
  <c r="E114" i="18"/>
  <c r="F271" i="17"/>
  <c r="C273" i="17"/>
  <c r="E271" i="17"/>
  <c r="D263" i="18"/>
  <c r="E263" i="18"/>
  <c r="E259" i="18"/>
  <c r="E288" i="17"/>
  <c r="F288" i="17"/>
  <c r="F92" i="17"/>
  <c r="C264" i="18"/>
  <c r="C266" i="18"/>
  <c r="C267" i="18"/>
  <c r="C128" i="18"/>
  <c r="C129" i="18"/>
  <c r="F207" i="17"/>
  <c r="C208" i="17"/>
  <c r="F43" i="4"/>
  <c r="E127" i="18"/>
  <c r="F270" i="17"/>
  <c r="E270" i="17"/>
  <c r="D128" i="18"/>
  <c r="E128" i="18"/>
  <c r="E122" i="18"/>
  <c r="C105" i="17"/>
  <c r="E103" i="17"/>
  <c r="F103" i="17"/>
  <c r="C104" i="17"/>
  <c r="F284" i="17"/>
  <c r="E284" i="17"/>
  <c r="E109" i="18"/>
  <c r="E263" i="17"/>
  <c r="F263" i="17"/>
  <c r="E174" i="17"/>
  <c r="D88" i="18"/>
  <c r="E88" i="18"/>
  <c r="D89" i="18"/>
  <c r="E89" i="18"/>
  <c r="D86" i="18"/>
  <c r="E86" i="18"/>
  <c r="D85" i="18"/>
  <c r="E85" i="18"/>
  <c r="D258" i="18"/>
  <c r="D98" i="18"/>
  <c r="E98" i="18"/>
  <c r="D87" i="18"/>
  <c r="E87" i="18"/>
  <c r="D83" i="18"/>
  <c r="D95" i="18"/>
  <c r="D100" i="18"/>
  <c r="E100" i="18"/>
  <c r="D96" i="18"/>
  <c r="D97" i="18"/>
  <c r="E97" i="18"/>
  <c r="D99" i="18"/>
  <c r="E99" i="18"/>
  <c r="D101" i="18"/>
  <c r="E101" i="18"/>
  <c r="D84" i="18"/>
  <c r="E44" i="18"/>
  <c r="C103" i="18"/>
  <c r="C269" i="18"/>
  <c r="C268" i="18"/>
  <c r="D183" i="17"/>
  <c r="D323" i="17"/>
  <c r="E95" i="18"/>
  <c r="D103" i="18"/>
  <c r="E103" i="18"/>
  <c r="F148" i="17"/>
  <c r="E148" i="17"/>
  <c r="E99" i="8"/>
  <c r="E101" i="8"/>
  <c r="E98" i="8"/>
  <c r="E22" i="8"/>
  <c r="D211" i="17"/>
  <c r="E210" i="17"/>
  <c r="D310" i="17"/>
  <c r="E83" i="18"/>
  <c r="E104" i="17"/>
  <c r="F104" i="17"/>
  <c r="E273" i="17"/>
  <c r="F273" i="17"/>
  <c r="F197" i="17"/>
  <c r="E197" i="17"/>
  <c r="D90" i="18"/>
  <c r="E90" i="18"/>
  <c r="E84" i="18"/>
  <c r="C210" i="17"/>
  <c r="C209" i="17"/>
  <c r="F208" i="17"/>
  <c r="E258" i="18"/>
  <c r="D264" i="18"/>
  <c r="F174" i="17"/>
  <c r="C305" i="17"/>
  <c r="E291" i="17"/>
  <c r="F291" i="17"/>
  <c r="D49" i="12"/>
  <c r="E49" i="12"/>
  <c r="F49" i="12"/>
  <c r="E42" i="12"/>
  <c r="F42" i="12"/>
  <c r="E96" i="18"/>
  <c r="D102" i="18"/>
  <c r="E102" i="18"/>
  <c r="E208" i="17"/>
  <c r="D129" i="18"/>
  <c r="E129" i="18"/>
  <c r="C176" i="17"/>
  <c r="F175" i="17"/>
  <c r="E289" i="17"/>
  <c r="F289" i="17"/>
  <c r="E105" i="17"/>
  <c r="F105" i="17"/>
  <c r="C106" i="17"/>
  <c r="E70" i="17"/>
  <c r="F70" i="17"/>
  <c r="D117" i="18"/>
  <c r="E43" i="5"/>
  <c r="F43" i="5"/>
  <c r="D50" i="5"/>
  <c r="E50" i="5"/>
  <c r="F50" i="5"/>
  <c r="C211" i="17"/>
  <c r="C323" i="17"/>
  <c r="C183" i="17"/>
  <c r="E323" i="17"/>
  <c r="F210" i="17"/>
  <c r="E183" i="17"/>
  <c r="E106" i="17"/>
  <c r="F106" i="17"/>
  <c r="C113" i="17"/>
  <c r="C324" i="17"/>
  <c r="E176" i="17"/>
  <c r="F176" i="17"/>
  <c r="D266" i="18"/>
  <c r="E264" i="18"/>
  <c r="D131" i="18"/>
  <c r="E131" i="18"/>
  <c r="E117" i="18"/>
  <c r="C309" i="17"/>
  <c r="E305" i="17"/>
  <c r="F305" i="17"/>
  <c r="D91" i="18"/>
  <c r="D325" i="17"/>
  <c r="C271" i="18"/>
  <c r="F209" i="17"/>
  <c r="E209" i="17"/>
  <c r="D312" i="17"/>
  <c r="E266" i="18"/>
  <c r="D267" i="18"/>
  <c r="D105" i="18"/>
  <c r="E105" i="18"/>
  <c r="E91" i="18"/>
  <c r="F323" i="17"/>
  <c r="E113" i="17"/>
  <c r="F113" i="17"/>
  <c r="F309" i="17"/>
  <c r="C310" i="17"/>
  <c r="E309" i="17"/>
  <c r="F183" i="17"/>
  <c r="C325" i="17"/>
  <c r="E325" i="17"/>
  <c r="E324" i="17"/>
  <c r="F324" i="17"/>
  <c r="D313" i="17"/>
  <c r="E211" i="17"/>
  <c r="F211" i="17"/>
  <c r="E267" i="18"/>
  <c r="D269" i="18"/>
  <c r="E269" i="18"/>
  <c r="D268" i="18"/>
  <c r="F325" i="17"/>
  <c r="D315" i="17"/>
  <c r="D251" i="17"/>
  <c r="D256" i="17"/>
  <c r="D314" i="17"/>
  <c r="C312" i="17"/>
  <c r="E310" i="17"/>
  <c r="F310" i="17"/>
  <c r="D257" i="17"/>
  <c r="C313" i="17"/>
  <c r="E312" i="17"/>
  <c r="F312" i="17"/>
  <c r="E268" i="18"/>
  <c r="D271" i="18"/>
  <c r="E271" i="18"/>
  <c r="D318" i="17"/>
  <c r="C315" i="17"/>
  <c r="C314" i="17"/>
  <c r="C251" i="17"/>
  <c r="C256" i="17"/>
  <c r="E313" i="17"/>
  <c r="F313" i="17"/>
  <c r="C257" i="17"/>
  <c r="E256" i="17"/>
  <c r="F256" i="17"/>
  <c r="C318" i="17"/>
  <c r="E314" i="17"/>
  <c r="F314" i="17"/>
  <c r="E251" i="17"/>
  <c r="F251" i="17"/>
  <c r="E315" i="17"/>
  <c r="F315" i="17"/>
  <c r="E257" i="17"/>
  <c r="F257" i="17"/>
  <c r="E318" i="17"/>
  <c r="F318" i="17"/>
</calcChain>
</file>

<file path=xl/sharedStrings.xml><?xml version="1.0" encoding="utf-8"?>
<sst xmlns="http://schemas.openxmlformats.org/spreadsheetml/2006/main" count="2333" uniqueCount="1008">
  <si>
    <t>JOHN DEMPSEY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</si>
  <si>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</si>
  <si>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</si>
  <si>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</si>
  <si>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</si>
  <si>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</si>
  <si>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</si>
  <si>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</si>
  <si>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</si>
  <si>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</si>
  <si>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</si>
  <si>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</si>
  <si>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</si>
  <si>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</si>
  <si>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</si>
  <si>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</si>
  <si>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</si>
  <si>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</si>
  <si>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</si>
  <si>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</si>
  <si>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</si>
  <si>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</si>
  <si>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</si>
  <si>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</si>
  <si>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</si>
  <si>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</si>
  <si>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</si>
  <si>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</si>
  <si>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</si>
  <si>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</si>
  <si>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</si>
  <si>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</si>
  <si>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</si>
  <si>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</si>
  <si>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</si>
  <si>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</si>
  <si>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</si>
  <si>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</si>
  <si>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</si>
  <si>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</si>
  <si>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</si>
  <si>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</si>
  <si>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</si>
  <si>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</si>
  <si>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</si>
  <si>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</si>
  <si>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</si>
  <si>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</si>
  <si>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</si>
  <si>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</si>
  <si>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</si>
  <si>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</si>
  <si>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</si>
  <si>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</si>
  <si>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</si>
  <si>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</si>
  <si>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</si>
  <si>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</si>
  <si>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</si>
  <si>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</si>
  <si>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</si>
  <si>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</si>
  <si>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</si>
  <si>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</si>
  <si>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</si>
  <si>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</si>
  <si>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</si>
  <si>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</si>
  <si>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</si>
  <si>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</si>
  <si>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</si>
  <si>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</si>
  <si>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</si>
  <si>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</si>
  <si>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</si>
  <si>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</si>
  <si>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</si>
  <si>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</si>
  <si>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</si>
  <si>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</si>
  <si>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</si>
  <si>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</si>
  <si>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</si>
  <si>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</si>
  <si>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</si>
  <si>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</si>
  <si>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</si>
  <si>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</si>
  <si>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</si>
  <si>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</si>
  <si>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</si>
  <si>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</si>
  <si>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</si>
  <si>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</si>
  <si>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</si>
  <si>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</si>
  <si>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</si>
  <si>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</si>
  <si>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</si>
  <si>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</si>
  <si>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</si>
  <si>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</si>
  <si>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</si>
  <si>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</si>
  <si>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</si>
  <si>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</si>
  <si>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</si>
  <si>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</si>
  <si>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</si>
  <si>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</si>
  <si>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</si>
  <si>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</si>
  <si>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</si>
  <si>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</si>
  <si>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</si>
  <si>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</si>
  <si>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</si>
  <si>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</si>
  <si>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</si>
  <si>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</si>
  <si>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</si>
  <si>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</si>
  <si>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</si>
  <si>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</si>
  <si>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</si>
  <si>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</si>
  <si>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</si>
  <si>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</si>
  <si>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</si>
  <si>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</si>
  <si>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</si>
  <si>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</si>
  <si>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</si>
  <si>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</si>
  <si>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</si>
  <si>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</si>
  <si>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</si>
  <si>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</si>
  <si>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</si>
  <si>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</si>
  <si>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</si>
  <si>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</si>
  <si>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</si>
  <si>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</si>
  <si>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</si>
  <si>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</si>
  <si>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</si>
  <si>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</si>
  <si>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</si>
  <si>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</si>
  <si>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</si>
  <si>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</si>
  <si>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</si>
  <si>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</si>
  <si>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</si>
  <si>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</si>
  <si>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</si>
  <si>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</si>
  <si>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</si>
  <si>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</si>
  <si>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</si>
  <si>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</si>
  <si>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</si>
  <si>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</si>
  <si>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</si>
  <si>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</si>
  <si>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</si>
  <si>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</si>
  <si>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</si>
  <si>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</si>
  <si>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</si>
  <si>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</si>
  <si>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</si>
  <si>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</si>
  <si>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</si>
  <si>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</si>
  <si>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</si>
  <si>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</si>
  <si>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</si>
  <si>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</si>
  <si>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</si>
  <si>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</si>
  <si>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</si>
  <si>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</si>
  <si>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</si>
  <si>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</si>
  <si>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</si>
  <si>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</si>
  <si>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</si>
  <si>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</si>
  <si>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</si>
  <si>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</si>
  <si>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</si>
  <si>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</si>
  <si>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</si>
  <si>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</si>
  <si>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</si>
  <si>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</si>
  <si>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</si>
  <si>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</si>
  <si>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</si>
  <si>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</si>
  <si>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</si>
  <si>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</si>
  <si>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</si>
  <si>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</si>
  <si>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</si>
  <si>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</si>
  <si>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</si>
  <si>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</si>
  <si>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</si>
  <si>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</si>
  <si>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</si>
  <si>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</si>
  <si>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</si>
  <si>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</si>
  <si>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</si>
  <si>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</si>
  <si>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</si>
  <si>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</si>
  <si>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</si>
  <si>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</si>
  <si>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</si>
  <si>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</si>
  <si>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</si>
  <si>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</si>
  <si>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</si>
  <si>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</si>
  <si>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</si>
  <si>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</si>
  <si>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</si>
  <si>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</si>
  <si>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</si>
  <si>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</si>
  <si>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</si>
  <si>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</si>
  <si>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</si>
  <si>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</si>
  <si>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</si>
  <si>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</si>
  <si>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</si>
  <si>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</si>
  <si>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</si>
  <si>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</si>
  <si>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</si>
  <si>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</si>
  <si>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</si>
  <si>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</si>
  <si>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</si>
  <si>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</si>
  <si>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</si>
  <si>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</si>
  <si>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</si>
  <si>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</si>
  <si>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</si>
  <si>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</si>
  <si>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</si>
  <si>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</si>
  <si>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</si>
  <si>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</si>
  <si>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</si>
  <si>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</si>
  <si>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</si>
  <si>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</si>
  <si>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</si>
  <si>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</si>
  <si>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</si>
  <si>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</si>
  <si>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</si>
  <si>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</si>
  <si>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</si>
  <si>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</si>
  <si>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</si>
  <si>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</si>
  <si>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</si>
  <si>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</si>
  <si>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</si>
  <si>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</si>
  <si>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</si>
  <si>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</si>
  <si>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</si>
  <si>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</si>
  <si>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</si>
  <si>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</si>
  <si>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</si>
  <si>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</si>
  <si>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</si>
  <si>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</si>
  <si>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</si>
  <si>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</si>
  <si>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</si>
  <si>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</si>
  <si>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</si>
  <si>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</si>
  <si>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</si>
  <si>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</si>
  <si>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</si>
  <si>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</si>
  <si>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</si>
  <si>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</si>
  <si>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</si>
  <si>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</si>
  <si>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</si>
  <si>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</si>
  <si>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</si>
  <si>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</si>
  <si>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</si>
  <si>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</si>
  <si>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</si>
  <si>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</si>
  <si>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</si>
  <si>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</si>
  <si>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</si>
  <si>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</si>
  <si>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</si>
  <si>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</si>
  <si>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</si>
  <si>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</si>
  <si>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</si>
  <si>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</si>
  <si>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</si>
  <si>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</si>
  <si>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</si>
  <si>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</si>
  <si>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</si>
  <si>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</si>
  <si>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</si>
  <si>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</si>
  <si>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</si>
  <si>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</si>
  <si>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</si>
  <si>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</si>
  <si>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</si>
  <si>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</si>
  <si>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</si>
  <si>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</si>
  <si>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</si>
  <si>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</si>
  <si>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</si>
  <si>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</si>
  <si>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</si>
  <si>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</si>
  <si>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</si>
  <si>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</si>
  <si>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</si>
  <si>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</si>
  <si>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</si>
  <si>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</si>
  <si>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</si>
  <si>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</si>
  <si>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</si>
  <si>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</si>
  <si>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</si>
  <si>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</si>
  <si>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</si>
  <si>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</si>
  <si>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</si>
  <si>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</si>
  <si>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</si>
  <si>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</si>
  <si>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</si>
  <si>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</si>
  <si>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</si>
  <si>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</si>
  <si>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</si>
  <si>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</si>
  <si>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</si>
  <si>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</si>
  <si>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</si>
  <si>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</si>
  <si>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</si>
  <si>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</si>
  <si>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</si>
  <si>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</si>
  <si>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</si>
  <si>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</si>
  <si>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</si>
  <si>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</si>
  <si>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</si>
  <si>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</si>
  <si>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</si>
  <si>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</si>
  <si>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</si>
  <si>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</si>
  <si>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</si>
  <si>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</si>
  <si>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</si>
  <si>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</si>
  <si>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</si>
  <si>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</si>
  <si>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</si>
  <si>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</si>
  <si>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</si>
  <si>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</si>
  <si>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</si>
  <si>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</si>
  <si>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</si>
  <si>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</si>
  <si>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</si>
  <si>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</si>
  <si>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</si>
  <si>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</si>
  <si>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</si>
  <si>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</si>
  <si>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</si>
  <si>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</si>
  <si>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</si>
  <si>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</si>
  <si>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</si>
  <si>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</si>
  <si>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</si>
  <si>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</si>
  <si>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</si>
  <si>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</si>
  <si>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</si>
  <si>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</si>
  <si>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</si>
  <si>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</si>
  <si>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</si>
  <si>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</si>
  <si>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</si>
  <si>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</si>
  <si>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</si>
  <si>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</si>
  <si>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</si>
  <si>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</si>
  <si>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</si>
  <si>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</si>
  <si>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</si>
  <si>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</si>
  <si>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</si>
  <si>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</si>
  <si>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</si>
  <si>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</si>
  <si>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</si>
  <si>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</si>
  <si>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</si>
  <si>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</si>
  <si>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</si>
  <si>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</si>
  <si>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</si>
  <si>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</si>
  <si>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</si>
  <si>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</si>
  <si>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</si>
  <si>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</si>
  <si>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</si>
  <si>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</si>
  <si>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</si>
  <si>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</si>
  <si>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</si>
  <si>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</si>
  <si>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</si>
  <si>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</si>
  <si>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</si>
  <si>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</si>
  <si>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</si>
  <si>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</si>
  <si>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</si>
  <si>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</si>
  <si>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</si>
  <si>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</si>
  <si>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</si>
  <si>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</si>
  <si>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</si>
  <si>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</si>
  <si>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</si>
  <si>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</si>
  <si>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</si>
  <si>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</si>
  <si>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</si>
  <si>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</si>
  <si>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</si>
  <si>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</si>
  <si>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</si>
  <si>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</si>
  <si>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</si>
  <si>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</si>
  <si>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</si>
  <si>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</si>
  <si>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</si>
  <si>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</si>
  <si>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</si>
  <si>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</si>
  <si>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</si>
  <si>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</si>
  <si>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</si>
  <si>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</si>
  <si>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</si>
  <si>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</si>
  <si>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</si>
  <si>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</si>
  <si>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</si>
  <si>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</si>
  <si>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</si>
  <si>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</si>
  <si>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</si>
  <si>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</si>
  <si>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</si>
  <si>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</si>
  <si>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UNIVERSITY OF CONNECTICUT HEALTH CENTER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</si>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</sst>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2" xfId="6" applyBorder="1" applyAlignment="1"/>
    <xf numFmtId="0" fontId="2" fillId="0" borderId="32" xfId="6" applyFont="1" applyBorder="1" applyAlignment="1">
      <alignment horizontal="centerContinuous"/>
    </xf>
    <xf numFmtId="0" fontId="1" fillId="0" borderId="32" xfId="6" applyFont="1" applyBorder="1" applyAlignment="1">
      <alignment horizontal="centerContinuous"/>
    </xf>
    <xf numFmtId="0" fontId="1" fillId="0" borderId="32" xfId="6" applyFont="1" applyBorder="1" applyAlignment="1"/>
    <xf numFmtId="164" fontId="2" fillId="0" borderId="32" xfId="6" applyNumberFormat="1" applyFont="1" applyBorder="1" applyAlignment="1">
      <alignment horizontal="center"/>
    </xf>
    <xf numFmtId="0" fontId="1" fillId="0" borderId="32" xfId="6" applyFill="1" applyBorder="1" applyAlignment="1"/>
    <xf numFmtId="0" fontId="2" fillId="0" borderId="32" xfId="6" applyFont="1" applyFill="1" applyBorder="1" applyAlignment="1">
      <alignment horizontal="left"/>
    </xf>
    <xf numFmtId="0" fontId="2" fillId="0" borderId="32" xfId="6" applyFont="1" applyFill="1" applyBorder="1" applyAlignment="1">
      <alignment horizontal="centerContinuous"/>
    </xf>
    <xf numFmtId="164" fontId="3" fillId="0" borderId="32" xfId="6" applyNumberFormat="1" applyFont="1" applyBorder="1" applyAlignment="1">
      <alignment horizontal="center"/>
    </xf>
    <xf numFmtId="0" fontId="2" fillId="0" borderId="32" xfId="6" applyFont="1" applyFill="1" applyBorder="1" applyAlignment="1">
      <alignment horizontal="center"/>
    </xf>
    <xf numFmtId="0" fontId="1" fillId="0" borderId="32" xfId="6" applyFill="1" applyBorder="1" applyAlignment="1">
      <alignment horizontal="center"/>
    </xf>
    <xf numFmtId="0" fontId="4" fillId="0" borderId="32" xfId="6" applyFont="1" applyFill="1" applyBorder="1" applyAlignment="1">
      <alignment horizontal="center"/>
    </xf>
    <xf numFmtId="164" fontId="5" fillId="0" borderId="32" xfId="6" applyNumberFormat="1" applyFont="1" applyBorder="1" applyAlignment="1">
      <alignment horizontal="center" wrapText="1"/>
    </xf>
    <xf numFmtId="0" fontId="5" fillId="0" borderId="32" xfId="6" applyFont="1" applyFill="1" applyBorder="1" applyAlignment="1">
      <alignment horizontal="center"/>
    </xf>
    <xf numFmtId="0" fontId="4" fillId="0" borderId="32" xfId="6" applyFont="1" applyFill="1" applyBorder="1" applyAlignment="1">
      <alignment horizontal="left"/>
    </xf>
    <xf numFmtId="0" fontId="1" fillId="0" borderId="32" xfId="6" applyFont="1" applyFill="1" applyBorder="1" applyAlignment="1">
      <alignment horizontal="center"/>
    </xf>
    <xf numFmtId="0" fontId="1" fillId="0" borderId="32" xfId="6" applyFont="1" applyFill="1" applyBorder="1" applyAlignment="1"/>
    <xf numFmtId="0" fontId="1" fillId="0" borderId="32" xfId="6" applyFont="1" applyFill="1" applyBorder="1" applyAlignment="1">
      <alignment horizontal="center" wrapText="1"/>
    </xf>
    <xf numFmtId="0" fontId="3" fillId="0" borderId="32" xfId="6" applyFont="1" applyFill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1" fillId="0" borderId="32" xfId="6" applyFont="1" applyBorder="1" applyAlignment="1">
      <alignment horizontal="left"/>
    </xf>
    <xf numFmtId="5" fontId="1" fillId="0" borderId="32" xfId="6" applyNumberFormat="1" applyFont="1" applyBorder="1" applyAlignment="1">
      <alignment horizontal="right"/>
    </xf>
    <xf numFmtId="9" fontId="1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center"/>
    </xf>
    <xf numFmtId="0" fontId="2" fillId="0" borderId="32" xfId="6" applyFont="1" applyBorder="1" applyAlignment="1">
      <alignment horizontal="left"/>
    </xf>
    <xf numFmtId="5" fontId="3" fillId="0" borderId="32" xfId="6" applyNumberFormat="1" applyFont="1" applyBorder="1" applyAlignment="1">
      <alignment horizontal="right"/>
    </xf>
    <xf numFmtId="9" fontId="3" fillId="0" borderId="32" xfId="6" applyNumberFormat="1" applyFont="1" applyBorder="1" applyAlignment="1">
      <alignment horizontal="right"/>
    </xf>
    <xf numFmtId="37" fontId="1" fillId="0" borderId="32" xfId="6" applyNumberFormat="1" applyFont="1" applyBorder="1" applyAlignment="1">
      <alignment horizontal="right"/>
    </xf>
    <xf numFmtId="0" fontId="3" fillId="0" borderId="32" xfId="6" applyFont="1" applyBorder="1" applyAlignment="1">
      <alignment horizontal="center"/>
    </xf>
    <xf numFmtId="0" fontId="5" fillId="0" borderId="32" xfId="6" applyFont="1" applyBorder="1" applyAlignment="1">
      <alignment horizontal="left"/>
    </xf>
    <xf numFmtId="37" fontId="1" fillId="0" borderId="32" xfId="6" applyNumberFormat="1" applyFont="1" applyBorder="1" applyAlignment="1"/>
    <xf numFmtId="0" fontId="1" fillId="0" borderId="32" xfId="6" applyBorder="1" applyAlignment="1">
      <alignment horizontal="left"/>
    </xf>
    <xf numFmtId="6" fontId="1" fillId="0" borderId="32" xfId="6" applyNumberFormat="1" applyBorder="1" applyAlignment="1">
      <alignment horizontal="right"/>
    </xf>
    <xf numFmtId="9" fontId="1" fillId="0" borderId="32" xfId="6" applyNumberFormat="1" applyBorder="1" applyAlignment="1">
      <alignment horizontal="right"/>
    </xf>
    <xf numFmtId="0" fontId="2" fillId="0" borderId="32" xfId="6" applyFont="1" applyBorder="1" applyAlignment="1">
      <alignment horizontal="center"/>
    </xf>
    <xf numFmtId="37" fontId="2" fillId="0" borderId="32" xfId="6" applyNumberFormat="1" applyFont="1" applyBorder="1" applyAlignment="1">
      <alignment horizontal="centerContinuous"/>
    </xf>
    <xf numFmtId="37" fontId="1" fillId="0" borderId="32" xfId="6" applyNumberFormat="1" applyFont="1" applyBorder="1" applyAlignment="1">
      <alignment horizontal="centerContinuous"/>
    </xf>
    <xf numFmtId="37" fontId="4" fillId="0" borderId="32" xfId="6" applyNumberFormat="1" applyFont="1" applyFill="1" applyBorder="1" applyAlignment="1">
      <alignment horizontal="center"/>
    </xf>
    <xf numFmtId="37" fontId="1" fillId="0" borderId="32" xfId="6" applyNumberFormat="1" applyFont="1" applyFill="1" applyBorder="1" applyAlignment="1"/>
    <xf numFmtId="37" fontId="1" fillId="0" borderId="32" xfId="6" applyNumberFormat="1" applyFont="1" applyFill="1" applyBorder="1" applyAlignment="1">
      <alignment horizontal="center"/>
    </xf>
    <xf numFmtId="0" fontId="4" fillId="0" borderId="32" xfId="6" applyFont="1" applyBorder="1" applyAlignment="1">
      <alignment horizontal="left"/>
    </xf>
    <xf numFmtId="37" fontId="3" fillId="0" borderId="32" xfId="6" applyNumberFormat="1" applyFont="1" applyBorder="1" applyAlignment="1">
      <alignment horizontal="right"/>
    </xf>
    <xf numFmtId="0" fontId="6" fillId="0" borderId="32" xfId="6" applyFont="1" applyFill="1" applyBorder="1" applyAlignment="1">
      <alignment horizontal="center"/>
    </xf>
    <xf numFmtId="0" fontId="6" fillId="0" borderId="32" xfId="6" applyFont="1" applyFill="1" applyBorder="1" applyAlignment="1">
      <alignment horizontal="left"/>
    </xf>
    <xf numFmtId="9" fontId="6" fillId="0" borderId="32" xfId="6" applyNumberFormat="1" applyFont="1" applyFill="1" applyBorder="1" applyAlignment="1">
      <alignment horizontal="right"/>
    </xf>
    <xf numFmtId="0" fontId="7" fillId="0" borderId="32" xfId="6" applyFont="1" applyBorder="1" applyAlignment="1"/>
    <xf numFmtId="0" fontId="3" fillId="0" borderId="32" xfId="6" applyFont="1" applyBorder="1"/>
    <xf numFmtId="0" fontId="6" fillId="0" borderId="32" xfId="6" applyFont="1" applyBorder="1" applyAlignment="1">
      <alignment horizontal="left"/>
    </xf>
    <xf numFmtId="37" fontId="6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left" wrapText="1"/>
    </xf>
    <xf numFmtId="5" fontId="6" fillId="0" borderId="32" xfId="6" applyNumberFormat="1" applyFont="1" applyBorder="1" applyAlignment="1">
      <alignment horizontal="right"/>
    </xf>
    <xf numFmtId="165" fontId="6" fillId="0" borderId="32" xfId="6" applyNumberFormat="1" applyFont="1" applyBorder="1" applyAlignment="1">
      <alignment horizontal="right"/>
    </xf>
    <xf numFmtId="165" fontId="3" fillId="0" borderId="32" xfId="6" applyNumberFormat="1" applyFont="1" applyBorder="1" applyAlignment="1">
      <alignment horizontal="right"/>
    </xf>
    <xf numFmtId="0" fontId="1" fillId="0" borderId="32" xfId="6" applyFont="1" applyBorder="1" applyAlignment="1">
      <alignment horizontal="right"/>
    </xf>
    <xf numFmtId="0" fontId="6" fillId="0" borderId="32" xfId="6" applyFont="1" applyBorder="1" applyAlignment="1"/>
    <xf numFmtId="0" fontId="8" fillId="0" borderId="0" xfId="7" applyBorder="1" applyAlignment="1"/>
    <xf numFmtId="164" fontId="3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right"/>
    </xf>
    <xf numFmtId="0" fontId="3" fillId="0" borderId="32" xfId="7" applyFont="1" applyBorder="1" applyAlignment="1"/>
    <xf numFmtId="164" fontId="3" fillId="0" borderId="32" xfId="7" applyNumberFormat="1" applyFont="1" applyBorder="1" applyAlignment="1">
      <alignment horizontal="center"/>
    </xf>
    <xf numFmtId="0" fontId="5" fillId="0" borderId="32" xfId="7" applyFont="1" applyBorder="1" applyAlignment="1">
      <alignment horizontal="right"/>
    </xf>
    <xf numFmtId="0" fontId="5" fillId="0" borderId="32" xfId="7" applyFont="1" applyBorder="1" applyAlignment="1"/>
    <xf numFmtId="164" fontId="5" fillId="0" borderId="32" xfId="7" applyNumberFormat="1" applyFont="1" applyBorder="1" applyAlignment="1">
      <alignment horizontal="center" wrapText="1"/>
    </xf>
    <xf numFmtId="6" fontId="5" fillId="0" borderId="32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3" xfId="7" applyFill="1" applyBorder="1" applyAlignment="1">
      <alignment horizontal="center"/>
    </xf>
    <xf numFmtId="0" fontId="6" fillId="0" borderId="32" xfId="7" applyFont="1" applyBorder="1" applyAlignment="1"/>
    <xf numFmtId="164" fontId="6" fillId="0" borderId="32" xfId="7" applyNumberFormat="1" applyFont="1" applyFill="1" applyBorder="1" applyAlignment="1">
      <alignment horizontal="center"/>
    </xf>
    <xf numFmtId="6" fontId="3" fillId="0" borderId="32" xfId="7" applyNumberFormat="1" applyFont="1" applyBorder="1" applyAlignment="1">
      <alignment horizontal="center"/>
    </xf>
    <xf numFmtId="0" fontId="8" fillId="0" borderId="32" xfId="7" applyBorder="1" applyAlignment="1"/>
    <xf numFmtId="0" fontId="3" fillId="0" borderId="32" xfId="7" applyFont="1" applyBorder="1" applyAlignment="1">
      <alignment horizontal="center"/>
    </xf>
    <xf numFmtId="0" fontId="5" fillId="0" borderId="32" xfId="7" applyFont="1" applyBorder="1" applyAlignment="1">
      <alignment horizontal="left"/>
    </xf>
    <xf numFmtId="6" fontId="6" fillId="0" borderId="32" xfId="7" applyNumberFormat="1" applyFont="1" applyBorder="1" applyAlignment="1">
      <alignment horizontal="center"/>
    </xf>
    <xf numFmtId="0" fontId="6" fillId="0" borderId="32" xfId="7" applyFont="1" applyBorder="1" applyAlignment="1">
      <alignment horizontal="center"/>
    </xf>
    <xf numFmtId="0" fontId="6" fillId="0" borderId="32" xfId="7" applyFont="1" applyBorder="1" applyAlignment="1">
      <alignment horizontal="left"/>
    </xf>
    <xf numFmtId="5" fontId="6" fillId="0" borderId="32" xfId="7" applyNumberFormat="1" applyFont="1" applyBorder="1" applyAlignment="1">
      <alignment horizontal="right"/>
    </xf>
    <xf numFmtId="9" fontId="6" fillId="0" borderId="32" xfId="7" applyNumberFormat="1" applyFont="1" applyBorder="1" applyAlignment="1">
      <alignment horizontal="right"/>
    </xf>
    <xf numFmtId="0" fontId="3" fillId="0" borderId="32" xfId="7" applyFont="1" applyBorder="1" applyAlignment="1">
      <alignment horizontal="left"/>
    </xf>
    <xf numFmtId="5" fontId="3" fillId="0" borderId="32" xfId="7" applyNumberFormat="1" applyFont="1" applyBorder="1" applyAlignment="1">
      <alignment horizontal="right"/>
    </xf>
    <xf numFmtId="9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 wrapText="1"/>
    </xf>
    <xf numFmtId="0" fontId="6" fillId="0" borderId="32" xfId="7" applyFont="1" applyFill="1" applyBorder="1" applyAlignment="1">
      <alignment horizontal="left" wrapText="1"/>
    </xf>
    <xf numFmtId="0" fontId="3" fillId="0" borderId="32" xfId="7" applyFont="1" applyFill="1" applyBorder="1" applyAlignment="1">
      <alignment horizontal="center"/>
    </xf>
    <xf numFmtId="0" fontId="6" fillId="0" borderId="32" xfId="7" applyFont="1" applyBorder="1" applyAlignment="1">
      <alignment horizontal="right"/>
    </xf>
    <xf numFmtId="0" fontId="6" fillId="0" borderId="32" xfId="7" applyFont="1" applyFill="1" applyBorder="1" applyAlignment="1">
      <alignment horizontal="center"/>
    </xf>
    <xf numFmtId="37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/>
    </xf>
    <xf numFmtId="165" fontId="3" fillId="0" borderId="32" xfId="7" applyNumberFormat="1" applyFont="1" applyBorder="1" applyAlignment="1">
      <alignment horizontal="right"/>
    </xf>
    <xf numFmtId="42" fontId="6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9" xfId="6" applyNumberFormat="1" applyFont="1" applyBorder="1" applyAlignment="1">
      <alignment horizontal="center"/>
    </xf>
    <xf numFmtId="164" fontId="5" fillId="0" borderId="9" xfId="6" applyNumberFormat="1" applyFont="1" applyBorder="1" applyAlignment="1">
      <alignment horizontal="left" wrapText="1"/>
    </xf>
    <xf numFmtId="5" fontId="6" fillId="0" borderId="9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center" vertical="center"/>
    </xf>
    <xf numFmtId="43" fontId="6" fillId="0" borderId="9" xfId="1" applyFont="1" applyBorder="1" applyProtection="1">
      <protection locked="0"/>
    </xf>
    <xf numFmtId="164" fontId="3" fillId="0" borderId="9" xfId="6" applyNumberFormat="1" applyFont="1" applyBorder="1" applyAlignment="1">
      <alignment horizontal="center" vertical="center"/>
    </xf>
    <xf numFmtId="164" fontId="3" fillId="0" borderId="9" xfId="6" applyNumberFormat="1" applyFont="1" applyBorder="1" applyAlignment="1">
      <alignment horizontal="left" wrapText="1"/>
    </xf>
    <xf numFmtId="5" fontId="3" fillId="0" borderId="9" xfId="6" applyNumberFormat="1" applyFont="1" applyBorder="1" applyAlignment="1">
      <alignment horizontal="right"/>
    </xf>
    <xf numFmtId="9" fontId="3" fillId="0" borderId="9" xfId="6" applyNumberFormat="1" applyFont="1" applyBorder="1" applyAlignment="1">
      <alignment horizontal="right"/>
    </xf>
    <xf numFmtId="164" fontId="3" fillId="0" borderId="9" xfId="6" applyNumberFormat="1" applyFont="1" applyBorder="1" applyAlignment="1">
      <alignment horizontal="right"/>
    </xf>
    <xf numFmtId="43" fontId="3" fillId="0" borderId="9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0" xfId="6" applyNumberFormat="1" applyFont="1" applyFill="1" applyBorder="1" applyAlignment="1">
      <alignment horizontal="center"/>
    </xf>
    <xf numFmtId="164" fontId="3" fillId="0" borderId="11" xfId="6" applyNumberFormat="1" applyFont="1" applyBorder="1" applyAlignment="1">
      <alignment horizontal="left"/>
    </xf>
    <xf numFmtId="5" fontId="3" fillId="0" borderId="10" xfId="6" applyNumberFormat="1" applyFont="1" applyBorder="1" applyAlignment="1">
      <alignment horizontal="right"/>
    </xf>
    <xf numFmtId="5" fontId="3" fillId="0" borderId="12" xfId="6" applyNumberFormat="1" applyFont="1" applyBorder="1" applyAlignment="1">
      <alignment horizontal="right"/>
    </xf>
    <xf numFmtId="9" fontId="3" fillId="0" borderId="12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right"/>
    </xf>
    <xf numFmtId="164" fontId="3" fillId="0" borderId="12" xfId="6" applyNumberFormat="1" applyFont="1" applyFill="1" applyBorder="1" applyAlignment="1">
      <alignment horizontal="center"/>
    </xf>
    <xf numFmtId="164" fontId="3" fillId="0" borderId="10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13" xfId="7" applyFont="1" applyBorder="1" applyAlignment="1">
      <alignment horizontal="center"/>
    </xf>
    <xf numFmtId="0" fontId="6" fillId="0" borderId="0" xfId="7" applyFont="1" applyBorder="1"/>
    <xf numFmtId="164" fontId="3" fillId="0" borderId="9" xfId="7" applyNumberFormat="1" applyFont="1" applyBorder="1" applyAlignment="1">
      <alignment horizontal="center"/>
    </xf>
    <xf numFmtId="164" fontId="3" fillId="0" borderId="14" xfId="7" applyNumberFormat="1" applyFont="1" applyBorder="1" applyAlignment="1">
      <alignment horizontal="center"/>
    </xf>
    <xf numFmtId="164" fontId="3" fillId="0" borderId="14" xfId="7" applyNumberFormat="1" applyFont="1" applyBorder="1" applyAlignment="1"/>
    <xf numFmtId="0" fontId="3" fillId="0" borderId="14" xfId="7" applyFont="1" applyBorder="1" applyAlignment="1">
      <alignment horizontal="center" wrapText="1"/>
    </xf>
    <xf numFmtId="164" fontId="3" fillId="0" borderId="14" xfId="7" applyNumberFormat="1" applyFont="1" applyBorder="1" applyAlignment="1">
      <alignment horizontal="center" wrapText="1"/>
    </xf>
    <xf numFmtId="164" fontId="5" fillId="0" borderId="14" xfId="7" applyNumberFormat="1" applyFont="1" applyBorder="1" applyAlignment="1">
      <alignment horizontal="center"/>
    </xf>
    <xf numFmtId="164" fontId="5" fillId="0" borderId="14" xfId="7" applyNumberFormat="1" applyFont="1" applyBorder="1" applyAlignment="1">
      <alignment horizontal="left"/>
    </xf>
    <xf numFmtId="164" fontId="5" fillId="0" borderId="14" xfId="7" applyNumberFormat="1" applyFont="1" applyBorder="1" applyAlignment="1">
      <alignment horizontal="center" wrapText="1"/>
    </xf>
    <xf numFmtId="0" fontId="5" fillId="0" borderId="14" xfId="7" applyFont="1" applyBorder="1" applyAlignment="1">
      <alignment horizontal="center" wrapText="1"/>
    </xf>
    <xf numFmtId="164" fontId="6" fillId="0" borderId="9" xfId="7" applyNumberFormat="1" applyFont="1" applyBorder="1" applyAlignment="1">
      <alignment horizontal="center"/>
    </xf>
    <xf numFmtId="0" fontId="5" fillId="0" borderId="9" xfId="7" applyNumberFormat="1" applyFont="1" applyBorder="1" applyAlignment="1">
      <alignment horizontal="left" wrapText="1"/>
    </xf>
    <xf numFmtId="164" fontId="6" fillId="0" borderId="9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horizontal="right"/>
    </xf>
    <xf numFmtId="0" fontId="6" fillId="0" borderId="9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9" xfId="7" applyFont="1" applyBorder="1" applyAlignment="1">
      <alignment horizontal="center"/>
    </xf>
    <xf numFmtId="0" fontId="5" fillId="0" borderId="9" xfId="7" applyNumberFormat="1" applyFont="1" applyBorder="1"/>
    <xf numFmtId="5" fontId="6" fillId="0" borderId="9" xfId="7" applyNumberFormat="1" applyFont="1" applyBorder="1" applyAlignment="1">
      <alignment horizontal="right"/>
    </xf>
    <xf numFmtId="5" fontId="3" fillId="0" borderId="9" xfId="7" applyNumberFormat="1" applyFont="1" applyBorder="1" applyAlignment="1">
      <alignment horizontal="right"/>
    </xf>
    <xf numFmtId="9" fontId="3" fillId="0" borderId="9" xfId="7" applyNumberFormat="1" applyFont="1" applyBorder="1" applyAlignment="1">
      <alignment horizontal="right"/>
    </xf>
    <xf numFmtId="0" fontId="6" fillId="0" borderId="9" xfId="2" applyNumberFormat="1" applyFont="1" applyBorder="1" applyProtection="1">
      <protection locked="0"/>
    </xf>
    <xf numFmtId="9" fontId="6" fillId="0" borderId="9" xfId="7" applyNumberFormat="1" applyFont="1" applyBorder="1" applyAlignment="1">
      <alignment horizontal="right"/>
    </xf>
    <xf numFmtId="0" fontId="3" fillId="0" borderId="9" xfId="7" applyNumberFormat="1" applyFont="1" applyBorder="1"/>
    <xf numFmtId="43" fontId="6" fillId="0" borderId="9" xfId="2" applyFont="1" applyBorder="1" applyProtection="1">
      <protection locked="0"/>
    </xf>
    <xf numFmtId="164" fontId="6" fillId="0" borderId="9" xfId="7" applyNumberFormat="1" applyFont="1" applyFill="1" applyBorder="1" applyAlignment="1">
      <alignment horizontal="center"/>
    </xf>
    <xf numFmtId="3" fontId="3" fillId="0" borderId="9" xfId="7" applyNumberFormat="1" applyFont="1" applyBorder="1" applyAlignment="1" applyProtection="1"/>
    <xf numFmtId="9" fontId="6" fillId="0" borderId="9" xfId="9" applyFont="1" applyBorder="1" applyAlignment="1">
      <alignment horizontal="right"/>
    </xf>
    <xf numFmtId="0" fontId="3" fillId="0" borderId="9" xfId="7" applyNumberFormat="1" applyFont="1" applyBorder="1" applyAlignment="1">
      <alignment horizontal="left"/>
    </xf>
    <xf numFmtId="164" fontId="9" fillId="0" borderId="9" xfId="7" applyNumberFormat="1" applyFont="1" applyBorder="1" applyAlignment="1">
      <alignment horizontal="center"/>
    </xf>
    <xf numFmtId="0" fontId="6" fillId="0" borderId="9" xfId="7" applyFont="1" applyBorder="1"/>
    <xf numFmtId="3" fontId="6" fillId="0" borderId="9" xfId="7" applyNumberFormat="1" applyFont="1" applyBorder="1" applyAlignment="1" applyProtection="1"/>
    <xf numFmtId="0" fontId="8" fillId="0" borderId="9" xfId="7" applyBorder="1"/>
    <xf numFmtId="0" fontId="6" fillId="0" borderId="0" xfId="7" applyFont="1" applyBorder="1" applyAlignment="1">
      <alignment horizontal="right"/>
    </xf>
    <xf numFmtId="0" fontId="1" fillId="0" borderId="32" xfId="7" applyFont="1" applyBorder="1" applyAlignment="1">
      <alignment horizontal="center"/>
    </xf>
    <xf numFmtId="0" fontId="2" fillId="0" borderId="32" xfId="7" applyFont="1" applyBorder="1" applyAlignment="1">
      <alignment horizontal="centerContinuous"/>
    </xf>
    <xf numFmtId="0" fontId="1" fillId="0" borderId="32" xfId="7" applyFont="1" applyBorder="1" applyAlignment="1">
      <alignment horizontal="centerContinuous"/>
    </xf>
    <xf numFmtId="0" fontId="1" fillId="0" borderId="32" xfId="7" applyFont="1" applyBorder="1" applyAlignment="1"/>
    <xf numFmtId="0" fontId="2" fillId="0" borderId="32" xfId="7" applyFont="1" applyBorder="1" applyAlignment="1">
      <alignment horizontal="center"/>
    </xf>
    <xf numFmtId="164" fontId="2" fillId="0" borderId="32" xfId="7" applyNumberFormat="1" applyFont="1" applyBorder="1" applyAlignment="1">
      <alignment horizontal="center"/>
    </xf>
    <xf numFmtId="0" fontId="2" fillId="0" borderId="32" xfId="7" applyFont="1" applyFill="1" applyBorder="1" applyAlignment="1">
      <alignment horizontal="center"/>
    </xf>
    <xf numFmtId="0" fontId="2" fillId="0" borderId="32" xfId="7" applyFont="1" applyFill="1" applyBorder="1" applyAlignment="1">
      <alignment horizontal="centerContinuous"/>
    </xf>
    <xf numFmtId="0" fontId="4" fillId="0" borderId="32" xfId="7" applyFont="1" applyFill="1" applyBorder="1" applyAlignment="1">
      <alignment horizontal="center"/>
    </xf>
    <xf numFmtId="0" fontId="4" fillId="0" borderId="32" xfId="7" applyFont="1" applyFill="1" applyBorder="1" applyAlignment="1">
      <alignment horizontal="left"/>
    </xf>
    <xf numFmtId="5" fontId="1" fillId="0" borderId="32" xfId="7" applyNumberFormat="1" applyFont="1" applyBorder="1" applyAlignment="1"/>
    <xf numFmtId="0" fontId="6" fillId="0" borderId="34" xfId="7" applyFont="1" applyFill="1" applyBorder="1" applyAlignment="1">
      <alignment horizontal="left"/>
    </xf>
    <xf numFmtId="37" fontId="6" fillId="0" borderId="32" xfId="7" applyNumberFormat="1" applyFont="1" applyBorder="1" applyAlignment="1">
      <alignment horizontal="right"/>
    </xf>
    <xf numFmtId="0" fontId="6" fillId="0" borderId="34" xfId="7" applyFont="1" applyBorder="1" applyAlignment="1">
      <alignment horizontal="left"/>
    </xf>
    <xf numFmtId="166" fontId="6" fillId="0" borderId="32" xfId="7" applyNumberFormat="1" applyFont="1" applyBorder="1" applyAlignment="1">
      <alignment horizontal="right"/>
    </xf>
    <xf numFmtId="166" fontId="3" fillId="0" borderId="32" xfId="7" applyNumberFormat="1" applyFont="1" applyBorder="1" applyAlignment="1">
      <alignment horizontal="right"/>
    </xf>
    <xf numFmtId="10" fontId="6" fillId="0" borderId="32" xfId="7" applyNumberFormat="1" applyFont="1" applyBorder="1" applyAlignment="1">
      <alignment horizontal="right"/>
    </xf>
    <xf numFmtId="0" fontId="8" fillId="0" borderId="32" xfId="7" applyBorder="1"/>
    <xf numFmtId="0" fontId="4" fillId="0" borderId="32" xfId="7" applyFont="1" applyBorder="1" applyAlignment="1">
      <alignment horizontal="left"/>
    </xf>
    <xf numFmtId="0" fontId="1" fillId="0" borderId="32" xfId="7" applyFont="1" applyBorder="1" applyAlignment="1">
      <alignment horizontal="left"/>
    </xf>
    <xf numFmtId="167" fontId="6" fillId="0" borderId="32" xfId="7" applyNumberFormat="1" applyFont="1" applyBorder="1" applyAlignment="1">
      <alignment horizontal="right"/>
    </xf>
    <xf numFmtId="0" fontId="2" fillId="0" borderId="32" xfId="7" applyFont="1" applyBorder="1" applyAlignment="1">
      <alignment horizontal="left"/>
    </xf>
    <xf numFmtId="43" fontId="3" fillId="0" borderId="32" xfId="7" applyNumberFormat="1" applyFont="1" applyBorder="1" applyAlignment="1">
      <alignment horizontal="right"/>
    </xf>
    <xf numFmtId="5" fontId="1" fillId="0" borderId="32" xfId="7" applyNumberFormat="1" applyFont="1" applyBorder="1" applyAlignment="1">
      <alignment horizontal="right"/>
    </xf>
    <xf numFmtId="39" fontId="3" fillId="0" borderId="32" xfId="7" applyNumberFormat="1" applyFont="1" applyBorder="1" applyAlignment="1">
      <alignment horizontal="right"/>
    </xf>
    <xf numFmtId="4" fontId="3" fillId="0" borderId="32" xfId="7" applyNumberFormat="1" applyFont="1" applyBorder="1" applyAlignment="1">
      <alignment horizontal="right"/>
    </xf>
    <xf numFmtId="165" fontId="6" fillId="0" borderId="32" xfId="7" applyNumberFormat="1" applyFont="1" applyFill="1" applyBorder="1" applyAlignment="1">
      <alignment horizontal="right"/>
    </xf>
    <xf numFmtId="0" fontId="10" fillId="0" borderId="32" xfId="7" applyFont="1" applyBorder="1" applyAlignment="1">
      <alignment horizontal="left"/>
    </xf>
    <xf numFmtId="165" fontId="6" fillId="0" borderId="32" xfId="7" applyNumberFormat="1" applyFont="1" applyBorder="1" applyAlignment="1">
      <alignment horizontal="right"/>
    </xf>
    <xf numFmtId="167" fontId="3" fillId="0" borderId="32" xfId="7" applyNumberFormat="1" applyFont="1" applyFill="1" applyBorder="1" applyAlignment="1">
      <alignment horizontal="right"/>
    </xf>
    <xf numFmtId="164" fontId="3" fillId="0" borderId="32" xfId="7" applyNumberFormat="1" applyFont="1" applyBorder="1" applyAlignment="1">
      <alignment horizontal="right"/>
    </xf>
    <xf numFmtId="5" fontId="6" fillId="0" borderId="32" xfId="7" applyNumberFormat="1" applyFont="1" applyBorder="1" applyAlignment="1"/>
    <xf numFmtId="0" fontId="1" fillId="0" borderId="34" xfId="7" applyFont="1" applyBorder="1" applyAlignment="1">
      <alignment horizontal="left"/>
    </xf>
    <xf numFmtId="37" fontId="6" fillId="0" borderId="32" xfId="7" applyNumberFormat="1" applyFont="1" applyBorder="1" applyAlignment="1"/>
    <xf numFmtId="0" fontId="2" fillId="0" borderId="32" xfId="7" applyFont="1" applyFill="1" applyBorder="1" applyAlignment="1">
      <alignment horizontal="left"/>
    </xf>
    <xf numFmtId="5" fontId="3" fillId="0" borderId="32" xfId="7" applyNumberFormat="1" applyFont="1" applyBorder="1" applyAlignment="1"/>
    <xf numFmtId="165" fontId="3" fillId="0" borderId="32" xfId="7" applyNumberFormat="1" applyFont="1" applyBorder="1" applyAlignment="1"/>
    <xf numFmtId="0" fontId="5" fillId="0" borderId="32" xfId="7" applyFont="1" applyFill="1" applyBorder="1" applyAlignment="1">
      <alignment horizontal="left"/>
    </xf>
    <xf numFmtId="0" fontId="1" fillId="0" borderId="32" xfId="7" applyFont="1" applyFill="1" applyBorder="1" applyAlignment="1">
      <alignment horizontal="left"/>
    </xf>
    <xf numFmtId="165" fontId="1" fillId="0" borderId="32" xfId="7" applyNumberFormat="1" applyFont="1" applyBorder="1" applyAlignment="1"/>
    <xf numFmtId="42" fontId="6" fillId="0" borderId="32" xfId="7" applyNumberFormat="1" applyFont="1" applyBorder="1" applyAlignment="1">
      <alignment horizontal="right"/>
    </xf>
    <xf numFmtId="168" fontId="3" fillId="0" borderId="32" xfId="7" applyNumberFormat="1" applyFont="1" applyBorder="1" applyAlignment="1">
      <alignment horizontal="right"/>
    </xf>
    <xf numFmtId="1" fontId="3" fillId="0" borderId="32" xfId="7" applyNumberFormat="1" applyFont="1" applyBorder="1" applyAlignment="1">
      <alignment horizontal="right"/>
    </xf>
    <xf numFmtId="165" fontId="6" fillId="0" borderId="32" xfId="7" applyNumberFormat="1" applyFont="1" applyBorder="1" applyAlignment="1"/>
    <xf numFmtId="0" fontId="1" fillId="0" borderId="32" xfId="7" applyFont="1" applyFill="1" applyBorder="1" applyAlignment="1">
      <alignment horizontal="center"/>
    </xf>
    <xf numFmtId="41" fontId="6" fillId="0" borderId="32" xfId="7" applyNumberFormat="1" applyFont="1" applyBorder="1" applyAlignment="1">
      <alignment horizontal="right"/>
    </xf>
    <xf numFmtId="168" fontId="6" fillId="0" borderId="32" xfId="7" applyNumberFormat="1" applyFont="1" applyBorder="1" applyAlignment="1">
      <alignment horizontal="right"/>
    </xf>
    <xf numFmtId="0" fontId="8" fillId="0" borderId="32" xfId="7" applyFill="1" applyBorder="1" applyAlignment="1"/>
    <xf numFmtId="0" fontId="8" fillId="0" borderId="32" xfId="7" applyFill="1" applyBorder="1" applyAlignment="1">
      <alignment horizontal="center"/>
    </xf>
    <xf numFmtId="0" fontId="11" fillId="0" borderId="32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2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15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17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9" xfId="6" applyFont="1" applyBorder="1" applyAlignment="1">
      <alignment horizontal="center" vertical="center"/>
    </xf>
    <xf numFmtId="0" fontId="12" fillId="0" borderId="9" xfId="6" applyFont="1" applyBorder="1" applyAlignment="1">
      <alignment horizontal="left" vertical="center"/>
    </xf>
    <xf numFmtId="164" fontId="12" fillId="0" borderId="9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18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9" xfId="6" applyNumberFormat="1" applyFont="1" applyBorder="1" applyAlignment="1">
      <alignment horizontal="center"/>
    </xf>
    <xf numFmtId="0" fontId="13" fillId="0" borderId="9" xfId="6" applyFont="1" applyBorder="1"/>
    <xf numFmtId="5" fontId="13" fillId="0" borderId="9" xfId="6" applyNumberFormat="1" applyFont="1" applyBorder="1" applyAlignment="1">
      <alignment horizontal="right"/>
    </xf>
    <xf numFmtId="9" fontId="13" fillId="0" borderId="9" xfId="10" applyNumberFormat="1" applyFont="1" applyBorder="1" applyAlignment="1">
      <alignment horizontal="right"/>
    </xf>
    <xf numFmtId="37" fontId="13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left"/>
    </xf>
    <xf numFmtId="5" fontId="12" fillId="0" borderId="9" xfId="6" applyNumberFormat="1" applyFont="1" applyBorder="1" applyAlignment="1">
      <alignment horizontal="right"/>
    </xf>
    <xf numFmtId="9" fontId="12" fillId="0" borderId="9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9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9" xfId="6" applyFont="1" applyBorder="1" applyAlignment="1">
      <alignment horizontal="center"/>
    </xf>
    <xf numFmtId="0" fontId="12" fillId="0" borderId="9" xfId="6" applyFont="1" applyBorder="1" applyAlignment="1">
      <alignment wrapText="1"/>
    </xf>
    <xf numFmtId="9" fontId="12" fillId="0" borderId="9" xfId="10" applyFont="1" applyBorder="1" applyAlignment="1">
      <alignment horizontal="right"/>
    </xf>
    <xf numFmtId="37" fontId="12" fillId="0" borderId="9" xfId="6" applyNumberFormat="1" applyFont="1" applyFill="1" applyBorder="1" applyAlignment="1">
      <alignment horizontal="right"/>
    </xf>
    <xf numFmtId="164" fontId="12" fillId="0" borderId="16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9" xfId="6" applyNumberFormat="1" applyFont="1" applyFill="1" applyBorder="1" applyAlignment="1">
      <alignment horizontal="left"/>
    </xf>
    <xf numFmtId="164" fontId="12" fillId="3" borderId="20" xfId="6" applyNumberFormat="1" applyFont="1" applyFill="1" applyBorder="1" applyAlignment="1">
      <alignment horizontal="center" wrapText="1"/>
    </xf>
    <xf numFmtId="164" fontId="12" fillId="3" borderId="21" xfId="6" applyNumberFormat="1" applyFont="1" applyFill="1" applyBorder="1" applyAlignment="1">
      <alignment horizontal="center" wrapText="1"/>
    </xf>
    <xf numFmtId="9" fontId="12" fillId="3" borderId="19" xfId="10" applyFont="1" applyFill="1" applyBorder="1" applyAlignment="1">
      <alignment horizontal="center" wrapText="1"/>
    </xf>
    <xf numFmtId="0" fontId="15" fillId="0" borderId="9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9" xfId="6" applyNumberFormat="1" applyFont="1" applyFill="1" applyBorder="1" applyAlignment="1">
      <alignment horizontal="left" wrapText="1"/>
    </xf>
    <xf numFmtId="0" fontId="12" fillId="0" borderId="9" xfId="6" applyFont="1" applyBorder="1" applyAlignment="1">
      <alignment horizontal="center" vertical="center"/>
    </xf>
    <xf numFmtId="0" fontId="12" fillId="0" borderId="9" xfId="6" applyFont="1" applyFill="1" applyBorder="1" applyAlignment="1">
      <alignment wrapText="1"/>
    </xf>
    <xf numFmtId="37" fontId="12" fillId="0" borderId="9" xfId="1" applyNumberFormat="1" applyFont="1" applyBorder="1" applyAlignment="1">
      <alignment horizontal="right"/>
    </xf>
    <xf numFmtId="0" fontId="1" fillId="0" borderId="32" xfId="6" applyBorder="1" applyAlignment="1">
      <alignment wrapText="1"/>
    </xf>
    <xf numFmtId="0" fontId="2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wrapText="1"/>
    </xf>
    <xf numFmtId="164" fontId="2" fillId="0" borderId="32" xfId="6" applyNumberFormat="1" applyFont="1" applyBorder="1" applyAlignment="1">
      <alignment horizontal="center" wrapText="1"/>
    </xf>
    <xf numFmtId="0" fontId="1" fillId="0" borderId="32" xfId="6" applyFill="1" applyBorder="1" applyAlignment="1">
      <alignment wrapText="1"/>
    </xf>
    <xf numFmtId="0" fontId="2" fillId="0" borderId="32" xfId="6" applyFont="1" applyFill="1" applyBorder="1" applyAlignment="1">
      <alignment horizontal="left" wrapText="1"/>
    </xf>
    <xf numFmtId="0" fontId="2" fillId="0" borderId="32" xfId="6" applyFont="1" applyFill="1" applyBorder="1" applyAlignment="1">
      <alignment horizontal="centerContinuous" wrapText="1"/>
    </xf>
    <xf numFmtId="164" fontId="3" fillId="0" borderId="32" xfId="6" applyNumberFormat="1" applyFont="1" applyBorder="1" applyAlignment="1">
      <alignment horizontal="center" wrapText="1"/>
    </xf>
    <xf numFmtId="0" fontId="2" fillId="0" borderId="32" xfId="6" applyFont="1" applyFill="1" applyBorder="1" applyAlignment="1">
      <alignment horizontal="center" wrapText="1"/>
    </xf>
    <xf numFmtId="0" fontId="1" fillId="0" borderId="32" xfId="6" applyFill="1" applyBorder="1" applyAlignment="1">
      <alignment horizontal="center" wrapText="1"/>
    </xf>
    <xf numFmtId="0" fontId="4" fillId="0" borderId="32" xfId="6" applyFont="1" applyFill="1" applyBorder="1" applyAlignment="1">
      <alignment horizontal="center" wrapText="1"/>
    </xf>
    <xf numFmtId="0" fontId="5" fillId="0" borderId="32" xfId="6" applyFont="1" applyFill="1" applyBorder="1" applyAlignment="1">
      <alignment horizontal="center" wrapText="1"/>
    </xf>
    <xf numFmtId="0" fontId="4" fillId="0" borderId="32" xfId="6" applyFont="1" applyFill="1" applyBorder="1" applyAlignment="1">
      <alignment horizontal="left" wrapText="1"/>
    </xf>
    <xf numFmtId="0" fontId="1" fillId="0" borderId="32" xfId="6" applyFont="1" applyFill="1" applyBorder="1" applyAlignment="1">
      <alignment wrapText="1"/>
    </xf>
    <xf numFmtId="0" fontId="3" fillId="0" borderId="32" xfId="6" applyFont="1" applyFill="1" applyBorder="1" applyAlignment="1">
      <alignment horizontal="center" wrapText="1"/>
    </xf>
    <xf numFmtId="0" fontId="1" fillId="0" borderId="32" xfId="6" applyFont="1" applyBorder="1" applyAlignment="1">
      <alignment horizontal="center" wrapText="1"/>
    </xf>
    <xf numFmtId="0" fontId="1" fillId="0" borderId="32" xfId="6" applyFont="1" applyBorder="1" applyAlignment="1">
      <alignment horizontal="left" wrapText="1"/>
    </xf>
    <xf numFmtId="9" fontId="1" fillId="0" borderId="32" xfId="6" applyNumberFormat="1" applyFont="1" applyBorder="1" applyAlignment="1">
      <alignment horizontal="right" wrapText="1"/>
    </xf>
    <xf numFmtId="0" fontId="6" fillId="0" borderId="32" xfId="6" applyFont="1" applyBorder="1" applyAlignment="1">
      <alignment horizontal="center" wrapText="1"/>
    </xf>
    <xf numFmtId="0" fontId="2" fillId="0" borderId="32" xfId="6" applyFont="1" applyBorder="1" applyAlignment="1">
      <alignment horizontal="left" wrapText="1"/>
    </xf>
    <xf numFmtId="5" fontId="3" fillId="0" borderId="32" xfId="6" applyNumberFormat="1" applyFont="1" applyBorder="1" applyAlignment="1">
      <alignment horizontal="right" wrapText="1"/>
    </xf>
    <xf numFmtId="9" fontId="3" fillId="0" borderId="32" xfId="6" applyNumberFormat="1" applyFont="1" applyBorder="1" applyAlignment="1">
      <alignment horizontal="right" wrapText="1"/>
    </xf>
    <xf numFmtId="37" fontId="1" fillId="0" borderId="32" xfId="6" applyNumberFormat="1" applyFont="1" applyBorder="1" applyAlignment="1">
      <alignment horizontal="right" wrapText="1"/>
    </xf>
    <xf numFmtId="0" fontId="3" fillId="0" borderId="32" xfId="6" applyFont="1" applyBorder="1" applyAlignment="1">
      <alignment horizontal="center" wrapText="1"/>
    </xf>
    <xf numFmtId="0" fontId="5" fillId="0" borderId="32" xfId="6" applyFont="1" applyBorder="1" applyAlignment="1">
      <alignment horizontal="left" wrapText="1"/>
    </xf>
    <xf numFmtId="0" fontId="1" fillId="0" borderId="32" xfId="6" applyBorder="1" applyAlignment="1">
      <alignment horizontal="left" wrapText="1"/>
    </xf>
    <xf numFmtId="6" fontId="1" fillId="0" borderId="32" xfId="6" applyNumberFormat="1" applyBorder="1" applyAlignment="1">
      <alignment horizontal="right" wrapText="1"/>
    </xf>
    <xf numFmtId="9" fontId="1" fillId="0" borderId="32" xfId="6" applyNumberFormat="1" applyBorder="1" applyAlignment="1">
      <alignment horizontal="right" wrapText="1"/>
    </xf>
    <xf numFmtId="0" fontId="2" fillId="0" borderId="32" xfId="6" applyFont="1" applyBorder="1" applyAlignment="1">
      <alignment horizontal="center" wrapText="1"/>
    </xf>
    <xf numFmtId="0" fontId="4" fillId="0" borderId="32" xfId="6" applyFont="1" applyBorder="1" applyAlignment="1">
      <alignment horizontal="left" wrapText="1"/>
    </xf>
    <xf numFmtId="0" fontId="6" fillId="0" borderId="32" xfId="6" applyFont="1" applyFill="1" applyBorder="1" applyAlignment="1">
      <alignment horizontal="center" wrapText="1"/>
    </xf>
    <xf numFmtId="0" fontId="6" fillId="0" borderId="32" xfId="6" applyFont="1" applyFill="1" applyBorder="1" applyAlignment="1">
      <alignment horizontal="left" wrapText="1"/>
    </xf>
    <xf numFmtId="9" fontId="6" fillId="0" borderId="32" xfId="6" applyNumberFormat="1" applyFont="1" applyFill="1" applyBorder="1" applyAlignment="1">
      <alignment horizontal="right" wrapText="1"/>
    </xf>
    <xf numFmtId="0" fontId="16" fillId="0" borderId="32" xfId="6" applyFont="1" applyBorder="1" applyAlignment="1">
      <alignment wrapText="1"/>
    </xf>
    <xf numFmtId="5" fontId="6" fillId="0" borderId="32" xfId="6" applyNumberFormat="1" applyFont="1" applyBorder="1" applyAlignment="1">
      <alignment horizontal="right" wrapText="1"/>
    </xf>
    <xf numFmtId="165" fontId="6" fillId="0" borderId="32" xfId="6" applyNumberFormat="1" applyFont="1" applyBorder="1" applyAlignment="1">
      <alignment horizontal="right" wrapText="1"/>
    </xf>
    <xf numFmtId="165" fontId="3" fillId="0" borderId="32" xfId="6" applyNumberFormat="1" applyFont="1" applyBorder="1" applyAlignment="1">
      <alignment horizontal="right" wrapText="1"/>
    </xf>
    <xf numFmtId="0" fontId="1" fillId="0" borderId="32" xfId="6" applyFont="1" applyBorder="1" applyAlignment="1">
      <alignment horizontal="right" wrapText="1"/>
    </xf>
    <xf numFmtId="0" fontId="11" fillId="0" borderId="32" xfId="6" applyFont="1" applyBorder="1" applyAlignment="1">
      <alignment wrapText="1"/>
    </xf>
    <xf numFmtId="164" fontId="5" fillId="0" borderId="32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2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5" xfId="7" applyFont="1" applyFill="1" applyBorder="1" applyAlignment="1">
      <alignment horizontal="center"/>
    </xf>
    <xf numFmtId="0" fontId="3" fillId="2" borderId="32" xfId="7" applyFont="1" applyFill="1" applyBorder="1" applyAlignment="1">
      <alignment horizontal="center"/>
    </xf>
    <xf numFmtId="0" fontId="4" fillId="2" borderId="32" xfId="7" applyFont="1" applyFill="1" applyBorder="1" applyAlignment="1">
      <alignment horizontal="left"/>
    </xf>
    <xf numFmtId="5" fontId="3" fillId="2" borderId="32" xfId="7" applyNumberFormat="1" applyFont="1" applyFill="1" applyBorder="1" applyAlignment="1">
      <alignment horizontal="right"/>
    </xf>
    <xf numFmtId="165" fontId="3" fillId="2" borderId="32" xfId="7" applyNumberFormat="1" applyFont="1" applyFill="1" applyBorder="1" applyAlignment="1">
      <alignment horizontal="right"/>
    </xf>
    <xf numFmtId="0" fontId="5" fillId="2" borderId="32" xfId="7" applyFont="1" applyFill="1" applyBorder="1" applyAlignment="1">
      <alignment horizontal="left"/>
    </xf>
    <xf numFmtId="43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center"/>
    </xf>
    <xf numFmtId="0" fontId="6" fillId="2" borderId="32" xfId="7" applyFont="1" applyFill="1" applyBorder="1" applyAlignment="1">
      <alignment horizontal="left" wrapText="1"/>
    </xf>
    <xf numFmtId="5" fontId="6" fillId="2" borderId="32" xfId="7" applyNumberFormat="1" applyFont="1" applyFill="1" applyBorder="1" applyAlignment="1"/>
    <xf numFmtId="0" fontId="2" fillId="2" borderId="32" xfId="7" applyFont="1" applyFill="1" applyBorder="1" applyAlignment="1">
      <alignment horizontal="left"/>
    </xf>
    <xf numFmtId="164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left"/>
    </xf>
    <xf numFmtId="5" fontId="1" fillId="2" borderId="32" xfId="7" applyNumberFormat="1" applyFont="1" applyFill="1" applyBorder="1" applyAlignment="1"/>
    <xf numFmtId="0" fontId="1" fillId="2" borderId="34" xfId="7" applyFont="1" applyFill="1" applyBorder="1" applyAlignment="1">
      <alignment horizontal="left"/>
    </xf>
    <xf numFmtId="0" fontId="8" fillId="2" borderId="32" xfId="7" applyFill="1" applyBorder="1"/>
    <xf numFmtId="5" fontId="3" fillId="2" borderId="32" xfId="7" applyNumberFormat="1" applyFont="1" applyFill="1" applyBorder="1" applyAlignment="1"/>
    <xf numFmtId="165" fontId="3" fillId="2" borderId="32" xfId="7" applyNumberFormat="1" applyFont="1" applyFill="1" applyBorder="1" applyAlignment="1"/>
    <xf numFmtId="1" fontId="3" fillId="2" borderId="32" xfId="7" applyNumberFormat="1" applyFont="1" applyFill="1" applyBorder="1" applyAlignment="1"/>
    <xf numFmtId="42" fontId="1" fillId="2" borderId="32" xfId="7" applyNumberFormat="1" applyFont="1" applyFill="1" applyBorder="1" applyAlignment="1"/>
    <xf numFmtId="42" fontId="6" fillId="2" borderId="32" xfId="7" applyNumberFormat="1" applyFont="1" applyFill="1" applyBorder="1" applyAlignment="1"/>
    <xf numFmtId="5" fontId="6" fillId="2" borderId="32" xfId="7" applyNumberFormat="1" applyFont="1" applyFill="1" applyBorder="1" applyAlignment="1">
      <alignment horizontal="right"/>
    </xf>
    <xf numFmtId="42" fontId="6" fillId="2" borderId="32" xfId="7" applyNumberFormat="1" applyFont="1" applyFill="1" applyBorder="1" applyAlignment="1">
      <alignment horizontal="right"/>
    </xf>
    <xf numFmtId="1" fontId="3" fillId="2" borderId="32" xfId="7" applyNumberFormat="1" applyFont="1" applyFill="1" applyBorder="1" applyAlignment="1">
      <alignment horizontal="right"/>
    </xf>
    <xf numFmtId="165" fontId="6" fillId="2" borderId="32" xfId="7" applyNumberFormat="1" applyFont="1" applyFill="1" applyBorder="1" applyAlignment="1">
      <alignment horizontal="right"/>
    </xf>
    <xf numFmtId="168" fontId="3" fillId="2" borderId="32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2" xfId="7" applyNumberFormat="1" applyFont="1" applyFill="1" applyBorder="1" applyAlignment="1"/>
    <xf numFmtId="0" fontId="1" fillId="0" borderId="13" xfId="7" applyFont="1" applyBorder="1" applyAlignment="1">
      <alignment horizontal="center"/>
    </xf>
    <xf numFmtId="164" fontId="2" fillId="0" borderId="9" xfId="7" applyNumberFormat="1" applyFont="1" applyBorder="1" applyAlignment="1"/>
    <xf numFmtId="164" fontId="2" fillId="0" borderId="9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13" xfId="7" applyFont="1" applyBorder="1" applyAlignment="1">
      <alignment horizontal="center"/>
    </xf>
    <xf numFmtId="164" fontId="5" fillId="0" borderId="9" xfId="7" applyNumberFormat="1" applyFont="1" applyFill="1" applyBorder="1" applyAlignment="1"/>
    <xf numFmtId="164" fontId="5" fillId="0" borderId="9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9" xfId="7" applyNumberFormat="1" applyFont="1" applyBorder="1" applyAlignment="1">
      <alignment horizontal="center"/>
    </xf>
    <xf numFmtId="0" fontId="6" fillId="0" borderId="13" xfId="7" applyFont="1" applyBorder="1" applyAlignment="1">
      <alignment horizontal="center"/>
    </xf>
    <xf numFmtId="164" fontId="6" fillId="0" borderId="9" xfId="7" applyNumberFormat="1" applyFont="1" applyBorder="1" applyAlignment="1"/>
    <xf numFmtId="3" fontId="1" fillId="0" borderId="9" xfId="7" applyNumberFormat="1" applyFont="1" applyBorder="1" applyAlignment="1">
      <alignment horizontal="right"/>
    </xf>
    <xf numFmtId="1" fontId="1" fillId="0" borderId="9" xfId="7" applyNumberFormat="1" applyFont="1" applyBorder="1" applyAlignment="1">
      <alignment horizontal="right"/>
    </xf>
    <xf numFmtId="167" fontId="1" fillId="0" borderId="9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9" xfId="7" applyNumberFormat="1" applyFont="1" applyBorder="1" applyAlignment="1"/>
    <xf numFmtId="3" fontId="3" fillId="0" borderId="9" xfId="7" applyNumberFormat="1" applyFont="1" applyBorder="1" applyAlignment="1">
      <alignment horizontal="right"/>
    </xf>
    <xf numFmtId="167" fontId="3" fillId="0" borderId="9" xfId="9" applyNumberFormat="1" applyFont="1" applyBorder="1" applyAlignment="1">
      <alignment horizontal="right"/>
    </xf>
    <xf numFmtId="164" fontId="1" fillId="0" borderId="9" xfId="7" applyNumberFormat="1" applyFont="1" applyBorder="1" applyAlignment="1"/>
    <xf numFmtId="3" fontId="2" fillId="0" borderId="9" xfId="7" applyNumberFormat="1" applyFont="1" applyBorder="1" applyAlignment="1">
      <alignment horizontal="right"/>
    </xf>
    <xf numFmtId="167" fontId="2" fillId="0" borderId="9" xfId="9" applyNumberFormat="1" applyFont="1" applyBorder="1" applyAlignment="1">
      <alignment horizontal="right"/>
    </xf>
    <xf numFmtId="1" fontId="2" fillId="0" borderId="9" xfId="7" applyNumberFormat="1" applyFont="1" applyBorder="1" applyAlignment="1">
      <alignment horizontal="right"/>
    </xf>
    <xf numFmtId="167" fontId="2" fillId="0" borderId="9" xfId="7" applyNumberFormat="1" applyFont="1" applyBorder="1" applyAlignment="1">
      <alignment horizontal="right"/>
    </xf>
    <xf numFmtId="37" fontId="2" fillId="0" borderId="9" xfId="7" applyNumberFormat="1" applyFont="1" applyBorder="1" applyAlignment="1">
      <alignment horizontal="right"/>
    </xf>
    <xf numFmtId="9" fontId="2" fillId="0" borderId="9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wrapText="1"/>
    </xf>
    <xf numFmtId="37" fontId="3" fillId="0" borderId="9" xfId="2" applyNumberFormat="1" applyFont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9" fontId="3" fillId="0" borderId="9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20" xfId="7" applyFont="1" applyBorder="1" applyAlignment="1">
      <alignment horizontal="center"/>
    </xf>
    <xf numFmtId="164" fontId="5" fillId="0" borderId="9" xfId="7" applyNumberFormat="1" applyFont="1" applyBorder="1" applyAlignment="1">
      <alignment wrapText="1"/>
    </xf>
    <xf numFmtId="164" fontId="4" fillId="0" borderId="9" xfId="7" applyNumberFormat="1" applyFont="1" applyBorder="1" applyAlignment="1">
      <alignment horizontal="center"/>
    </xf>
    <xf numFmtId="164" fontId="6" fillId="0" borderId="9" xfId="7" applyNumberFormat="1" applyFont="1" applyBorder="1" applyAlignment="1">
      <alignment wrapText="1"/>
    </xf>
    <xf numFmtId="3" fontId="1" fillId="0" borderId="9" xfId="2" applyNumberFormat="1" applyFont="1" applyBorder="1" applyAlignment="1">
      <alignment horizontal="right"/>
    </xf>
    <xf numFmtId="9" fontId="1" fillId="0" borderId="9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9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9" xfId="7" applyNumberFormat="1" applyFont="1" applyBorder="1" applyAlignment="1">
      <alignment horizontal="right"/>
    </xf>
    <xf numFmtId="3" fontId="6" fillId="0" borderId="9" xfId="2" applyNumberFormat="1" applyFont="1" applyBorder="1" applyAlignment="1">
      <alignment horizontal="right"/>
    </xf>
    <xf numFmtId="170" fontId="1" fillId="0" borderId="9" xfId="7" applyNumberFormat="1" applyFont="1" applyBorder="1" applyAlignment="1">
      <alignment horizontal="right"/>
    </xf>
    <xf numFmtId="170" fontId="1" fillId="0" borderId="9" xfId="2" applyNumberFormat="1" applyFont="1" applyBorder="1" applyAlignment="1">
      <alignment horizontal="right"/>
    </xf>
    <xf numFmtId="170" fontId="3" fillId="0" borderId="9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9" xfId="8" applyFont="1" applyBorder="1" applyAlignment="1" applyProtection="1">
      <alignment horizontal="left"/>
      <protection locked="0"/>
    </xf>
    <xf numFmtId="0" fontId="3" fillId="0" borderId="9" xfId="8" applyFont="1" applyBorder="1" applyAlignment="1" applyProtection="1">
      <alignment horizontal="center"/>
      <protection locked="0"/>
    </xf>
    <xf numFmtId="0" fontId="11" fillId="0" borderId="22" xfId="8" applyFont="1" applyBorder="1" applyProtection="1">
      <protection locked="0"/>
    </xf>
    <xf numFmtId="0" fontId="18" fillId="0" borderId="9" xfId="8" applyFont="1" applyBorder="1" applyAlignment="1" applyProtection="1">
      <alignment horizontal="center"/>
      <protection locked="0"/>
    </xf>
    <xf numFmtId="0" fontId="18" fillId="0" borderId="2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18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9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9" xfId="8" applyFont="1" applyBorder="1" applyAlignment="1"/>
    <xf numFmtId="0" fontId="9" fillId="0" borderId="9" xfId="8" applyFont="1" applyBorder="1" applyAlignment="1">
      <alignment horizontal="center" vertical="top"/>
    </xf>
    <xf numFmtId="0" fontId="5" fillId="0" borderId="9" xfId="8" applyFont="1" applyBorder="1" applyAlignment="1"/>
    <xf numFmtId="0" fontId="19" fillId="0" borderId="9" xfId="8" applyFont="1" applyBorder="1" applyAlignment="1" applyProtection="1">
      <alignment horizontal="center"/>
      <protection locked="0"/>
    </xf>
    <xf numFmtId="0" fontId="11" fillId="0" borderId="9" xfId="8" applyFont="1" applyBorder="1" applyAlignment="1">
      <alignment horizontal="center"/>
    </xf>
    <xf numFmtId="0" fontId="11" fillId="0" borderId="9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9" xfId="8" applyFont="1" applyBorder="1" applyAlignment="1">
      <alignment horizontal="center" vertical="top"/>
    </xf>
    <xf numFmtId="0" fontId="20" fillId="0" borderId="9" xfId="8" applyFont="1" applyBorder="1" applyAlignment="1">
      <alignment vertical="top"/>
    </xf>
    <xf numFmtId="0" fontId="11" fillId="0" borderId="9" xfId="8" applyFont="1" applyBorder="1" applyProtection="1">
      <protection locked="0"/>
    </xf>
    <xf numFmtId="0" fontId="11" fillId="0" borderId="9" xfId="8" applyFont="1" applyBorder="1" applyAlignment="1">
      <alignment vertical="top" wrapText="1"/>
    </xf>
    <xf numFmtId="0" fontId="11" fillId="0" borderId="9" xfId="8" applyFont="1" applyBorder="1" applyAlignment="1">
      <alignment horizontal="center" vertical="top"/>
    </xf>
    <xf numFmtId="6" fontId="11" fillId="0" borderId="9" xfId="8" applyNumberFormat="1" applyFont="1" applyBorder="1" applyAlignment="1">
      <alignment horizontal="right" vertical="top"/>
    </xf>
    <xf numFmtId="6" fontId="11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horizontal="right" vertical="top"/>
    </xf>
    <xf numFmtId="0" fontId="18" fillId="0" borderId="9" xfId="8" applyFont="1" applyBorder="1" applyAlignment="1">
      <alignment vertical="top" wrapText="1"/>
    </xf>
    <xf numFmtId="6" fontId="18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vertical="top"/>
    </xf>
    <xf numFmtId="0" fontId="19" fillId="0" borderId="9" xfId="8" applyFont="1" applyBorder="1" applyAlignment="1" applyProtection="1">
      <alignment horizontal="left"/>
      <protection locked="0"/>
    </xf>
    <xf numFmtId="0" fontId="19" fillId="0" borderId="9" xfId="8" applyFont="1" applyBorder="1" applyProtection="1">
      <protection locked="0"/>
    </xf>
    <xf numFmtId="0" fontId="20" fillId="0" borderId="9" xfId="8" applyFont="1" applyBorder="1" applyProtection="1">
      <protection locked="0"/>
    </xf>
    <xf numFmtId="0" fontId="20" fillId="0" borderId="9" xfId="8" applyFont="1" applyBorder="1" applyAlignment="1"/>
    <xf numFmtId="10" fontId="11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>
      <alignment vertical="top"/>
    </xf>
    <xf numFmtId="10" fontId="18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 applyProtection="1">
      <alignment horizontal="center"/>
      <protection locked="0"/>
    </xf>
    <xf numFmtId="0" fontId="18" fillId="0" borderId="9" xfId="8" applyFont="1" applyBorder="1" applyProtection="1">
      <protection locked="0"/>
    </xf>
    <xf numFmtId="167" fontId="11" fillId="0" borderId="9" xfId="11" applyNumberFormat="1" applyFont="1" applyBorder="1" applyAlignment="1">
      <alignment vertical="top"/>
    </xf>
    <xf numFmtId="0" fontId="9" fillId="0" borderId="9" xfId="8" applyFont="1" applyBorder="1" applyAlignment="1" applyProtection="1">
      <alignment horizontal="center"/>
      <protection locked="0"/>
    </xf>
    <xf numFmtId="3" fontId="11" fillId="0" borderId="9" xfId="8" applyNumberFormat="1" applyFont="1" applyBorder="1" applyAlignment="1">
      <alignment horizontal="right" vertical="top"/>
    </xf>
    <xf numFmtId="176" fontId="11" fillId="0" borderId="9" xfId="3" applyNumberFormat="1" applyFont="1" applyBorder="1" applyAlignment="1">
      <alignment vertical="top"/>
    </xf>
    <xf numFmtId="3" fontId="18" fillId="0" borderId="9" xfId="8" applyNumberFormat="1" applyFont="1" applyBorder="1" applyAlignment="1">
      <alignment vertical="top"/>
    </xf>
    <xf numFmtId="176" fontId="18" fillId="0" borderId="9" xfId="3" applyNumberFormat="1" applyFont="1" applyBorder="1" applyAlignment="1">
      <alignment vertical="top"/>
    </xf>
    <xf numFmtId="3" fontId="11" fillId="0" borderId="9" xfId="8" applyNumberFormat="1" applyFont="1" applyBorder="1" applyAlignment="1">
      <alignment vertical="top"/>
    </xf>
    <xf numFmtId="3" fontId="11" fillId="0" borderId="9" xfId="8" applyNumberFormat="1" applyFont="1" applyFill="1" applyBorder="1" applyAlignment="1">
      <alignment vertical="top"/>
    </xf>
    <xf numFmtId="170" fontId="11" fillId="0" borderId="9" xfId="8" applyNumberFormat="1" applyFont="1" applyBorder="1" applyAlignment="1">
      <alignment vertical="top"/>
    </xf>
    <xf numFmtId="174" fontId="11" fillId="0" borderId="9" xfId="3" applyNumberFormat="1" applyFont="1" applyBorder="1" applyAlignment="1">
      <alignment vertical="top"/>
    </xf>
    <xf numFmtId="170" fontId="18" fillId="0" borderId="9" xfId="8" applyNumberFormat="1" applyFont="1" applyBorder="1" applyAlignment="1">
      <alignment vertical="top"/>
    </xf>
    <xf numFmtId="174" fontId="18" fillId="0" borderId="9" xfId="3" applyNumberFormat="1" applyFont="1" applyBorder="1" applyAlignment="1">
      <alignment vertical="top"/>
    </xf>
    <xf numFmtId="174" fontId="11" fillId="0" borderId="9" xfId="8" applyNumberFormat="1" applyFont="1" applyBorder="1" applyAlignment="1">
      <alignment vertical="top"/>
    </xf>
    <xf numFmtId="180" fontId="11" fillId="0" borderId="9" xfId="8" applyNumberFormat="1" applyFont="1" applyBorder="1" applyAlignment="1">
      <alignment horizontal="right" vertical="top"/>
    </xf>
    <xf numFmtId="172" fontId="11" fillId="0" borderId="9" xfId="3" applyNumberFormat="1" applyFont="1" applyBorder="1" applyAlignment="1">
      <alignment vertical="top"/>
    </xf>
    <xf numFmtId="180" fontId="18" fillId="0" borderId="9" xfId="8" applyNumberFormat="1" applyFont="1" applyBorder="1" applyAlignment="1">
      <alignment horizontal="right" vertical="top"/>
    </xf>
    <xf numFmtId="172" fontId="18" fillId="0" borderId="9" xfId="3" applyNumberFormat="1" applyFont="1" applyBorder="1" applyAlignment="1">
      <alignment vertical="top"/>
    </xf>
    <xf numFmtId="0" fontId="11" fillId="0" borderId="9" xfId="8" applyFont="1" applyBorder="1" applyAlignment="1">
      <alignment horizontal="right" vertical="top"/>
    </xf>
    <xf numFmtId="6" fontId="11" fillId="0" borderId="9" xfId="8" applyNumberFormat="1" applyFont="1" applyBorder="1" applyProtection="1">
      <protection locked="0"/>
    </xf>
    <xf numFmtId="10" fontId="11" fillId="0" borderId="9" xfId="11" applyNumberFormat="1" applyFont="1" applyBorder="1" applyProtection="1">
      <protection locked="0"/>
    </xf>
    <xf numFmtId="0" fontId="27" fillId="0" borderId="9" xfId="8" applyFont="1" applyFill="1" applyBorder="1" applyAlignment="1">
      <alignment vertical="top" wrapText="1"/>
    </xf>
    <xf numFmtId="6" fontId="11" fillId="0" borderId="9" xfId="8" applyNumberFormat="1" applyFont="1" applyFill="1" applyBorder="1" applyProtection="1">
      <protection locked="0"/>
    </xf>
    <xf numFmtId="0" fontId="5" fillId="0" borderId="9" xfId="8" applyFont="1" applyBorder="1" applyAlignment="1">
      <alignment vertical="top"/>
    </xf>
    <xf numFmtId="0" fontId="11" fillId="0" borderId="9" xfId="8" applyFont="1" applyBorder="1" applyAlignment="1" applyProtection="1">
      <alignment horizontal="left"/>
      <protection locked="0"/>
    </xf>
    <xf numFmtId="0" fontId="18" fillId="0" borderId="9" xfId="8" applyFont="1" applyBorder="1" applyAlignment="1" applyProtection="1">
      <alignment horizontal="left"/>
      <protection locked="0"/>
    </xf>
    <xf numFmtId="169" fontId="11" fillId="0" borderId="9" xfId="3" applyNumberFormat="1" applyFont="1" applyBorder="1" applyProtection="1">
      <protection locked="0"/>
    </xf>
    <xf numFmtId="169" fontId="11" fillId="0" borderId="9" xfId="8" applyNumberFormat="1" applyFont="1" applyBorder="1" applyProtection="1">
      <protection locked="0"/>
    </xf>
    <xf numFmtId="169" fontId="18" fillId="0" borderId="9" xfId="3" applyNumberFormat="1" applyFont="1" applyBorder="1" applyProtection="1">
      <protection locked="0"/>
    </xf>
    <xf numFmtId="169" fontId="18" fillId="0" borderId="9" xfId="8" applyNumberFormat="1" applyFont="1" applyBorder="1" applyProtection="1">
      <protection locked="0"/>
    </xf>
    <xf numFmtId="181" fontId="11" fillId="0" borderId="9" xfId="8" applyNumberFormat="1" applyFont="1" applyBorder="1" applyProtection="1">
      <protection locked="0"/>
    </xf>
    <xf numFmtId="181" fontId="18" fillId="0" borderId="9" xfId="8" applyNumberFormat="1" applyFont="1" applyBorder="1" applyProtection="1">
      <protection locked="0"/>
    </xf>
    <xf numFmtId="182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Protection="1">
      <protection locked="0"/>
    </xf>
    <xf numFmtId="8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Alignment="1" applyProtection="1">
      <alignment horizontal="right"/>
      <protection locked="0"/>
    </xf>
    <xf numFmtId="8" fontId="18" fillId="0" borderId="9" xfId="8" applyNumberFormat="1" applyFont="1" applyBorder="1" applyAlignment="1" applyProtection="1">
      <alignment horizontal="right"/>
      <protection locked="0"/>
    </xf>
    <xf numFmtId="6" fontId="18" fillId="0" borderId="9" xfId="8" applyNumberFormat="1" applyFont="1" applyBorder="1" applyProtection="1">
      <protection locked="0"/>
    </xf>
    <xf numFmtId="6" fontId="29" fillId="0" borderId="9" xfId="8" applyNumberFormat="1" applyFont="1" applyBorder="1" applyProtection="1">
      <protection locked="0"/>
    </xf>
    <xf numFmtId="183" fontId="11" fillId="0" borderId="9" xfId="3" applyNumberFormat="1" applyFont="1" applyBorder="1" applyProtection="1">
      <protection locked="0"/>
    </xf>
    <xf numFmtId="184" fontId="11" fillId="0" borderId="9" xfId="8" applyNumberFormat="1" applyFont="1" applyBorder="1" applyProtection="1">
      <protection locked="0"/>
    </xf>
    <xf numFmtId="6" fontId="11" fillId="0" borderId="14" xfId="8" applyNumberFormat="1" applyFont="1" applyBorder="1" applyProtection="1">
      <protection locked="0"/>
    </xf>
    <xf numFmtId="0" fontId="11" fillId="0" borderId="9" xfId="8" applyFont="1" applyFill="1" applyBorder="1" applyAlignment="1">
      <alignment horizontal="center" vertical="top"/>
    </xf>
    <xf numFmtId="0" fontId="11" fillId="0" borderId="9" xfId="8" applyFont="1" applyFill="1" applyBorder="1" applyAlignment="1">
      <alignment vertical="top"/>
    </xf>
    <xf numFmtId="6" fontId="29" fillId="0" borderId="9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9" xfId="8" applyFont="1" applyBorder="1" applyAlignment="1">
      <alignment vertical="top"/>
    </xf>
    <xf numFmtId="10" fontId="11" fillId="0" borderId="9" xfId="8" applyNumberFormat="1" applyFont="1" applyBorder="1" applyProtection="1">
      <protection locked="0"/>
    </xf>
    <xf numFmtId="10" fontId="18" fillId="0" borderId="9" xfId="11" applyNumberFormat="1" applyFont="1" applyBorder="1" applyProtection="1">
      <protection locked="0"/>
    </xf>
    <xf numFmtId="10" fontId="18" fillId="0" borderId="9" xfId="8" applyNumberFormat="1" applyFont="1" applyBorder="1" applyProtection="1">
      <protection locked="0"/>
    </xf>
    <xf numFmtId="0" fontId="3" fillId="0" borderId="9" xfId="8" applyFont="1" applyBorder="1" applyAlignment="1"/>
    <xf numFmtId="6" fontId="11" fillId="0" borderId="9" xfId="8" applyNumberFormat="1" applyFont="1" applyFill="1" applyBorder="1" applyAlignment="1">
      <alignment horizontal="right" vertical="top"/>
    </xf>
    <xf numFmtId="6" fontId="11" fillId="0" borderId="9" xfId="8" applyNumberFormat="1" applyFont="1" applyFill="1" applyBorder="1" applyAlignment="1">
      <alignment vertical="top"/>
    </xf>
    <xf numFmtId="6" fontId="18" fillId="0" borderId="9" xfId="8" applyNumberFormat="1" applyFont="1" applyFill="1" applyBorder="1" applyAlignment="1">
      <alignment vertical="top"/>
    </xf>
    <xf numFmtId="6" fontId="18" fillId="0" borderId="9" xfId="8" applyNumberFormat="1" applyFont="1" applyBorder="1" applyAlignment="1">
      <alignment horizontal="right" vertical="top"/>
    </xf>
    <xf numFmtId="6" fontId="18" fillId="0" borderId="9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9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9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9" xfId="8" applyFont="1" applyBorder="1" applyAlignment="1">
      <alignment vertical="top"/>
    </xf>
    <xf numFmtId="0" fontId="6" fillId="0" borderId="9" xfId="8" applyFont="1" applyBorder="1" applyProtection="1">
      <protection locked="0"/>
    </xf>
    <xf numFmtId="0" fontId="6" fillId="0" borderId="9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9" xfId="8" applyNumberFormat="1" applyFont="1" applyBorder="1" applyAlignment="1">
      <alignment horizontal="right" vertical="top"/>
    </xf>
    <xf numFmtId="10" fontId="11" fillId="0" borderId="9" xfId="8" applyNumberFormat="1" applyFont="1" applyBorder="1" applyAlignment="1">
      <alignment horizontal="right" vertical="top"/>
    </xf>
    <xf numFmtId="185" fontId="11" fillId="0" borderId="9" xfId="8" applyNumberFormat="1" applyFont="1" applyBorder="1" applyProtection="1">
      <protection locked="0"/>
    </xf>
    <xf numFmtId="0" fontId="6" fillId="0" borderId="9" xfId="8" applyFont="1" applyFill="1" applyBorder="1" applyAlignment="1">
      <alignment vertical="top"/>
    </xf>
    <xf numFmtId="0" fontId="6" fillId="0" borderId="9" xfId="8" applyFont="1" applyBorder="1" applyAlignment="1" applyProtection="1">
      <alignment horizontal="center"/>
      <protection locked="0"/>
    </xf>
    <xf numFmtId="6" fontId="11" fillId="0" borderId="18" xfId="8" applyNumberFormat="1" applyFont="1" applyBorder="1" applyAlignment="1">
      <alignment horizontal="right" vertical="top"/>
    </xf>
    <xf numFmtId="6" fontId="11" fillId="0" borderId="18" xfId="8" applyNumberFormat="1" applyFont="1" applyBorder="1" applyAlignment="1">
      <alignment vertical="top"/>
    </xf>
    <xf numFmtId="6" fontId="18" fillId="0" borderId="18" xfId="8" applyNumberFormat="1" applyFont="1" applyBorder="1" applyAlignment="1">
      <alignment horizontal="right" vertical="top"/>
    </xf>
    <xf numFmtId="0" fontId="1" fillId="0" borderId="32" xfId="7" applyFont="1" applyBorder="1"/>
    <xf numFmtId="0" fontId="3" fillId="0" borderId="0" xfId="7" applyFont="1" applyBorder="1" applyAlignment="1">
      <alignment horizontal="right"/>
    </xf>
    <xf numFmtId="37" fontId="2" fillId="0" borderId="32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2" xfId="7" applyFont="1" applyBorder="1" applyAlignment="1">
      <alignment horizontal="center"/>
    </xf>
    <xf numFmtId="0" fontId="5" fillId="0" borderId="32" xfId="7" applyFont="1" applyBorder="1"/>
    <xf numFmtId="0" fontId="4" fillId="0" borderId="32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2" xfId="7" applyFont="1" applyBorder="1"/>
    <xf numFmtId="43" fontId="6" fillId="0" borderId="32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2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2" xfId="7" applyNumberFormat="1" applyFont="1" applyBorder="1" applyAlignment="1">
      <alignment horizontal="right"/>
    </xf>
    <xf numFmtId="43" fontId="6" fillId="0" borderId="32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2" xfId="2" applyFont="1" applyFill="1" applyBorder="1" applyAlignment="1" applyProtection="1">
      <alignment horizontal="left" wrapText="1"/>
      <protection locked="0"/>
    </xf>
    <xf numFmtId="0" fontId="6" fillId="0" borderId="32" xfId="7" applyFont="1" applyBorder="1"/>
    <xf numFmtId="43" fontId="3" fillId="0" borderId="32" xfId="2" applyFont="1" applyBorder="1" applyAlignment="1" applyProtection="1">
      <alignment horizontal="left"/>
      <protection locked="0"/>
    </xf>
    <xf numFmtId="37" fontId="10" fillId="0" borderId="32" xfId="7" applyNumberFormat="1" applyFont="1" applyBorder="1" applyAlignment="1">
      <alignment horizontal="right"/>
    </xf>
    <xf numFmtId="9" fontId="10" fillId="0" borderId="32" xfId="7" applyNumberFormat="1" applyFont="1" applyBorder="1" applyAlignment="1">
      <alignment horizontal="right"/>
    </xf>
    <xf numFmtId="0" fontId="30" fillId="0" borderId="32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167" fontId="3" fillId="0" borderId="32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2" xfId="7" applyNumberFormat="1" applyFont="1" applyBorder="1" applyAlignment="1">
      <alignment horizontal="right"/>
    </xf>
    <xf numFmtId="0" fontId="2" fillId="0" borderId="32" xfId="7" applyFont="1" applyBorder="1" applyAlignment="1"/>
    <xf numFmtId="0" fontId="31" fillId="0" borderId="32" xfId="7" applyFont="1" applyBorder="1" applyAlignment="1">
      <alignment horizontal="left"/>
    </xf>
    <xf numFmtId="5" fontId="31" fillId="0" borderId="32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2" xfId="7" applyFont="1" applyBorder="1" applyAlignment="1">
      <alignment horizontal="left"/>
    </xf>
    <xf numFmtId="43" fontId="11" fillId="0" borderId="32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4" xfId="6" applyFont="1" applyBorder="1" applyAlignment="1">
      <alignment horizontal="center"/>
    </xf>
    <xf numFmtId="0" fontId="2" fillId="0" borderId="36" xfId="6" applyFont="1" applyBorder="1" applyAlignment="1">
      <alignment horizontal="center"/>
    </xf>
    <xf numFmtId="0" fontId="2" fillId="0" borderId="37" xfId="6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36" xfId="7" applyFont="1" applyBorder="1" applyAlignment="1">
      <alignment horizontal="center"/>
    </xf>
    <xf numFmtId="0" fontId="3" fillId="0" borderId="37" xfId="7" applyFont="1" applyBorder="1" applyAlignment="1">
      <alignment horizontal="center"/>
    </xf>
    <xf numFmtId="164" fontId="3" fillId="0" borderId="2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2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23" xfId="6" applyNumberFormat="1" applyFont="1" applyBorder="1" applyAlignment="1">
      <alignment horizontal="center"/>
    </xf>
    <xf numFmtId="5" fontId="6" fillId="0" borderId="24" xfId="6" applyNumberFormat="1" applyFont="1" applyBorder="1" applyAlignment="1">
      <alignment horizontal="center"/>
    </xf>
    <xf numFmtId="5" fontId="6" fillId="0" borderId="25" xfId="6" applyNumberFormat="1" applyFont="1" applyBorder="1" applyAlignment="1">
      <alignment horizontal="center"/>
    </xf>
    <xf numFmtId="5" fontId="6" fillId="0" borderId="20" xfId="6" applyNumberFormat="1" applyFont="1" applyBorder="1" applyAlignment="1">
      <alignment horizontal="center"/>
    </xf>
    <xf numFmtId="5" fontId="6" fillId="0" borderId="21" xfId="6" applyNumberFormat="1" applyFont="1" applyBorder="1" applyAlignment="1">
      <alignment horizontal="center"/>
    </xf>
    <xf numFmtId="5" fontId="6" fillId="0" borderId="19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20" xfId="6" applyNumberFormat="1" applyFont="1" applyFill="1" applyBorder="1" applyAlignment="1">
      <alignment horizontal="center" wrapText="1"/>
    </xf>
    <xf numFmtId="164" fontId="3" fillId="3" borderId="21" xfId="6" applyNumberFormat="1" applyFont="1" applyFill="1" applyBorder="1" applyAlignment="1">
      <alignment horizontal="center" wrapText="1"/>
    </xf>
    <xf numFmtId="164" fontId="3" fillId="3" borderId="19" xfId="6" applyNumberFormat="1" applyFont="1" applyFill="1" applyBorder="1" applyAlignment="1">
      <alignment horizontal="center" wrapText="1"/>
    </xf>
    <xf numFmtId="0" fontId="3" fillId="0" borderId="13" xfId="7" applyFont="1" applyBorder="1" applyAlignment="1">
      <alignment horizontal="center"/>
    </xf>
    <xf numFmtId="0" fontId="3" fillId="0" borderId="26" xfId="7" applyFont="1" applyBorder="1" applyAlignment="1">
      <alignment horizontal="center"/>
    </xf>
    <xf numFmtId="0" fontId="3" fillId="0" borderId="27" xfId="7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9" xfId="6" applyNumberFormat="1" applyFont="1" applyFill="1" applyBorder="1" applyAlignment="1">
      <alignment horizontal="center" wrapText="1"/>
    </xf>
    <xf numFmtId="164" fontId="12" fillId="3" borderId="30" xfId="6" applyNumberFormat="1" applyFont="1" applyFill="1" applyBorder="1" applyAlignment="1">
      <alignment horizontal="center" wrapText="1"/>
    </xf>
    <xf numFmtId="164" fontId="12" fillId="3" borderId="31" xfId="6" applyNumberFormat="1" applyFont="1" applyFill="1" applyBorder="1" applyAlignment="1">
      <alignment horizontal="center" wrapText="1"/>
    </xf>
    <xf numFmtId="0" fontId="14" fillId="0" borderId="14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4" xfId="6" applyFont="1" applyBorder="1" applyAlignment="1"/>
    <xf numFmtId="0" fontId="15" fillId="0" borderId="8" xfId="6" applyFont="1" applyBorder="1" applyAlignment="1"/>
    <xf numFmtId="164" fontId="12" fillId="0" borderId="18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28" xfId="6" applyNumberFormat="1" applyFont="1" applyBorder="1" applyAlignment="1">
      <alignment horizontal="center" wrapText="1"/>
    </xf>
    <xf numFmtId="164" fontId="12" fillId="0" borderId="20" xfId="6" applyNumberFormat="1" applyFont="1" applyBorder="1" applyAlignment="1">
      <alignment horizontal="center" wrapText="1"/>
    </xf>
    <xf numFmtId="164" fontId="12" fillId="0" borderId="21" xfId="6" applyNumberFormat="1" applyFont="1" applyBorder="1" applyAlignment="1">
      <alignment horizontal="center" wrapText="1"/>
    </xf>
    <xf numFmtId="164" fontId="12" fillId="0" borderId="19" xfId="6" applyNumberFormat="1" applyFont="1" applyBorder="1" applyAlignment="1">
      <alignment horizontal="center" wrapText="1"/>
    </xf>
    <xf numFmtId="0" fontId="14" fillId="0" borderId="22" xfId="6" applyFont="1" applyBorder="1" applyAlignment="1">
      <alignment horizontal="center"/>
    </xf>
    <xf numFmtId="0" fontId="15" fillId="0" borderId="2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23" xfId="6" applyNumberFormat="1" applyFont="1" applyBorder="1" applyAlignment="1">
      <alignment horizontal="center" wrapText="1"/>
    </xf>
    <xf numFmtId="164" fontId="12" fillId="0" borderId="24" xfId="6" applyNumberFormat="1" applyFont="1" applyBorder="1" applyAlignment="1">
      <alignment horizontal="center" wrapText="1"/>
    </xf>
    <xf numFmtId="164" fontId="12" fillId="0" borderId="2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2" fillId="0" borderId="34" xfId="6" applyFont="1" applyBorder="1" applyAlignment="1">
      <alignment horizontal="center" wrapText="1"/>
    </xf>
    <xf numFmtId="0" fontId="2" fillId="0" borderId="36" xfId="6" applyFont="1" applyBorder="1" applyAlignment="1">
      <alignment horizontal="center" wrapText="1"/>
    </xf>
    <xf numFmtId="0" fontId="2" fillId="0" borderId="37" xfId="6" applyFont="1" applyBorder="1" applyAlignment="1">
      <alignment horizontal="center" wrapText="1"/>
    </xf>
    <xf numFmtId="0" fontId="2" fillId="0" borderId="13" xfId="7" applyFont="1" applyBorder="1" applyAlignment="1">
      <alignment horizontal="center"/>
    </xf>
    <xf numFmtId="0" fontId="2" fillId="0" borderId="26" xfId="7" applyFont="1" applyBorder="1" applyAlignment="1">
      <alignment horizontal="center"/>
    </xf>
    <xf numFmtId="0" fontId="2" fillId="0" borderId="27" xfId="7" applyFont="1" applyBorder="1" applyAlignment="1">
      <alignment horizontal="center"/>
    </xf>
    <xf numFmtId="164" fontId="3" fillId="0" borderId="13" xfId="7" applyNumberFormat="1" applyFont="1" applyBorder="1" applyAlignment="1">
      <alignment wrapText="1"/>
    </xf>
    <xf numFmtId="164" fontId="3" fillId="0" borderId="26" xfId="7" applyNumberFormat="1" applyFont="1" applyBorder="1" applyAlignment="1">
      <alignment wrapText="1"/>
    </xf>
    <xf numFmtId="164" fontId="3" fillId="0" borderId="27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13" xfId="8" applyFont="1" applyBorder="1" applyAlignment="1" applyProtection="1">
      <alignment horizontal="center"/>
      <protection locked="0"/>
    </xf>
    <xf numFmtId="0" fontId="3" fillId="0" borderId="26" xfId="8" applyFont="1" applyBorder="1" applyAlignment="1" applyProtection="1">
      <alignment horizontal="center"/>
      <protection locked="0"/>
    </xf>
    <xf numFmtId="0" fontId="3" fillId="0" borderId="27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13" xfId="8" applyNumberFormat="1" applyFont="1" applyBorder="1" applyAlignment="1" applyProtection="1">
      <alignment horizontal="center"/>
      <protection locked="0"/>
    </xf>
    <xf numFmtId="164" fontId="3" fillId="0" borderId="26" xfId="8" applyNumberFormat="1" applyFont="1" applyBorder="1" applyAlignment="1" applyProtection="1">
      <alignment horizontal="center"/>
      <protection locked="0"/>
    </xf>
    <xf numFmtId="164" fontId="3" fillId="0" borderId="27" xfId="8" applyNumberFormat="1" applyFont="1" applyBorder="1" applyAlignment="1" applyProtection="1">
      <alignment horizontal="center"/>
      <protection locked="0"/>
    </xf>
    <xf numFmtId="0" fontId="1" fillId="0" borderId="34" xfId="7" applyFont="1" applyBorder="1"/>
    <xf numFmtId="0" fontId="1" fillId="0" borderId="36" xfId="7" applyFont="1" applyBorder="1"/>
    <xf numFmtId="0" fontId="1" fillId="0" borderId="37" xfId="7" applyFont="1" applyBorder="1"/>
    <xf numFmtId="0" fontId="2" fillId="0" borderId="34" xfId="7" applyFont="1" applyBorder="1" applyAlignment="1">
      <alignment horizontal="center"/>
    </xf>
    <xf numFmtId="0" fontId="2" fillId="0" borderId="36" xfId="7" applyFont="1" applyBorder="1" applyAlignment="1">
      <alignment horizontal="center"/>
    </xf>
    <xf numFmtId="0" fontId="2" fillId="0" borderId="37" xfId="7" applyFont="1" applyBorder="1" applyAlignment="1">
      <alignment horizontal="center"/>
    </xf>
    <xf numFmtId="0" fontId="3" fillId="0" borderId="34" xfId="7" applyFont="1" applyBorder="1" applyAlignment="1">
      <alignment horizontal="left"/>
    </xf>
    <xf numFmtId="0" fontId="3" fillId="0" borderId="36" xfId="7" applyFont="1" applyBorder="1" applyAlignment="1">
      <alignment horizontal="left"/>
    </xf>
    <xf numFmtId="0" fontId="3" fillId="0" borderId="37" xfId="7" applyFont="1" applyBorder="1" applyAlignment="1">
      <alignment horizontal="left"/>
    </xf>
    <xf numFmtId="0" fontId="3" fillId="0" borderId="34" xfId="7" applyFont="1" applyBorder="1" applyAlignment="1">
      <alignment horizontal="left" wrapText="1"/>
    </xf>
    <xf numFmtId="0" fontId="3" fillId="0" borderId="36" xfId="7" applyFont="1" applyBorder="1" applyAlignment="1">
      <alignment horizontal="left" wrapText="1"/>
    </xf>
    <xf numFmtId="0" fontId="3" fillId="0" borderId="37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0</v>
      </c>
      <c r="D13" s="22">
        <v>24305080</v>
      </c>
      <c r="E13" s="22">
        <f t="shared" ref="E13:E22" si="0">D13-C13</f>
        <v>24305080</v>
      </c>
      <c r="F13" s="23">
        <f t="shared" ref="F13:F22" si="1">IF(C13=0,0,E13/C13)</f>
        <v>0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33443105</v>
      </c>
      <c r="D15" s="22">
        <v>38296752</v>
      </c>
      <c r="E15" s="22">
        <f t="shared" si="0"/>
        <v>4853647</v>
      </c>
      <c r="F15" s="23">
        <f t="shared" si="1"/>
        <v>0.14513147029858622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7710122</v>
      </c>
      <c r="D17" s="22">
        <v>5710122</v>
      </c>
      <c r="E17" s="22">
        <f t="shared" si="0"/>
        <v>-2000000</v>
      </c>
      <c r="F17" s="23">
        <f t="shared" si="1"/>
        <v>-0.2593992676121078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7660191</v>
      </c>
      <c r="D19" s="22">
        <v>7446576</v>
      </c>
      <c r="E19" s="22">
        <f t="shared" si="0"/>
        <v>-213615</v>
      </c>
      <c r="F19" s="23">
        <f t="shared" si="1"/>
        <v>-2.7886380378766014E-2</v>
      </c>
    </row>
    <row r="20" spans="1:11" ht="24" customHeight="1" x14ac:dyDescent="0.2">
      <c r="A20" s="20">
        <v>8</v>
      </c>
      <c r="B20" s="21" t="s">
        <v>23</v>
      </c>
      <c r="C20" s="22">
        <v>4191603</v>
      </c>
      <c r="D20" s="22">
        <v>5445640</v>
      </c>
      <c r="E20" s="22">
        <f t="shared" si="0"/>
        <v>1254037</v>
      </c>
      <c r="F20" s="23">
        <f t="shared" si="1"/>
        <v>0.29917838115871181</v>
      </c>
    </row>
    <row r="21" spans="1:11" ht="24" customHeight="1" x14ac:dyDescent="0.2">
      <c r="A21" s="20">
        <v>9</v>
      </c>
      <c r="B21" s="21" t="s">
        <v>24</v>
      </c>
      <c r="C21" s="22">
        <v>14318504</v>
      </c>
      <c r="D21" s="22">
        <v>8017666</v>
      </c>
      <c r="E21" s="22">
        <f t="shared" si="0"/>
        <v>-6300838</v>
      </c>
      <c r="F21" s="23">
        <f t="shared" si="1"/>
        <v>-0.44004862519157029</v>
      </c>
    </row>
    <row r="22" spans="1:11" ht="24" customHeight="1" x14ac:dyDescent="0.25">
      <c r="A22" s="24"/>
      <c r="B22" s="25" t="s">
        <v>25</v>
      </c>
      <c r="C22" s="26">
        <f>SUM(C13:C21)</f>
        <v>67323525</v>
      </c>
      <c r="D22" s="26">
        <f>SUM(D13:D21)</f>
        <v>89221836</v>
      </c>
      <c r="E22" s="26">
        <f t="shared" si="0"/>
        <v>21898311</v>
      </c>
      <c r="F22" s="27">
        <f t="shared" si="1"/>
        <v>0.32526982210156108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16039083</v>
      </c>
      <c r="E28" s="22">
        <f>D28-C28</f>
        <v>16039083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0</v>
      </c>
      <c r="D29" s="26">
        <f>SUM(D25:D28)</f>
        <v>16039083</v>
      </c>
      <c r="E29" s="26">
        <f>D29-C29</f>
        <v>16039083</v>
      </c>
      <c r="F29" s="27">
        <f>IF(C29=0,0,E29/C29)</f>
        <v>0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9702425</v>
      </c>
      <c r="D33" s="22">
        <v>9801413</v>
      </c>
      <c r="E33" s="22">
        <f>D33-C33</f>
        <v>98988</v>
      </c>
      <c r="F33" s="23">
        <f>IF(C33=0,0,E33/C33)</f>
        <v>1.0202397854144712E-2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179114176</v>
      </c>
      <c r="D36" s="22">
        <v>178862292</v>
      </c>
      <c r="E36" s="22">
        <f>D36-C36</f>
        <v>-251884</v>
      </c>
      <c r="F36" s="23">
        <f>IF(C36=0,0,E36/C36)</f>
        <v>-1.4062761844154646E-3</v>
      </c>
    </row>
    <row r="37" spans="1:8" ht="24" customHeight="1" x14ac:dyDescent="0.2">
      <c r="A37" s="20">
        <v>2</v>
      </c>
      <c r="B37" s="21" t="s">
        <v>39</v>
      </c>
      <c r="C37" s="22">
        <v>139211725</v>
      </c>
      <c r="D37" s="22">
        <v>143073377</v>
      </c>
      <c r="E37" s="22">
        <f>D37-C37</f>
        <v>3861652</v>
      </c>
      <c r="F37" s="23">
        <f>IF(C37=0,0,E37/C37)</f>
        <v>2.7739416345857363E-2</v>
      </c>
    </row>
    <row r="38" spans="1:8" ht="24" customHeight="1" x14ac:dyDescent="0.25">
      <c r="A38" s="24"/>
      <c r="B38" s="25" t="s">
        <v>40</v>
      </c>
      <c r="C38" s="26">
        <f>C36-C37</f>
        <v>39902451</v>
      </c>
      <c r="D38" s="26">
        <f>D36-D37</f>
        <v>35788915</v>
      </c>
      <c r="E38" s="26">
        <f>D38-C38</f>
        <v>-4113536</v>
      </c>
      <c r="F38" s="27">
        <f>IF(C38=0,0,E38/C38)</f>
        <v>-0.10308980769126187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11801640</v>
      </c>
      <c r="D40" s="22">
        <v>14702819</v>
      </c>
      <c r="E40" s="22">
        <f>D40-C40</f>
        <v>2901179</v>
      </c>
      <c r="F40" s="23">
        <f>IF(C40=0,0,E40/C40)</f>
        <v>0.2458284611291312</v>
      </c>
    </row>
    <row r="41" spans="1:8" ht="24" customHeight="1" x14ac:dyDescent="0.25">
      <c r="A41" s="24"/>
      <c r="B41" s="25" t="s">
        <v>42</v>
      </c>
      <c r="C41" s="26">
        <f>+C38+C40</f>
        <v>51704091</v>
      </c>
      <c r="D41" s="26">
        <f>+D38+D40</f>
        <v>50491734</v>
      </c>
      <c r="E41" s="26">
        <f>D41-C41</f>
        <v>-1212357</v>
      </c>
      <c r="F41" s="27">
        <f>IF(C41=0,0,E41/C41)</f>
        <v>-2.3447989831210842E-2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128730041</v>
      </c>
      <c r="D43" s="26">
        <f>D22+D29+D31+D32+D33+D41</f>
        <v>165554066</v>
      </c>
      <c r="E43" s="26">
        <f>D43-C43</f>
        <v>36824025</v>
      </c>
      <c r="F43" s="27">
        <f>IF(C43=0,0,E43/C43)</f>
        <v>0.28605618947950151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9737077</v>
      </c>
      <c r="D49" s="22">
        <v>10381117</v>
      </c>
      <c r="E49" s="22">
        <f t="shared" ref="E49:E56" si="2">D49-C49</f>
        <v>644040</v>
      </c>
      <c r="F49" s="23">
        <f t="shared" ref="F49:F56" si="3">IF(C49=0,0,E49/C49)</f>
        <v>6.6143052992186466E-2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4973857</v>
      </c>
      <c r="D50" s="22">
        <v>5426177</v>
      </c>
      <c r="E50" s="22">
        <f t="shared" si="2"/>
        <v>452320</v>
      </c>
      <c r="F50" s="23">
        <f t="shared" si="3"/>
        <v>9.0939486197532421E-2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4491574</v>
      </c>
      <c r="D51" s="22">
        <v>16725852</v>
      </c>
      <c r="E51" s="22">
        <f t="shared" si="2"/>
        <v>12234278</v>
      </c>
      <c r="F51" s="23">
        <f t="shared" si="3"/>
        <v>2.7238286622907695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0</v>
      </c>
      <c r="D53" s="22">
        <v>0</v>
      </c>
      <c r="E53" s="22">
        <f t="shared" si="2"/>
        <v>0</v>
      </c>
      <c r="F53" s="23">
        <f t="shared" si="3"/>
        <v>0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29621960</v>
      </c>
      <c r="D55" s="22">
        <v>10215965</v>
      </c>
      <c r="E55" s="22">
        <f t="shared" si="2"/>
        <v>-19405995</v>
      </c>
      <c r="F55" s="23">
        <f t="shared" si="3"/>
        <v>-0.65512190955628868</v>
      </c>
    </row>
    <row r="56" spans="1:6" ht="24" customHeight="1" x14ac:dyDescent="0.25">
      <c r="A56" s="24"/>
      <c r="B56" s="25" t="s">
        <v>54</v>
      </c>
      <c r="C56" s="26">
        <f>SUM(C49:C55)</f>
        <v>48824468</v>
      </c>
      <c r="D56" s="26">
        <f>SUM(D49:D55)</f>
        <v>42749111</v>
      </c>
      <c r="E56" s="26">
        <f t="shared" si="2"/>
        <v>-6075357</v>
      </c>
      <c r="F56" s="27">
        <f t="shared" si="3"/>
        <v>-0.12443263078667852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0</v>
      </c>
      <c r="D61" s="26">
        <f>SUM(D59:D60)</f>
        <v>0</v>
      </c>
      <c r="E61" s="26">
        <f>D61-C61</f>
        <v>0</v>
      </c>
      <c r="F61" s="27">
        <f>IF(C61=0,0,E61/C61)</f>
        <v>0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8550544</v>
      </c>
      <c r="D63" s="22">
        <v>162402467</v>
      </c>
      <c r="E63" s="22">
        <f>D63-C63</f>
        <v>153851923</v>
      </c>
      <c r="F63" s="23">
        <f>IF(C63=0,0,E63/C63)</f>
        <v>17.993232126517331</v>
      </c>
    </row>
    <row r="64" spans="1:6" ht="24" customHeight="1" x14ac:dyDescent="0.2">
      <c r="A64" s="20">
        <v>4</v>
      </c>
      <c r="B64" s="21" t="s">
        <v>60</v>
      </c>
      <c r="C64" s="22">
        <v>0</v>
      </c>
      <c r="D64" s="22">
        <v>0</v>
      </c>
      <c r="E64" s="22">
        <f>D64-C64</f>
        <v>0</v>
      </c>
      <c r="F64" s="23">
        <f>IF(C64=0,0,E64/C64)</f>
        <v>0</v>
      </c>
    </row>
    <row r="65" spans="1:6" ht="24" customHeight="1" x14ac:dyDescent="0.25">
      <c r="A65" s="24"/>
      <c r="B65" s="25" t="s">
        <v>61</v>
      </c>
      <c r="C65" s="26">
        <f>SUM(C61:C64)</f>
        <v>8550544</v>
      </c>
      <c r="D65" s="26">
        <f>SUM(D61:D64)</f>
        <v>162402467</v>
      </c>
      <c r="E65" s="26">
        <f>D65-C65</f>
        <v>153851923</v>
      </c>
      <c r="F65" s="27">
        <f>IF(C65=0,0,E65/C65)</f>
        <v>17.993232126517331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71355029</v>
      </c>
      <c r="D70" s="22">
        <v>-39597512</v>
      </c>
      <c r="E70" s="22">
        <f>D70-C70</f>
        <v>-110952541</v>
      </c>
      <c r="F70" s="23">
        <f>IF(C70=0,0,E70/C70)</f>
        <v>-1.5549365273189084</v>
      </c>
    </row>
    <row r="71" spans="1:6" ht="24" customHeight="1" x14ac:dyDescent="0.2">
      <c r="A71" s="20">
        <v>2</v>
      </c>
      <c r="B71" s="21" t="s">
        <v>65</v>
      </c>
      <c r="C71" s="22">
        <v>0</v>
      </c>
      <c r="D71" s="22">
        <v>0</v>
      </c>
      <c r="E71" s="22">
        <f>D71-C71</f>
        <v>0</v>
      </c>
      <c r="F71" s="23">
        <f>IF(C71=0,0,E71/C71)</f>
        <v>0</v>
      </c>
    </row>
    <row r="72" spans="1:6" ht="24" customHeight="1" x14ac:dyDescent="0.2">
      <c r="A72" s="20">
        <v>3</v>
      </c>
      <c r="B72" s="21" t="s">
        <v>66</v>
      </c>
      <c r="C72" s="22">
        <v>0</v>
      </c>
      <c r="D72" s="22">
        <v>0</v>
      </c>
      <c r="E72" s="22">
        <f>D72-C72</f>
        <v>0</v>
      </c>
      <c r="F72" s="23">
        <f>IF(C72=0,0,E72/C72)</f>
        <v>0</v>
      </c>
    </row>
    <row r="73" spans="1:6" ht="24" customHeight="1" x14ac:dyDescent="0.25">
      <c r="A73" s="20"/>
      <c r="B73" s="25" t="s">
        <v>67</v>
      </c>
      <c r="C73" s="26">
        <f>SUM(C70:C72)</f>
        <v>71355029</v>
      </c>
      <c r="D73" s="26">
        <f>SUM(D70:D72)</f>
        <v>-39597512</v>
      </c>
      <c r="E73" s="26">
        <f>D73-C73</f>
        <v>-110952541</v>
      </c>
      <c r="F73" s="27">
        <f>IF(C73=0,0,E73/C73)</f>
        <v>-1.5549365273189084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128730041</v>
      </c>
      <c r="D75" s="26">
        <f>D56+D65+D67+D73</f>
        <v>165554066</v>
      </c>
      <c r="E75" s="26">
        <f>D75-C75</f>
        <v>36824025</v>
      </c>
      <c r="F75" s="27">
        <f>IF(C75=0,0,E75/C75)</f>
        <v>0.28605618947950151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0" fitToHeight="0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432031821</v>
      </c>
      <c r="D11" s="76">
        <v>450315219</v>
      </c>
      <c r="E11" s="76">
        <v>512960175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204630000</v>
      </c>
      <c r="D12" s="185">
        <v>208895000</v>
      </c>
      <c r="E12" s="185">
        <v>208207357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636661821</v>
      </c>
      <c r="D13" s="76">
        <f>+D11+D12</f>
        <v>659210219</v>
      </c>
      <c r="E13" s="76">
        <f>+E11+E12</f>
        <v>721167532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864156821</v>
      </c>
      <c r="D14" s="185">
        <v>945312704</v>
      </c>
      <c r="E14" s="185">
        <v>1007041731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-227495000</v>
      </c>
      <c r="D15" s="76">
        <f>+D13-D14</f>
        <v>-286102485</v>
      </c>
      <c r="E15" s="76">
        <f>+E13-E14</f>
        <v>-285874199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222103000</v>
      </c>
      <c r="D16" s="185">
        <v>465166000</v>
      </c>
      <c r="E16" s="185">
        <v>440084152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-5392000</v>
      </c>
      <c r="D17" s="76">
        <f>D15+D16</f>
        <v>179063515</v>
      </c>
      <c r="E17" s="76">
        <f>E15+E16</f>
        <v>154209953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-0.264909547336942</v>
      </c>
      <c r="D20" s="189">
        <f>IF(+D27=0,0,+D24/+D27)</f>
        <v>-0.2544544078444263</v>
      </c>
      <c r="E20" s="189">
        <f>IF(+E27=0,0,+E24/+E27)</f>
        <v>-0.24617763998867967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0.25863076196038076</v>
      </c>
      <c r="D21" s="189">
        <f>IF(+D27=0,0,+D26/+D27)</f>
        <v>0.41371027965506979</v>
      </c>
      <c r="E21" s="189">
        <f>IF(+E27=0,0,+E26/+E27)</f>
        <v>0.37897396237489545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-6.2787853765612044E-3</v>
      </c>
      <c r="D22" s="189">
        <f>IF(+D27=0,0,+D28/+D27)</f>
        <v>0.15925587181064349</v>
      </c>
      <c r="E22" s="189">
        <f>IF(+E27=0,0,+E28/+E27)</f>
        <v>0.1327963223862158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-227495000</v>
      </c>
      <c r="D24" s="76">
        <f>+D15</f>
        <v>-286102485</v>
      </c>
      <c r="E24" s="76">
        <f>+E15</f>
        <v>-285874199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636661821</v>
      </c>
      <c r="D25" s="76">
        <f>+D13</f>
        <v>659210219</v>
      </c>
      <c r="E25" s="76">
        <f>+E13</f>
        <v>721167532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222103000</v>
      </c>
      <c r="D26" s="76">
        <f>+D16</f>
        <v>465166000</v>
      </c>
      <c r="E26" s="76">
        <f>+E16</f>
        <v>440084152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858764821</v>
      </c>
      <c r="D27" s="76">
        <f>SUM(D25:D26)</f>
        <v>1124376219</v>
      </c>
      <c r="E27" s="76">
        <f>SUM(E25:E26)</f>
        <v>1161251684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-5392000</v>
      </c>
      <c r="D28" s="76">
        <f>+D17</f>
        <v>179063515</v>
      </c>
      <c r="E28" s="76">
        <f>+E17</f>
        <v>154209953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29049000</v>
      </c>
      <c r="D31" s="76">
        <v>17703000</v>
      </c>
      <c r="E31" s="76">
        <v>-648621000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397730000</v>
      </c>
      <c r="D32" s="76">
        <v>576794000</v>
      </c>
      <c r="E32" s="76">
        <v>35972000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-5392181</v>
      </c>
      <c r="D33" s="76">
        <f>+D32-C32</f>
        <v>179064000</v>
      </c>
      <c r="E33" s="76">
        <f>+E32-D32</f>
        <v>-540822000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0.98660000000000003</v>
      </c>
      <c r="D34" s="193">
        <f>IF(C32=0,0,+D33/C32)</f>
        <v>0.45021496995449173</v>
      </c>
      <c r="E34" s="193">
        <f>IF(D32=0,0,+E33/D32)</f>
        <v>-0.93763458011005663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2.0544777706870878</v>
      </c>
      <c r="D38" s="338">
        <f>IF(+D40=0,0,+D39/+D40)</f>
        <v>2.9470345553477619</v>
      </c>
      <c r="E38" s="338">
        <f>IF(+E40=0,0,+E39/+E40)</f>
        <v>2.6002542528812538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193162000</v>
      </c>
      <c r="D39" s="341">
        <v>313591000</v>
      </c>
      <c r="E39" s="341">
        <v>310902000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94020000</v>
      </c>
      <c r="D40" s="341">
        <v>106409000</v>
      </c>
      <c r="E40" s="341">
        <v>119566000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20.270540988492563</v>
      </c>
      <c r="D42" s="343">
        <f>IF((D48/365)=0,0,+D45/(D48/365))</f>
        <v>18.358142044189137</v>
      </c>
      <c r="E42" s="343">
        <f>IF((E48/365)=0,0,+E45/(E48/365))</f>
        <v>34.739729253292147</v>
      </c>
    </row>
    <row r="43" spans="1:14" ht="24" customHeight="1" x14ac:dyDescent="0.2">
      <c r="A43" s="339">
        <v>5</v>
      </c>
      <c r="B43" s="344" t="s">
        <v>16</v>
      </c>
      <c r="C43" s="345">
        <v>46236000</v>
      </c>
      <c r="D43" s="345">
        <v>45897000</v>
      </c>
      <c r="E43" s="345">
        <v>92247000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46236000</v>
      </c>
      <c r="D45" s="341">
        <f>+D43+D44</f>
        <v>45897000</v>
      </c>
      <c r="E45" s="341">
        <f>+E43+E44</f>
        <v>92247000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864156821</v>
      </c>
      <c r="D46" s="341">
        <f>+D14</f>
        <v>945312704</v>
      </c>
      <c r="E46" s="341">
        <f>+E14</f>
        <v>1007041731</v>
      </c>
    </row>
    <row r="47" spans="1:14" ht="24" customHeight="1" x14ac:dyDescent="0.2">
      <c r="A47" s="339">
        <v>9</v>
      </c>
      <c r="B47" s="340" t="s">
        <v>356</v>
      </c>
      <c r="C47" s="341">
        <v>31611700</v>
      </c>
      <c r="D47" s="341">
        <v>32780000</v>
      </c>
      <c r="E47" s="341">
        <v>37829946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832545121</v>
      </c>
      <c r="D48" s="341">
        <f>+D46-D47</f>
        <v>912532704</v>
      </c>
      <c r="E48" s="341">
        <f>+E46-E47</f>
        <v>969211785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37.848219055142238</v>
      </c>
      <c r="D50" s="350">
        <f>IF((D55/365)=0,0,+D54/(D55/365))</f>
        <v>31.84543714033347</v>
      </c>
      <c r="E50" s="350">
        <f>IF((E55/365)=0,0,+E54/(E55/365))</f>
        <v>22.589063566192053</v>
      </c>
    </row>
    <row r="51" spans="1:5" ht="24" customHeight="1" x14ac:dyDescent="0.2">
      <c r="A51" s="339">
        <v>12</v>
      </c>
      <c r="B51" s="344" t="s">
        <v>359</v>
      </c>
      <c r="C51" s="351">
        <v>47513000</v>
      </c>
      <c r="D51" s="351">
        <v>43781000</v>
      </c>
      <c r="E51" s="351">
        <v>48472000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2714000</v>
      </c>
      <c r="D53" s="341">
        <v>4492000</v>
      </c>
      <c r="E53" s="341">
        <v>16726000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44799000</v>
      </c>
      <c r="D54" s="352">
        <f>+D51+D52-D53</f>
        <v>39289000</v>
      </c>
      <c r="E54" s="352">
        <f>+E51+E52-E53</f>
        <v>31746000</v>
      </c>
    </row>
    <row r="55" spans="1:5" ht="24" customHeight="1" x14ac:dyDescent="0.2">
      <c r="A55" s="339">
        <v>16</v>
      </c>
      <c r="B55" s="340" t="s">
        <v>75</v>
      </c>
      <c r="C55" s="341">
        <f>+C11</f>
        <v>432031821</v>
      </c>
      <c r="D55" s="341">
        <f>+D11</f>
        <v>450315219</v>
      </c>
      <c r="E55" s="341">
        <f>+E11</f>
        <v>512960175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41.219747896402609</v>
      </c>
      <c r="D57" s="355">
        <f>IF((D61/365)=0,0,+D58/(D61/365))</f>
        <v>42.562074575247223</v>
      </c>
      <c r="E57" s="355">
        <f>IF((E61/365)=0,0,+E58/(E61/365))</f>
        <v>45.027919259153457</v>
      </c>
    </row>
    <row r="58" spans="1:5" ht="24" customHeight="1" x14ac:dyDescent="0.2">
      <c r="A58" s="339">
        <v>18</v>
      </c>
      <c r="B58" s="340" t="s">
        <v>54</v>
      </c>
      <c r="C58" s="353">
        <f>+C40</f>
        <v>94020000</v>
      </c>
      <c r="D58" s="353">
        <f>+D40</f>
        <v>106409000</v>
      </c>
      <c r="E58" s="353">
        <f>+E40</f>
        <v>119566000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864156821</v>
      </c>
      <c r="D59" s="353">
        <f t="shared" si="0"/>
        <v>945312704</v>
      </c>
      <c r="E59" s="353">
        <f t="shared" si="0"/>
        <v>1007041731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31611700</v>
      </c>
      <c r="D60" s="356">
        <f t="shared" si="0"/>
        <v>32780000</v>
      </c>
      <c r="E60" s="356">
        <f t="shared" si="0"/>
        <v>37829946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832545121</v>
      </c>
      <c r="D61" s="353">
        <f>+D59-D60</f>
        <v>912532704</v>
      </c>
      <c r="E61" s="353">
        <f>+E59-E60</f>
        <v>969211785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66.53295282321335</v>
      </c>
      <c r="D65" s="357">
        <f>IF(D67=0,0,(D66/D67)*100)</f>
        <v>64.447193087720819</v>
      </c>
      <c r="E65" s="357">
        <f>IF(E67=0,0,(E66/E67)*100)</f>
        <v>2.8872973205091057</v>
      </c>
    </row>
    <row r="66" spans="1:5" ht="24" customHeight="1" x14ac:dyDescent="0.2">
      <c r="A66" s="339">
        <v>2</v>
      </c>
      <c r="B66" s="340" t="s">
        <v>67</v>
      </c>
      <c r="C66" s="353">
        <f>+C32</f>
        <v>397730000</v>
      </c>
      <c r="D66" s="353">
        <f>+D32</f>
        <v>576794000</v>
      </c>
      <c r="E66" s="353">
        <f>+E32</f>
        <v>35972000</v>
      </c>
    </row>
    <row r="67" spans="1:5" ht="24" customHeight="1" x14ac:dyDescent="0.2">
      <c r="A67" s="339">
        <v>3</v>
      </c>
      <c r="B67" s="340" t="s">
        <v>43</v>
      </c>
      <c r="C67" s="353">
        <v>597794000</v>
      </c>
      <c r="D67" s="353">
        <v>894987000</v>
      </c>
      <c r="E67" s="353">
        <v>1245871000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16.818173071372218</v>
      </c>
      <c r="D69" s="357">
        <f>IF(D75=0,0,(D72/D75)*100)</f>
        <v>77.796695972148783</v>
      </c>
      <c r="E69" s="357">
        <f>IF(E75=0,0,(E72/E75)*100)</f>
        <v>58.147038750582865</v>
      </c>
    </row>
    <row r="70" spans="1:5" ht="24" customHeight="1" x14ac:dyDescent="0.2">
      <c r="A70" s="339">
        <v>5</v>
      </c>
      <c r="B70" s="340" t="s">
        <v>366</v>
      </c>
      <c r="C70" s="353">
        <f>+C28</f>
        <v>-5392000</v>
      </c>
      <c r="D70" s="353">
        <f>+D28</f>
        <v>179063515</v>
      </c>
      <c r="E70" s="353">
        <f>+E28</f>
        <v>154209953</v>
      </c>
    </row>
    <row r="71" spans="1:5" ht="24" customHeight="1" x14ac:dyDescent="0.2">
      <c r="A71" s="339">
        <v>6</v>
      </c>
      <c r="B71" s="340" t="s">
        <v>356</v>
      </c>
      <c r="C71" s="356">
        <f>+C47</f>
        <v>31611700</v>
      </c>
      <c r="D71" s="356">
        <f>+D47</f>
        <v>32780000</v>
      </c>
      <c r="E71" s="356">
        <f>+E47</f>
        <v>37829946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26219700</v>
      </c>
      <c r="D72" s="353">
        <f>+D70+D71</f>
        <v>211843515</v>
      </c>
      <c r="E72" s="353">
        <f>+E70+E71</f>
        <v>192039899</v>
      </c>
    </row>
    <row r="73" spans="1:5" ht="24" customHeight="1" x14ac:dyDescent="0.2">
      <c r="A73" s="339">
        <v>8</v>
      </c>
      <c r="B73" s="340" t="s">
        <v>54</v>
      </c>
      <c r="C73" s="341">
        <f>+C40</f>
        <v>94020000</v>
      </c>
      <c r="D73" s="341">
        <f>+D40</f>
        <v>106409000</v>
      </c>
      <c r="E73" s="341">
        <f>+E40</f>
        <v>119566000</v>
      </c>
    </row>
    <row r="74" spans="1:5" ht="24" customHeight="1" x14ac:dyDescent="0.2">
      <c r="A74" s="339">
        <v>9</v>
      </c>
      <c r="B74" s="340" t="s">
        <v>58</v>
      </c>
      <c r="C74" s="353">
        <v>61881000</v>
      </c>
      <c r="D74" s="353">
        <v>165895000</v>
      </c>
      <c r="E74" s="353">
        <v>210700000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155901000</v>
      </c>
      <c r="D75" s="341">
        <f>+D73+D74</f>
        <v>272304000</v>
      </c>
      <c r="E75" s="341">
        <f>+E73+E74</f>
        <v>330266000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13.463776976617185</v>
      </c>
      <c r="D77" s="359">
        <f>IF(D80=0,0,(D78/D80)*100)</f>
        <v>22.337075141815752</v>
      </c>
      <c r="E77" s="359">
        <f>IF(E80=0,0,(E78/E80)*100)</f>
        <v>85.417072063306748</v>
      </c>
    </row>
    <row r="78" spans="1:5" ht="24" customHeight="1" x14ac:dyDescent="0.2">
      <c r="A78" s="339">
        <v>12</v>
      </c>
      <c r="B78" s="340" t="s">
        <v>58</v>
      </c>
      <c r="C78" s="341">
        <f>+C74</f>
        <v>61881000</v>
      </c>
      <c r="D78" s="341">
        <f>+D74</f>
        <v>165895000</v>
      </c>
      <c r="E78" s="341">
        <f>+E74</f>
        <v>210700000</v>
      </c>
    </row>
    <row r="79" spans="1:5" ht="24" customHeight="1" x14ac:dyDescent="0.2">
      <c r="A79" s="339">
        <v>13</v>
      </c>
      <c r="B79" s="340" t="s">
        <v>67</v>
      </c>
      <c r="C79" s="341">
        <f>+C32</f>
        <v>397730000</v>
      </c>
      <c r="D79" s="341">
        <f>+D32</f>
        <v>576794000</v>
      </c>
      <c r="E79" s="341">
        <f>+E32</f>
        <v>35972000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459611000</v>
      </c>
      <c r="D80" s="341">
        <f>+D78+D79</f>
        <v>742689000</v>
      </c>
      <c r="E80" s="341">
        <f>+E78+E79</f>
        <v>246672000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FILING&amp;R&amp;8UNIVERSITY OF CONNECTICUT HEALTH CENTER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27896</v>
      </c>
      <c r="D11" s="376">
        <v>6787</v>
      </c>
      <c r="E11" s="376">
        <v>6720</v>
      </c>
      <c r="F11" s="377">
        <v>111</v>
      </c>
      <c r="G11" s="377">
        <v>164</v>
      </c>
      <c r="H11" s="378">
        <f>IF(F11=0,0,$C11/(F11*365))</f>
        <v>0.68853511045291871</v>
      </c>
      <c r="I11" s="378">
        <f>IF(G11=0,0,$C11/(G11*365))</f>
        <v>0.46602071500167058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949</v>
      </c>
      <c r="D13" s="376">
        <v>195</v>
      </c>
      <c r="E13" s="376">
        <v>0</v>
      </c>
      <c r="F13" s="377">
        <v>14</v>
      </c>
      <c r="G13" s="377">
        <v>15</v>
      </c>
      <c r="H13" s="378">
        <f>IF(F13=0,0,$C13/(F13*365))</f>
        <v>0.18571428571428572</v>
      </c>
      <c r="I13" s="378">
        <f>IF(G13=0,0,$C13/(G13*365))</f>
        <v>0.17333333333333334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5469</v>
      </c>
      <c r="D16" s="376">
        <v>848</v>
      </c>
      <c r="E16" s="376">
        <v>843</v>
      </c>
      <c r="F16" s="377">
        <v>20</v>
      </c>
      <c r="G16" s="377">
        <v>25</v>
      </c>
      <c r="H16" s="378">
        <f t="shared" si="0"/>
        <v>0.74917808219178084</v>
      </c>
      <c r="I16" s="378">
        <f t="shared" si="0"/>
        <v>0.59934246575342465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5469</v>
      </c>
      <c r="D17" s="381">
        <f>SUM(D15:D16)</f>
        <v>848</v>
      </c>
      <c r="E17" s="381">
        <f>SUM(E15:E16)</f>
        <v>843</v>
      </c>
      <c r="F17" s="381">
        <f>SUM(F15:F16)</f>
        <v>20</v>
      </c>
      <c r="G17" s="381">
        <f>SUM(G15:G16)</f>
        <v>25</v>
      </c>
      <c r="H17" s="382">
        <f t="shared" si="0"/>
        <v>0.74917808219178084</v>
      </c>
      <c r="I17" s="382">
        <f t="shared" si="0"/>
        <v>0.59934246575342465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2914</v>
      </c>
      <c r="D21" s="376">
        <v>728</v>
      </c>
      <c r="E21" s="376">
        <v>715</v>
      </c>
      <c r="F21" s="377">
        <v>20</v>
      </c>
      <c r="G21" s="377">
        <v>20</v>
      </c>
      <c r="H21" s="378">
        <f>IF(F21=0,0,$C21/(F21*365))</f>
        <v>0.3991780821917808</v>
      </c>
      <c r="I21" s="378">
        <f>IF(G21=0,0,$C21/(G21*365))</f>
        <v>0.3991780821917808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1156</v>
      </c>
      <c r="D23" s="376">
        <v>483</v>
      </c>
      <c r="E23" s="376">
        <v>498</v>
      </c>
      <c r="F23" s="377">
        <v>10</v>
      </c>
      <c r="G23" s="377">
        <v>10</v>
      </c>
      <c r="H23" s="378">
        <f>IF(F23=0,0,$C23/(F23*365))</f>
        <v>0.3167123287671233</v>
      </c>
      <c r="I23" s="378">
        <f>IF(G23=0,0,$C23/(G23*365))</f>
        <v>0.3167123287671233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37228</v>
      </c>
      <c r="D31" s="384">
        <f>SUM(D10:D29)-D13-D17-D23</f>
        <v>8363</v>
      </c>
      <c r="E31" s="384">
        <f>SUM(E10:E29)-E17-E23</f>
        <v>8278</v>
      </c>
      <c r="F31" s="384">
        <f>SUM(F10:F29)-F17-F23</f>
        <v>165</v>
      </c>
      <c r="G31" s="384">
        <f>SUM(G10:G29)-G17-G23</f>
        <v>224</v>
      </c>
      <c r="H31" s="385">
        <f>IF(F31=0,0,$C31/(F31*365))</f>
        <v>0.61814860938148608</v>
      </c>
      <c r="I31" s="385">
        <f>IF(G31=0,0,$C31/(G31*365))</f>
        <v>0.45533268101761254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38384</v>
      </c>
      <c r="D33" s="384">
        <f>SUM(D10:D29)-D13-D17</f>
        <v>8846</v>
      </c>
      <c r="E33" s="384">
        <f>SUM(E10:E29)-E17</f>
        <v>8776</v>
      </c>
      <c r="F33" s="384">
        <f>SUM(F10:F29)-F17</f>
        <v>175</v>
      </c>
      <c r="G33" s="384">
        <f>SUM(G10:G29)-G17</f>
        <v>234</v>
      </c>
      <c r="H33" s="385">
        <f>IF(F33=0,0,$C33/(F33*365))</f>
        <v>0.60092367906066535</v>
      </c>
      <c r="I33" s="385">
        <f>IF(G33=0,0,$C33/(G33*365))</f>
        <v>0.4494087343402412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38384</v>
      </c>
      <c r="D36" s="384">
        <f t="shared" si="1"/>
        <v>8846</v>
      </c>
      <c r="E36" s="384">
        <f t="shared" si="1"/>
        <v>8776</v>
      </c>
      <c r="F36" s="384">
        <f t="shared" si="1"/>
        <v>175</v>
      </c>
      <c r="G36" s="384">
        <f t="shared" si="1"/>
        <v>234</v>
      </c>
      <c r="H36" s="387">
        <f t="shared" si="1"/>
        <v>0.60092367906066535</v>
      </c>
      <c r="I36" s="387">
        <f t="shared" si="1"/>
        <v>0.4494087343402412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38723</v>
      </c>
      <c r="D37" s="384">
        <v>8669</v>
      </c>
      <c r="E37" s="384">
        <v>8794</v>
      </c>
      <c r="F37" s="386">
        <v>184</v>
      </c>
      <c r="G37" s="386">
        <v>234</v>
      </c>
      <c r="H37" s="385">
        <f>IF(F37=0,0,$C37/(F37*365))</f>
        <v>0.57657832042882673</v>
      </c>
      <c r="I37" s="385">
        <f>IF(G37=0,0,$C37/(G37*365))</f>
        <v>0.45337782461070131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-339</v>
      </c>
      <c r="D38" s="384">
        <f t="shared" si="2"/>
        <v>177</v>
      </c>
      <c r="E38" s="384">
        <f t="shared" si="2"/>
        <v>-18</v>
      </c>
      <c r="F38" s="384">
        <f t="shared" si="2"/>
        <v>-9</v>
      </c>
      <c r="G38" s="384">
        <f t="shared" si="2"/>
        <v>0</v>
      </c>
      <c r="H38" s="387">
        <f t="shared" si="2"/>
        <v>2.4345358631838621E-2</v>
      </c>
      <c r="I38" s="387">
        <f t="shared" si="2"/>
        <v>-3.9690902704601072E-3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-8.7544869973917305E-3</v>
      </c>
      <c r="D40" s="389">
        <f t="shared" si="3"/>
        <v>2.041757988233937E-2</v>
      </c>
      <c r="E40" s="389">
        <f t="shared" si="3"/>
        <v>-2.0468501250852852E-3</v>
      </c>
      <c r="F40" s="389">
        <f t="shared" si="3"/>
        <v>-4.8913043478260872E-2</v>
      </c>
      <c r="G40" s="389">
        <f t="shared" si="3"/>
        <v>0</v>
      </c>
      <c r="H40" s="389">
        <f t="shared" si="3"/>
        <v>4.2223853671313732E-2</v>
      </c>
      <c r="I40" s="389">
        <f t="shared" si="3"/>
        <v>-8.7544869973916733E-3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234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scale="70" fitToHeight="0" orientation="landscape" horizontalDpi="1200" verticalDpi="1200" r:id="rId1"/>
  <headerFooter>
    <oddHeader>&amp;LOFFICE OF HEALTH CARE ACCESS&amp;CTWELVE MONTHS ACTUAL FILING&amp;RJOHN DEMPSEY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3959</v>
      </c>
      <c r="D12" s="409">
        <v>4352</v>
      </c>
      <c r="E12" s="409">
        <f>+D12-C12</f>
        <v>393</v>
      </c>
      <c r="F12" s="410">
        <f>IF(C12=0,0,+E12/C12)</f>
        <v>9.9267491790856283E-2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5537</v>
      </c>
      <c r="D13" s="409">
        <v>5847</v>
      </c>
      <c r="E13" s="409">
        <f>+D13-C13</f>
        <v>310</v>
      </c>
      <c r="F13" s="410">
        <f>IF(C13=0,0,+E13/C13)</f>
        <v>5.5986996568538921E-2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3855</v>
      </c>
      <c r="D14" s="409">
        <v>4215</v>
      </c>
      <c r="E14" s="409">
        <f>+D14-C14</f>
        <v>360</v>
      </c>
      <c r="F14" s="410">
        <f>IF(C14=0,0,+E14/C14)</f>
        <v>9.3385214007782102E-2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13351</v>
      </c>
      <c r="D16" s="401">
        <f>SUM(D12:D15)</f>
        <v>14414</v>
      </c>
      <c r="E16" s="401">
        <f>+D16-C16</f>
        <v>1063</v>
      </c>
      <c r="F16" s="402">
        <f>IF(C16=0,0,+E16/C16)</f>
        <v>7.9619504156991983E-2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1009</v>
      </c>
      <c r="D19" s="409">
        <v>1006</v>
      </c>
      <c r="E19" s="409">
        <f>+D19-C19</f>
        <v>-3</v>
      </c>
      <c r="F19" s="410">
        <f>IF(C19=0,0,+E19/C19)</f>
        <v>-2.973240832507433E-3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5854</v>
      </c>
      <c r="D20" s="409">
        <v>6331</v>
      </c>
      <c r="E20" s="409">
        <f>+D20-C20</f>
        <v>477</v>
      </c>
      <c r="F20" s="410">
        <f>IF(C20=0,0,+E20/C20)</f>
        <v>8.1482746839767681E-2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235</v>
      </c>
      <c r="D21" s="409">
        <v>225</v>
      </c>
      <c r="E21" s="409">
        <f>+D21-C21</f>
        <v>-10</v>
      </c>
      <c r="F21" s="410">
        <f>IF(C21=0,0,+E21/C21)</f>
        <v>-4.2553191489361701E-2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7098</v>
      </c>
      <c r="D23" s="401">
        <f>SUM(D19:D22)</f>
        <v>7562</v>
      </c>
      <c r="E23" s="401">
        <f>+D23-C23</f>
        <v>464</v>
      </c>
      <c r="F23" s="402">
        <f>IF(C23=0,0,+E23/C23)</f>
        <v>6.5370526908988452E-2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5</v>
      </c>
      <c r="D27" s="409">
        <v>1</v>
      </c>
      <c r="E27" s="409">
        <f>+D27-C27</f>
        <v>-4</v>
      </c>
      <c r="F27" s="410">
        <f>IF(C27=0,0,+E27/C27)</f>
        <v>-0.8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5</v>
      </c>
      <c r="D30" s="401">
        <f>SUM(D26:D29)</f>
        <v>1</v>
      </c>
      <c r="E30" s="401">
        <f>+D30-C30</f>
        <v>-4</v>
      </c>
      <c r="F30" s="402">
        <f>IF(C30=0,0,+E30/C30)</f>
        <v>-0.8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3</v>
      </c>
      <c r="E33" s="409">
        <f>+D33-C33</f>
        <v>3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365</v>
      </c>
      <c r="D34" s="409">
        <v>403</v>
      </c>
      <c r="E34" s="409">
        <f>+D34-C34</f>
        <v>38</v>
      </c>
      <c r="F34" s="410">
        <f>IF(C34=0,0,+E34/C34)</f>
        <v>0.10410958904109589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365</v>
      </c>
      <c r="D37" s="401">
        <f>SUM(D33:D36)</f>
        <v>406</v>
      </c>
      <c r="E37" s="401">
        <f>+D37-C37</f>
        <v>41</v>
      </c>
      <c r="F37" s="402">
        <f>IF(C37=0,0,+E37/C37)</f>
        <v>0.11232876712328767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229</v>
      </c>
      <c r="D43" s="409">
        <v>228</v>
      </c>
      <c r="E43" s="409">
        <f>+D43-C43</f>
        <v>-1</v>
      </c>
      <c r="F43" s="410">
        <f>IF(C43=0,0,+E43/C43)</f>
        <v>-4.3668122270742356E-3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5794</v>
      </c>
      <c r="D44" s="409">
        <v>6881</v>
      </c>
      <c r="E44" s="409">
        <f>+D44-C44</f>
        <v>1087</v>
      </c>
      <c r="F44" s="410">
        <f>IF(C44=0,0,+E44/C44)</f>
        <v>0.18760787021056266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6023</v>
      </c>
      <c r="D45" s="401">
        <f>SUM(D43:D44)</f>
        <v>7109</v>
      </c>
      <c r="E45" s="401">
        <f>+D45-C45</f>
        <v>1086</v>
      </c>
      <c r="F45" s="402">
        <f>IF(C45=0,0,+E45/C45)</f>
        <v>0.18030881620454922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258</v>
      </c>
      <c r="D48" s="409">
        <v>274</v>
      </c>
      <c r="E48" s="409">
        <f>+D48-C48</f>
        <v>16</v>
      </c>
      <c r="F48" s="410">
        <f>IF(C48=0,0,+E48/C48)</f>
        <v>6.2015503875968991E-2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438</v>
      </c>
      <c r="D49" s="409">
        <v>518</v>
      </c>
      <c r="E49" s="409">
        <f>+D49-C49</f>
        <v>80</v>
      </c>
      <c r="F49" s="410">
        <f>IF(C49=0,0,+E49/C49)</f>
        <v>0.18264840182648401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696</v>
      </c>
      <c r="D50" s="401">
        <f>SUM(D48:D49)</f>
        <v>792</v>
      </c>
      <c r="E50" s="401">
        <f>+D50-C50</f>
        <v>96</v>
      </c>
      <c r="F50" s="402">
        <f>IF(C50=0,0,+E50/C50)</f>
        <v>0.13793103448275862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149</v>
      </c>
      <c r="D53" s="409">
        <v>198</v>
      </c>
      <c r="E53" s="409">
        <f>+D53-C53</f>
        <v>49</v>
      </c>
      <c r="F53" s="410">
        <f>IF(C53=0,0,+E53/C53)</f>
        <v>0.32885906040268459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187</v>
      </c>
      <c r="D54" s="409">
        <v>230</v>
      </c>
      <c r="E54" s="409">
        <f>+D54-C54</f>
        <v>43</v>
      </c>
      <c r="F54" s="410">
        <f>IF(C54=0,0,+E54/C54)</f>
        <v>0.22994652406417113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336</v>
      </c>
      <c r="D55" s="401">
        <f>SUM(D53:D54)</f>
        <v>428</v>
      </c>
      <c r="E55" s="401">
        <f>+D55-C55</f>
        <v>92</v>
      </c>
      <c r="F55" s="402">
        <f>IF(C55=0,0,+E55/C55)</f>
        <v>0.27380952380952384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62</v>
      </c>
      <c r="D58" s="409">
        <v>58</v>
      </c>
      <c r="E58" s="409">
        <f>+D58-C58</f>
        <v>-4</v>
      </c>
      <c r="F58" s="410">
        <f>IF(C58=0,0,+E58/C58)</f>
        <v>-6.4516129032258063E-2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103</v>
      </c>
      <c r="D59" s="409">
        <v>128</v>
      </c>
      <c r="E59" s="409">
        <f>+D59-C59</f>
        <v>25</v>
      </c>
      <c r="F59" s="410">
        <f>IF(C59=0,0,+E59/C59)</f>
        <v>0.24271844660194175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165</v>
      </c>
      <c r="D60" s="401">
        <f>SUM(D58:D59)</f>
        <v>186</v>
      </c>
      <c r="E60" s="401">
        <f>SUM(E58:E59)</f>
        <v>21</v>
      </c>
      <c r="F60" s="402">
        <f>IF(C60=0,0,+E60/C60)</f>
        <v>0.12727272727272726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2239</v>
      </c>
      <c r="D63" s="409">
        <v>2241</v>
      </c>
      <c r="E63" s="409">
        <f>+D63-C63</f>
        <v>2</v>
      </c>
      <c r="F63" s="410">
        <f>IF(C63=0,0,+E63/C63)</f>
        <v>8.9325591782045551E-4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7999</v>
      </c>
      <c r="D64" s="409">
        <v>8525</v>
      </c>
      <c r="E64" s="409">
        <f>+D64-C64</f>
        <v>526</v>
      </c>
      <c r="F64" s="410">
        <f>IF(C64=0,0,+E64/C64)</f>
        <v>6.575821977747219E-2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10238</v>
      </c>
      <c r="D65" s="401">
        <f>SUM(D63:D64)</f>
        <v>10766</v>
      </c>
      <c r="E65" s="401">
        <f>+D65-C65</f>
        <v>528</v>
      </c>
      <c r="F65" s="402">
        <f>IF(C65=0,0,+E65/C65)</f>
        <v>5.1572572768118774E-2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269</v>
      </c>
      <c r="D68" s="409">
        <v>236</v>
      </c>
      <c r="E68" s="409">
        <f>+D68-C68</f>
        <v>-33</v>
      </c>
      <c r="F68" s="410">
        <f>IF(C68=0,0,+E68/C68)</f>
        <v>-0.12267657992565056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3175</v>
      </c>
      <c r="D69" s="409">
        <v>3705</v>
      </c>
      <c r="E69" s="409">
        <f>+D69-C69</f>
        <v>530</v>
      </c>
      <c r="F69" s="412">
        <f>IF(C69=0,0,+E69/C69)</f>
        <v>0.16692913385826771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3444</v>
      </c>
      <c r="D70" s="401">
        <f>SUM(D68:D69)</f>
        <v>3941</v>
      </c>
      <c r="E70" s="401">
        <f>+D70-C70</f>
        <v>497</v>
      </c>
      <c r="F70" s="402">
        <f>IF(C70=0,0,+E70/C70)</f>
        <v>0.1443089430894309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5251</v>
      </c>
      <c r="D73" s="376">
        <v>5450</v>
      </c>
      <c r="E73" s="409">
        <f>+D73-C73</f>
        <v>199</v>
      </c>
      <c r="F73" s="410">
        <f>IF(C73=0,0,+E73/C73)</f>
        <v>3.789754332508094E-2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24390</v>
      </c>
      <c r="D74" s="376">
        <v>25370</v>
      </c>
      <c r="E74" s="409">
        <f>+D74-C74</f>
        <v>980</v>
      </c>
      <c r="F74" s="410">
        <f>IF(C74=0,0,+E74/C74)</f>
        <v>4.0180401804018037E-2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29641</v>
      </c>
      <c r="D75" s="401">
        <f>SUM(D73:D74)</f>
        <v>30820</v>
      </c>
      <c r="E75" s="401">
        <f>SUM(E73:E74)</f>
        <v>1179</v>
      </c>
      <c r="F75" s="402">
        <f>IF(C75=0,0,+E75/C75)</f>
        <v>3.9775985965385785E-2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15542</v>
      </c>
      <c r="D81" s="376">
        <v>19797</v>
      </c>
      <c r="E81" s="409">
        <f t="shared" si="0"/>
        <v>4255</v>
      </c>
      <c r="F81" s="410">
        <f t="shared" si="1"/>
        <v>0.27377428902329171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1925</v>
      </c>
      <c r="D84" s="376">
        <v>9836</v>
      </c>
      <c r="E84" s="409">
        <f t="shared" si="0"/>
        <v>7911</v>
      </c>
      <c r="F84" s="410">
        <f t="shared" si="1"/>
        <v>4.1096103896103893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8790</v>
      </c>
      <c r="D91" s="376">
        <v>7679</v>
      </c>
      <c r="E91" s="409">
        <f t="shared" si="0"/>
        <v>-1111</v>
      </c>
      <c r="F91" s="410">
        <f t="shared" si="1"/>
        <v>-0.12639362912400456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26257</v>
      </c>
      <c r="D92" s="381">
        <f>SUM(D79:D91)</f>
        <v>37312</v>
      </c>
      <c r="E92" s="401">
        <f t="shared" si="0"/>
        <v>11055</v>
      </c>
      <c r="F92" s="402">
        <f t="shared" si="1"/>
        <v>0.4210305823209049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24342</v>
      </c>
      <c r="D95" s="414">
        <v>26525</v>
      </c>
      <c r="E95" s="415">
        <f t="shared" ref="E95:E100" si="2">+D95-C95</f>
        <v>2183</v>
      </c>
      <c r="F95" s="412">
        <f t="shared" ref="F95:F100" si="3">IF(C95=0,0,+E95/C95)</f>
        <v>8.9680387807082415E-2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0</v>
      </c>
      <c r="D96" s="414">
        <v>0</v>
      </c>
      <c r="E96" s="409">
        <f t="shared" si="2"/>
        <v>0</v>
      </c>
      <c r="F96" s="410">
        <f t="shared" si="3"/>
        <v>0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4567</v>
      </c>
      <c r="D97" s="414">
        <v>4558</v>
      </c>
      <c r="E97" s="409">
        <f t="shared" si="2"/>
        <v>-9</v>
      </c>
      <c r="F97" s="410">
        <f t="shared" si="3"/>
        <v>-1.9706590759798557E-3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3175</v>
      </c>
      <c r="D98" s="414">
        <v>3705</v>
      </c>
      <c r="E98" s="409">
        <f t="shared" si="2"/>
        <v>530</v>
      </c>
      <c r="F98" s="410">
        <f t="shared" si="3"/>
        <v>0.16692913385826771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287771</v>
      </c>
      <c r="D99" s="414">
        <v>277189</v>
      </c>
      <c r="E99" s="409">
        <f t="shared" si="2"/>
        <v>-10582</v>
      </c>
      <c r="F99" s="410">
        <f t="shared" si="3"/>
        <v>-3.6772294637055156E-2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319855</v>
      </c>
      <c r="D100" s="381">
        <f>SUM(D95:D99)</f>
        <v>311977</v>
      </c>
      <c r="E100" s="401">
        <f t="shared" si="2"/>
        <v>-7878</v>
      </c>
      <c r="F100" s="402">
        <f t="shared" si="3"/>
        <v>-2.462991042816276E-2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603.79999999999995</v>
      </c>
      <c r="D104" s="416">
        <v>558.5</v>
      </c>
      <c r="E104" s="417">
        <f>+D104-C104</f>
        <v>-45.299999999999955</v>
      </c>
      <c r="F104" s="410">
        <f>IF(C104=0,0,+E104/C104)</f>
        <v>-7.5024842663133418E-2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36.1</v>
      </c>
      <c r="D105" s="416">
        <v>37.9</v>
      </c>
      <c r="E105" s="417">
        <f>+D105-C105</f>
        <v>1.7999999999999972</v>
      </c>
      <c r="F105" s="410">
        <f>IF(C105=0,0,+E105/C105)</f>
        <v>4.9861495844875266E-2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663.9</v>
      </c>
      <c r="D106" s="416">
        <v>687.4</v>
      </c>
      <c r="E106" s="417">
        <f>+D106-C106</f>
        <v>23.5</v>
      </c>
      <c r="F106" s="410">
        <f>IF(C106=0,0,+E106/C106)</f>
        <v>3.5396897123060704E-2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1303.8</v>
      </c>
      <c r="D107" s="418">
        <f>SUM(D104:D106)</f>
        <v>1283.8</v>
      </c>
      <c r="E107" s="418">
        <f>+D107-C107</f>
        <v>-20</v>
      </c>
      <c r="F107" s="402">
        <f>IF(C107=0,0,+E107/C107)</f>
        <v>-1.5339776039269826E-2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FILING&amp;RJOHN DEMPSEY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7999</v>
      </c>
      <c r="D12" s="409">
        <v>8525</v>
      </c>
      <c r="E12" s="409">
        <f>+D12-C12</f>
        <v>526</v>
      </c>
      <c r="F12" s="410">
        <f>IF(C12=0,0,+E12/C12)</f>
        <v>6.575821977747219E-2</v>
      </c>
    </row>
    <row r="13" spans="1:6" ht="15.75" customHeight="1" x14ac:dyDescent="0.25">
      <c r="A13" s="374"/>
      <c r="B13" s="399" t="s">
        <v>622</v>
      </c>
      <c r="C13" s="401">
        <f>SUM(C11:C12)</f>
        <v>7999</v>
      </c>
      <c r="D13" s="401">
        <f>SUM(D11:D12)</f>
        <v>8525</v>
      </c>
      <c r="E13" s="401">
        <f>+D13-C13</f>
        <v>526</v>
      </c>
      <c r="F13" s="402">
        <f>IF(C13=0,0,+E13/C13)</f>
        <v>6.575821977747219E-2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3175</v>
      </c>
      <c r="D16" s="409">
        <v>3705</v>
      </c>
      <c r="E16" s="409">
        <f>+D16-C16</f>
        <v>530</v>
      </c>
      <c r="F16" s="410">
        <f>IF(C16=0,0,+E16/C16)</f>
        <v>0.16692913385826771</v>
      </c>
    </row>
    <row r="17" spans="1:6" ht="15.75" customHeight="1" x14ac:dyDescent="0.25">
      <c r="A17" s="374"/>
      <c r="B17" s="399" t="s">
        <v>623</v>
      </c>
      <c r="C17" s="401">
        <f>SUM(C15:C16)</f>
        <v>3175</v>
      </c>
      <c r="D17" s="401">
        <f>SUM(D15:D16)</f>
        <v>3705</v>
      </c>
      <c r="E17" s="401">
        <f>+D17-C17</f>
        <v>530</v>
      </c>
      <c r="F17" s="402">
        <f>IF(C17=0,0,+E17/C17)</f>
        <v>0.16692913385826771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24390</v>
      </c>
      <c r="D20" s="409">
        <v>25370</v>
      </c>
      <c r="E20" s="409">
        <f>+D20-C20</f>
        <v>980</v>
      </c>
      <c r="F20" s="410">
        <f>IF(C20=0,0,+E20/C20)</f>
        <v>4.0180401804018037E-2</v>
      </c>
    </row>
    <row r="21" spans="1:6" ht="15.75" customHeight="1" x14ac:dyDescent="0.25">
      <c r="A21" s="374"/>
      <c r="B21" s="399" t="s">
        <v>625</v>
      </c>
      <c r="C21" s="401">
        <f>SUM(C19:C20)</f>
        <v>24390</v>
      </c>
      <c r="D21" s="401">
        <f>SUM(D19:D20)</f>
        <v>25370</v>
      </c>
      <c r="E21" s="401">
        <f>+D21-C21</f>
        <v>980</v>
      </c>
      <c r="F21" s="402">
        <f>IF(C21=0,0,+E21/C21)</f>
        <v>4.0180401804018037E-2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626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627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628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scale="82" fitToHeight="0" orientation="portrait" horizontalDpi="1200" verticalDpi="1200" r:id="rId1"/>
  <headerFooter>
    <oddHeader>&amp;LOFFICE OF HEALTH CARE ACCESS&amp;CTWELVE MONTHS ACTUAL FILING&amp;RJOHN DEMPSEY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143689469</v>
      </c>
      <c r="D15" s="448">
        <v>151635646</v>
      </c>
      <c r="E15" s="448">
        <f t="shared" ref="E15:E24" si="0">D15-C15</f>
        <v>7946177</v>
      </c>
      <c r="F15" s="449">
        <f t="shared" ref="F15:F24" si="1">IF(C15=0,0,E15/C15)</f>
        <v>5.530103949371544E-2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73080057</v>
      </c>
      <c r="D16" s="448">
        <v>77290861</v>
      </c>
      <c r="E16" s="448">
        <f t="shared" si="0"/>
        <v>4210804</v>
      </c>
      <c r="F16" s="449">
        <f t="shared" si="1"/>
        <v>5.7619057412612584E-2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0.50859716796642906</v>
      </c>
      <c r="D17" s="453">
        <f>IF(LN_IA1=0,0,LN_IA2/LN_IA1)</f>
        <v>0.50971432535065009</v>
      </c>
      <c r="E17" s="454">
        <f t="shared" si="0"/>
        <v>1.1171573842210236E-3</v>
      </c>
      <c r="F17" s="449">
        <f t="shared" si="1"/>
        <v>2.1965466081690093E-3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3846</v>
      </c>
      <c r="D18" s="456">
        <v>3996</v>
      </c>
      <c r="E18" s="456">
        <f t="shared" si="0"/>
        <v>150</v>
      </c>
      <c r="F18" s="449">
        <f t="shared" si="1"/>
        <v>3.9001560062402497E-2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1.6133999999999999</v>
      </c>
      <c r="D19" s="459">
        <v>1.6297999999999999</v>
      </c>
      <c r="E19" s="460">
        <f t="shared" si="0"/>
        <v>1.639999999999997E-2</v>
      </c>
      <c r="F19" s="449">
        <f t="shared" si="1"/>
        <v>1.0164869220280136E-2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6205.1363999999994</v>
      </c>
      <c r="D20" s="463">
        <f>LN_IA4*LN_IA5</f>
        <v>6512.6808000000001</v>
      </c>
      <c r="E20" s="463">
        <f t="shared" si="0"/>
        <v>307.54440000000068</v>
      </c>
      <c r="F20" s="449">
        <f t="shared" si="1"/>
        <v>4.9562875040103989E-2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11777.349003963878</v>
      </c>
      <c r="D21" s="465">
        <f>IF(LN_IA6=0,0,LN_IA2/LN_IA6)</f>
        <v>11867.748992089402</v>
      </c>
      <c r="E21" s="465">
        <f t="shared" si="0"/>
        <v>90.399988125524033</v>
      </c>
      <c r="F21" s="449">
        <f t="shared" si="1"/>
        <v>7.6757501280719708E-3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19450</v>
      </c>
      <c r="D22" s="456">
        <v>19230</v>
      </c>
      <c r="E22" s="456">
        <f t="shared" si="0"/>
        <v>-220</v>
      </c>
      <c r="F22" s="449">
        <f t="shared" si="1"/>
        <v>-1.1311053984575836E-2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3757.3294087403601</v>
      </c>
      <c r="D23" s="465">
        <f>IF(LN_IA8=0,0,LN_IA2/LN_IA8)</f>
        <v>4019.2855434217367</v>
      </c>
      <c r="E23" s="465">
        <f t="shared" si="0"/>
        <v>261.95613468137662</v>
      </c>
      <c r="F23" s="449">
        <f t="shared" si="1"/>
        <v>6.9718703415252881E-2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5.0572022880915233</v>
      </c>
      <c r="D24" s="466">
        <f>IF(LN_IA4=0,0,LN_IA8/LN_IA4)</f>
        <v>4.8123123123123124</v>
      </c>
      <c r="E24" s="466">
        <f t="shared" si="0"/>
        <v>-0.2448899757792109</v>
      </c>
      <c r="F24" s="449">
        <f t="shared" si="1"/>
        <v>-4.8424002408578158E-2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130842681</v>
      </c>
      <c r="D27" s="448">
        <v>153670945</v>
      </c>
      <c r="E27" s="448">
        <f t="shared" ref="E27:E32" si="2">D27-C27</f>
        <v>22828264</v>
      </c>
      <c r="F27" s="449">
        <f t="shared" ref="F27:F32" si="3">IF(C27=0,0,E27/C27)</f>
        <v>0.17447108103815145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41400417</v>
      </c>
      <c r="D28" s="448">
        <v>47499859</v>
      </c>
      <c r="E28" s="448">
        <f t="shared" si="2"/>
        <v>6099442</v>
      </c>
      <c r="F28" s="449">
        <f t="shared" si="3"/>
        <v>0.14732803295193864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0.31641370142820596</v>
      </c>
      <c r="D29" s="453">
        <f>IF(LN_IA11=0,0,LN_IA12/LN_IA11)</f>
        <v>0.30910110561238496</v>
      </c>
      <c r="E29" s="454">
        <f t="shared" si="2"/>
        <v>-7.3125958158209992E-3</v>
      </c>
      <c r="F29" s="449">
        <f t="shared" si="3"/>
        <v>-2.3110869670984274E-2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0.91059339219911795</v>
      </c>
      <c r="D30" s="453">
        <f>IF(LN_IA1=0,0,LN_IA11/LN_IA1)</f>
        <v>1.0134222991340704</v>
      </c>
      <c r="E30" s="454">
        <f t="shared" si="2"/>
        <v>0.1028289069349525</v>
      </c>
      <c r="F30" s="449">
        <f t="shared" si="3"/>
        <v>0.11292516266411373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3502.1421863978076</v>
      </c>
      <c r="D31" s="463">
        <f>LN_IA14*LN_IA4</f>
        <v>4049.6355073397453</v>
      </c>
      <c r="E31" s="463">
        <f t="shared" si="2"/>
        <v>547.49332094193778</v>
      </c>
      <c r="F31" s="449">
        <f t="shared" si="3"/>
        <v>0.1563309802407172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11821.455211269751</v>
      </c>
      <c r="D32" s="465">
        <f>IF(LN_IA15=0,0,LN_IA12/LN_IA15)</f>
        <v>11729.41587308514</v>
      </c>
      <c r="E32" s="465">
        <f t="shared" si="2"/>
        <v>-92.039338184611552</v>
      </c>
      <c r="F32" s="449">
        <f t="shared" si="3"/>
        <v>-7.785787497368993E-3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274532150</v>
      </c>
      <c r="D35" s="448">
        <f>LN_IA1+LN_IA11</f>
        <v>305306591</v>
      </c>
      <c r="E35" s="448">
        <f>D35-C35</f>
        <v>30774441</v>
      </c>
      <c r="F35" s="449">
        <f>IF(C35=0,0,E35/C35)</f>
        <v>0.11209776705569821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114480474</v>
      </c>
      <c r="D36" s="448">
        <f>LN_IA2+LN_IA12</f>
        <v>124790720</v>
      </c>
      <c r="E36" s="448">
        <f>D36-C36</f>
        <v>10310246</v>
      </c>
      <c r="F36" s="449">
        <f>IF(C36=0,0,E36/C36)</f>
        <v>9.0061174973821295E-2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160051676</v>
      </c>
      <c r="D37" s="448">
        <f>LN_IA17-LN_IA18</f>
        <v>180515871</v>
      </c>
      <c r="E37" s="448">
        <f>D37-C37</f>
        <v>20464195</v>
      </c>
      <c r="F37" s="449">
        <f>IF(C37=0,0,E37/C37)</f>
        <v>0.12785992319130729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65494734</v>
      </c>
      <c r="D42" s="448">
        <v>70551390</v>
      </c>
      <c r="E42" s="448">
        <f t="shared" ref="E42:E53" si="4">D42-C42</f>
        <v>5056656</v>
      </c>
      <c r="F42" s="449">
        <f t="shared" ref="F42:F53" si="5">IF(C42=0,0,E42/C42)</f>
        <v>7.7207062173884081E-2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35152078</v>
      </c>
      <c r="D43" s="448">
        <v>39291884</v>
      </c>
      <c r="E43" s="448">
        <f t="shared" si="4"/>
        <v>4139806</v>
      </c>
      <c r="F43" s="449">
        <f t="shared" si="5"/>
        <v>0.11776845738678664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0.53671609690024846</v>
      </c>
      <c r="D44" s="453">
        <f>IF(LN_IB1=0,0,LN_IB2/LN_IB1)</f>
        <v>0.55692572463845147</v>
      </c>
      <c r="E44" s="454">
        <f t="shared" si="4"/>
        <v>2.0209627738203007E-2</v>
      </c>
      <c r="F44" s="449">
        <f t="shared" si="5"/>
        <v>3.7654223256805119E-2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2508</v>
      </c>
      <c r="D45" s="456">
        <v>2495</v>
      </c>
      <c r="E45" s="456">
        <f t="shared" si="4"/>
        <v>-13</v>
      </c>
      <c r="F45" s="449">
        <f t="shared" si="5"/>
        <v>-5.1834130781499201E-3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1.3150999999999999</v>
      </c>
      <c r="D46" s="459">
        <v>1.3859999999999999</v>
      </c>
      <c r="E46" s="460">
        <f t="shared" si="4"/>
        <v>7.0899999999999963E-2</v>
      </c>
      <c r="F46" s="449">
        <f t="shared" si="5"/>
        <v>5.3912250019009934E-2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3298.2707999999998</v>
      </c>
      <c r="D47" s="463">
        <f>LN_IB4*LN_IB5</f>
        <v>3458.0699999999997</v>
      </c>
      <c r="E47" s="463">
        <f t="shared" si="4"/>
        <v>159.79919999999993</v>
      </c>
      <c r="F47" s="449">
        <f t="shared" si="5"/>
        <v>4.8449387479038999E-2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10657.72949874219</v>
      </c>
      <c r="D48" s="465">
        <f>IF(LN_IB6=0,0,LN_IB2/LN_IB6)</f>
        <v>11362.373809668399</v>
      </c>
      <c r="E48" s="465">
        <f t="shared" si="4"/>
        <v>704.64431092620907</v>
      </c>
      <c r="F48" s="449">
        <f t="shared" si="5"/>
        <v>6.6115799899910219E-2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1119.6195052216881</v>
      </c>
      <c r="D49" s="465">
        <f>LN_IA7-LN_IB7</f>
        <v>505.37518242100305</v>
      </c>
      <c r="E49" s="465">
        <f t="shared" si="4"/>
        <v>-614.24432280068504</v>
      </c>
      <c r="F49" s="449">
        <f t="shared" si="5"/>
        <v>-0.54861881195885631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3692808.3211831413</v>
      </c>
      <c r="D50" s="479">
        <f>LN_IB8*LN_IB6</f>
        <v>1747622.7570745978</v>
      </c>
      <c r="E50" s="479">
        <f t="shared" si="4"/>
        <v>-1945185.5641085436</v>
      </c>
      <c r="F50" s="449">
        <f t="shared" si="5"/>
        <v>-0.52674966987870209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9460</v>
      </c>
      <c r="D51" s="456">
        <v>9366</v>
      </c>
      <c r="E51" s="456">
        <f t="shared" si="4"/>
        <v>-94</v>
      </c>
      <c r="F51" s="449">
        <f t="shared" si="5"/>
        <v>-9.9365750528541234E-3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3715.8644820295981</v>
      </c>
      <c r="D52" s="465">
        <f>IF(LN_IB10=0,0,LN_IB2/LN_IB10)</f>
        <v>4195.1616485159084</v>
      </c>
      <c r="E52" s="465">
        <f t="shared" si="4"/>
        <v>479.29716648631029</v>
      </c>
      <c r="F52" s="449">
        <f t="shared" si="5"/>
        <v>0.12898671865033115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3.7719298245614037</v>
      </c>
      <c r="D53" s="466">
        <f>IF(LN_IB4=0,0,LN_IB10/LN_IB4)</f>
        <v>3.7539078156312624</v>
      </c>
      <c r="E53" s="466">
        <f t="shared" si="4"/>
        <v>-1.8022008930141276E-2</v>
      </c>
      <c r="F53" s="449">
        <f t="shared" si="5"/>
        <v>-4.7779279489211755E-3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179568940</v>
      </c>
      <c r="D56" s="448">
        <v>207724851</v>
      </c>
      <c r="E56" s="448">
        <f t="shared" ref="E56:E63" si="6">D56-C56</f>
        <v>28155911</v>
      </c>
      <c r="F56" s="449">
        <f t="shared" ref="F56:F63" si="7">IF(C56=0,0,E56/C56)</f>
        <v>0.15679722228131435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91018080</v>
      </c>
      <c r="D57" s="448">
        <v>114085973</v>
      </c>
      <c r="E57" s="448">
        <f t="shared" si="6"/>
        <v>23067893</v>
      </c>
      <c r="F57" s="449">
        <f t="shared" si="7"/>
        <v>0.25344297528578935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0.50686984063056784</v>
      </c>
      <c r="D58" s="453">
        <f>IF(LN_IB13=0,0,LN_IB14/LN_IB13)</f>
        <v>0.54921677618630238</v>
      </c>
      <c r="E58" s="454">
        <f t="shared" si="6"/>
        <v>4.2346935555734544E-2</v>
      </c>
      <c r="F58" s="449">
        <f t="shared" si="7"/>
        <v>8.3545976030164157E-2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2.7417309611487237</v>
      </c>
      <c r="D59" s="453">
        <f>IF(LN_IB1=0,0,LN_IB13/LN_IB1)</f>
        <v>2.9443055764032429</v>
      </c>
      <c r="E59" s="454">
        <f t="shared" si="6"/>
        <v>0.20257461525451914</v>
      </c>
      <c r="F59" s="449">
        <f t="shared" si="7"/>
        <v>7.3885664977735424E-2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6876.2612505609995</v>
      </c>
      <c r="D60" s="463">
        <f>LN_IB16*LN_IB4</f>
        <v>7346.0424131260907</v>
      </c>
      <c r="E60" s="463">
        <f t="shared" si="6"/>
        <v>469.78116256509111</v>
      </c>
      <c r="F60" s="449">
        <f t="shared" si="7"/>
        <v>6.8319271977451995E-2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13236.565145423219</v>
      </c>
      <c r="D61" s="465">
        <f>IF(LN_IB17=0,0,LN_IB14/LN_IB17)</f>
        <v>15530.263315135284</v>
      </c>
      <c r="E61" s="465">
        <f t="shared" si="6"/>
        <v>2293.6981697120646</v>
      </c>
      <c r="F61" s="449">
        <f t="shared" si="7"/>
        <v>0.17328499837475977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-1415.1099341534682</v>
      </c>
      <c r="D62" s="465">
        <f>LN_IA16-LN_IB18</f>
        <v>-3800.8474420501443</v>
      </c>
      <c r="E62" s="465">
        <f t="shared" si="6"/>
        <v>-2385.7375078966761</v>
      </c>
      <c r="F62" s="449">
        <f t="shared" si="7"/>
        <v>1.6859025933726104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-9730665.6055034213</v>
      </c>
      <c r="D63" s="448">
        <f>LN_IB19*LN_IB17</f>
        <v>-27921186.515122171</v>
      </c>
      <c r="E63" s="448">
        <f t="shared" si="6"/>
        <v>-18190520.90961875</v>
      </c>
      <c r="F63" s="449">
        <f t="shared" si="7"/>
        <v>1.8694015031541775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245063674</v>
      </c>
      <c r="D66" s="448">
        <f>LN_IB1+LN_IB13</f>
        <v>278276241</v>
      </c>
      <c r="E66" s="448">
        <f>D66-C66</f>
        <v>33212567</v>
      </c>
      <c r="F66" s="449">
        <f>IF(C66=0,0,E66/C66)</f>
        <v>0.13552627550993135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126170158</v>
      </c>
      <c r="D67" s="448">
        <f>LN_IB2+LN_IB14</f>
        <v>153377857</v>
      </c>
      <c r="E67" s="448">
        <f>D67-C67</f>
        <v>27207699</v>
      </c>
      <c r="F67" s="449">
        <f>IF(C67=0,0,E67/C67)</f>
        <v>0.21564290186590715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118893516</v>
      </c>
      <c r="D68" s="448">
        <f>LN_IB21-LN_IB22</f>
        <v>124898384</v>
      </c>
      <c r="E68" s="448">
        <f>D68-C68</f>
        <v>6004868</v>
      </c>
      <c r="F68" s="449">
        <f>IF(C68=0,0,E68/C68)</f>
        <v>5.0506269828877799E-2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-6037857.28432028</v>
      </c>
      <c r="D70" s="441">
        <f>LN_IB9+LN_IB20</f>
        <v>-26173563.758047573</v>
      </c>
      <c r="E70" s="448">
        <f>D70-C70</f>
        <v>-20135706.473727293</v>
      </c>
      <c r="F70" s="449">
        <f>IF(C70=0,0,E70/C70)</f>
        <v>3.3349093106287455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241091573</v>
      </c>
      <c r="D73" s="488">
        <v>274937974</v>
      </c>
      <c r="E73" s="488">
        <f>D73-C73</f>
        <v>33846401</v>
      </c>
      <c r="F73" s="489">
        <f>IF(C73=0,0,E73/C73)</f>
        <v>0.14038815450426381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125345397</v>
      </c>
      <c r="D74" s="488">
        <v>152517292</v>
      </c>
      <c r="E74" s="488">
        <f>D74-C74</f>
        <v>27171895</v>
      </c>
      <c r="F74" s="489">
        <f>IF(C74=0,0,E74/C74)</f>
        <v>0.2167761692916414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115746176</v>
      </c>
      <c r="D76" s="441">
        <f>LN_IB32-LN_IB33</f>
        <v>122420682</v>
      </c>
      <c r="E76" s="488">
        <f>D76-C76</f>
        <v>6674506</v>
      </c>
      <c r="F76" s="489">
        <f>IF(E76=0,0,E76/C76)</f>
        <v>5.7665023853574221E-2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0.48009216813231376</v>
      </c>
      <c r="D77" s="453">
        <f>IF(LN_IB32=0,0,LN_IB34/LN_IB32)</f>
        <v>0.44526654582826014</v>
      </c>
      <c r="E77" s="493">
        <f>D77-C77</f>
        <v>-3.4825622304053616E-2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976305</v>
      </c>
      <c r="D83" s="448">
        <v>571912</v>
      </c>
      <c r="E83" s="448">
        <f t="shared" ref="E83:E95" si="8">D83-C83</f>
        <v>-404393</v>
      </c>
      <c r="F83" s="449">
        <f t="shared" ref="F83:F95" si="9">IF(C83=0,0,E83/C83)</f>
        <v>-0.41420765027322404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124500</v>
      </c>
      <c r="D84" s="448">
        <v>154699</v>
      </c>
      <c r="E84" s="448">
        <f t="shared" si="8"/>
        <v>30199</v>
      </c>
      <c r="F84" s="449">
        <f t="shared" si="9"/>
        <v>0.24256224899598394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0.12752162490205418</v>
      </c>
      <c r="D85" s="453">
        <f>IF(LN_IC1=0,0,LN_IC2/LN_IC1)</f>
        <v>0.27049441172767841</v>
      </c>
      <c r="E85" s="454">
        <f t="shared" si="8"/>
        <v>0.14297278682562423</v>
      </c>
      <c r="F85" s="449">
        <f t="shared" si="9"/>
        <v>1.1211650332673979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45</v>
      </c>
      <c r="D86" s="456">
        <v>21</v>
      </c>
      <c r="E86" s="456">
        <f t="shared" si="8"/>
        <v>-24</v>
      </c>
      <c r="F86" s="449">
        <f t="shared" si="9"/>
        <v>-0.53333333333333333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1.0604</v>
      </c>
      <c r="D87" s="459">
        <v>1.2554000000000001</v>
      </c>
      <c r="E87" s="460">
        <f t="shared" si="8"/>
        <v>0.19500000000000006</v>
      </c>
      <c r="F87" s="449">
        <f t="shared" si="9"/>
        <v>0.18389287061486237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47.718000000000004</v>
      </c>
      <c r="D88" s="463">
        <f>LN_IC4*LN_IC5</f>
        <v>26.363400000000002</v>
      </c>
      <c r="E88" s="463">
        <f t="shared" si="8"/>
        <v>-21.354600000000001</v>
      </c>
      <c r="F88" s="449">
        <f t="shared" si="9"/>
        <v>-0.44751666037973092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2609.0783352194139</v>
      </c>
      <c r="D89" s="465">
        <f>IF(LN_IC6=0,0,LN_IC2/LN_IC6)</f>
        <v>5867.9457126167335</v>
      </c>
      <c r="E89" s="465">
        <f t="shared" si="8"/>
        <v>3258.8673773973196</v>
      </c>
      <c r="F89" s="449">
        <f t="shared" si="9"/>
        <v>1.249049265177874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8048.6511635227762</v>
      </c>
      <c r="D90" s="465">
        <f>LN_IB7-LN_IC7</f>
        <v>5494.4280970516656</v>
      </c>
      <c r="E90" s="465">
        <f t="shared" si="8"/>
        <v>-2554.2230664711105</v>
      </c>
      <c r="F90" s="449">
        <f t="shared" si="9"/>
        <v>-0.31734796484249228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9168.2706687444643</v>
      </c>
      <c r="D91" s="465">
        <f>LN_IA7-LN_IC7</f>
        <v>5999.8032794726687</v>
      </c>
      <c r="E91" s="465">
        <f t="shared" si="8"/>
        <v>-3168.4673892717956</v>
      </c>
      <c r="F91" s="449">
        <f t="shared" si="9"/>
        <v>-0.34559051578542638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437491.53977114835</v>
      </c>
      <c r="D92" s="441">
        <f>LN_IC9*LN_IC6</f>
        <v>158175.21377804977</v>
      </c>
      <c r="E92" s="441">
        <f t="shared" si="8"/>
        <v>-279316.32599309855</v>
      </c>
      <c r="F92" s="449">
        <f t="shared" si="9"/>
        <v>-0.63844966268195447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163</v>
      </c>
      <c r="D93" s="456">
        <v>93</v>
      </c>
      <c r="E93" s="456">
        <f t="shared" si="8"/>
        <v>-70</v>
      </c>
      <c r="F93" s="449">
        <f t="shared" si="9"/>
        <v>-0.42944785276073622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763.80368098159511</v>
      </c>
      <c r="D94" s="499">
        <f>IF(LN_IC11=0,0,LN_IC2/LN_IC11)</f>
        <v>1663.4301075268818</v>
      </c>
      <c r="E94" s="499">
        <f t="shared" si="8"/>
        <v>899.62642654528668</v>
      </c>
      <c r="F94" s="449">
        <f t="shared" si="9"/>
        <v>1.1778241568424235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3.6222222222222222</v>
      </c>
      <c r="D95" s="466">
        <f>IF(LN_IC4=0,0,LN_IC11/LN_IC4)</f>
        <v>4.4285714285714288</v>
      </c>
      <c r="E95" s="466">
        <f t="shared" si="8"/>
        <v>0.80634920634920659</v>
      </c>
      <c r="F95" s="449">
        <f t="shared" si="9"/>
        <v>0.22261174408413678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2995796</v>
      </c>
      <c r="D98" s="448">
        <v>2766356</v>
      </c>
      <c r="E98" s="448">
        <f t="shared" ref="E98:E106" si="10">D98-C98</f>
        <v>-229440</v>
      </c>
      <c r="F98" s="449">
        <f t="shared" ref="F98:F106" si="11">IF(C98=0,0,E98/C98)</f>
        <v>-7.6587324370551269E-2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700261</v>
      </c>
      <c r="D99" s="448">
        <v>705866</v>
      </c>
      <c r="E99" s="448">
        <f t="shared" si="10"/>
        <v>5605</v>
      </c>
      <c r="F99" s="449">
        <f t="shared" si="11"/>
        <v>8.0041584494924042E-3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0.23374789204605387</v>
      </c>
      <c r="D100" s="453">
        <f>IF(LN_IC14=0,0,LN_IC15/LN_IC14)</f>
        <v>0.25516094096349135</v>
      </c>
      <c r="E100" s="454">
        <f t="shared" si="10"/>
        <v>2.1413048917437477E-2</v>
      </c>
      <c r="F100" s="449">
        <f t="shared" si="11"/>
        <v>9.1607452499373132E-2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3.0685042071893518</v>
      </c>
      <c r="D101" s="453">
        <f>IF(LN_IC1=0,0,LN_IC14/LN_IC1)</f>
        <v>4.8370308718823871</v>
      </c>
      <c r="E101" s="454">
        <f t="shared" si="10"/>
        <v>1.7685266646930353</v>
      </c>
      <c r="F101" s="449">
        <f t="shared" si="11"/>
        <v>0.57634813097191329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138.08268932352084</v>
      </c>
      <c r="D102" s="463">
        <f>LN_IC17*LN_IC4</f>
        <v>101.57764830953013</v>
      </c>
      <c r="E102" s="463">
        <f t="shared" si="10"/>
        <v>-36.505041013990706</v>
      </c>
      <c r="F102" s="449">
        <f t="shared" si="11"/>
        <v>-0.26437087221310718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5071.3163498671693</v>
      </c>
      <c r="D103" s="465">
        <f>IF(LN_IC18=0,0,LN_IC15/LN_IC18)</f>
        <v>6949.0287651577264</v>
      </c>
      <c r="E103" s="465">
        <f t="shared" si="10"/>
        <v>1877.7124152905571</v>
      </c>
      <c r="F103" s="449">
        <f t="shared" si="11"/>
        <v>0.37026134552614515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8165.24879555605</v>
      </c>
      <c r="D104" s="465">
        <f>LN_IB18-LN_IC19</f>
        <v>8581.2345499775583</v>
      </c>
      <c r="E104" s="465">
        <f t="shared" si="10"/>
        <v>415.98575442150832</v>
      </c>
      <c r="F104" s="449">
        <f t="shared" si="11"/>
        <v>5.0945876217257366E-2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6750.1388614025818</v>
      </c>
      <c r="D105" s="465">
        <f>LN_IA16-LN_IC19</f>
        <v>4780.3871079274131</v>
      </c>
      <c r="E105" s="465">
        <f t="shared" si="10"/>
        <v>-1969.7517534751687</v>
      </c>
      <c r="F105" s="449">
        <f t="shared" si="11"/>
        <v>-0.2918090714752915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932077.32728967734</v>
      </c>
      <c r="D106" s="448">
        <f>LN_IC21*LN_IC18</f>
        <v>485580.48043246265</v>
      </c>
      <c r="E106" s="448">
        <f t="shared" si="10"/>
        <v>-446496.8468572147</v>
      </c>
      <c r="F106" s="449">
        <f t="shared" si="11"/>
        <v>-0.47903412494277886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3972101</v>
      </c>
      <c r="D109" s="448">
        <f>LN_IC1+LN_IC14</f>
        <v>3338268</v>
      </c>
      <c r="E109" s="448">
        <f>D109-C109</f>
        <v>-633833</v>
      </c>
      <c r="F109" s="449">
        <f>IF(C109=0,0,E109/C109)</f>
        <v>-0.15957121936224683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824761</v>
      </c>
      <c r="D110" s="448">
        <f>LN_IC2+LN_IC15</f>
        <v>860565</v>
      </c>
      <c r="E110" s="448">
        <f>D110-C110</f>
        <v>35804</v>
      </c>
      <c r="F110" s="449">
        <f>IF(C110=0,0,E110/C110)</f>
        <v>4.3411364019394709E-2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3147340</v>
      </c>
      <c r="D111" s="448">
        <f>LN_IC23-LN_IC24</f>
        <v>2477703</v>
      </c>
      <c r="E111" s="448">
        <f>D111-C111</f>
        <v>-669637</v>
      </c>
      <c r="F111" s="449">
        <f>IF(C111=0,0,E111/C111)</f>
        <v>-0.21276284100224316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1369568.8670608257</v>
      </c>
      <c r="D113" s="448">
        <f>LN_IC10+LN_IC22</f>
        <v>643755.69421051245</v>
      </c>
      <c r="E113" s="448">
        <f>D113-C113</f>
        <v>-725813.17285031325</v>
      </c>
      <c r="F113" s="449">
        <f>IF(C113=0,0,E113/C113)</f>
        <v>-0.52995741237017924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65206770</v>
      </c>
      <c r="D118" s="448">
        <v>71652252</v>
      </c>
      <c r="E118" s="448">
        <f t="shared" ref="E118:E130" si="12">D118-C118</f>
        <v>6445482</v>
      </c>
      <c r="F118" s="449">
        <f t="shared" ref="F118:F130" si="13">IF(C118=0,0,E118/C118)</f>
        <v>9.8846822193462427E-2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24580567</v>
      </c>
      <c r="D119" s="448">
        <v>26840885</v>
      </c>
      <c r="E119" s="448">
        <f t="shared" si="12"/>
        <v>2260318</v>
      </c>
      <c r="F119" s="449">
        <f t="shared" si="13"/>
        <v>9.1955486624861013E-2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0.37696341959584873</v>
      </c>
      <c r="D120" s="453">
        <f>IF(LN_ID1=0,0,LN_1D2/LN_ID1)</f>
        <v>0.37459932173520522</v>
      </c>
      <c r="E120" s="454">
        <f t="shared" si="12"/>
        <v>-2.3640978606435104E-3</v>
      </c>
      <c r="F120" s="449">
        <f t="shared" si="13"/>
        <v>-6.2714251244274967E-3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2272</v>
      </c>
      <c r="D121" s="456">
        <v>2300</v>
      </c>
      <c r="E121" s="456">
        <f t="shared" si="12"/>
        <v>28</v>
      </c>
      <c r="F121" s="449">
        <f t="shared" si="13"/>
        <v>1.232394366197183E-2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1.3765000000000001</v>
      </c>
      <c r="D122" s="459">
        <v>1.4349000000000001</v>
      </c>
      <c r="E122" s="460">
        <f t="shared" si="12"/>
        <v>5.8400000000000007E-2</v>
      </c>
      <c r="F122" s="449">
        <f t="shared" si="13"/>
        <v>4.2426443879404287E-2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3127.4080000000004</v>
      </c>
      <c r="D123" s="463">
        <f>LN_ID4*LN_ID5</f>
        <v>3300.27</v>
      </c>
      <c r="E123" s="463">
        <f t="shared" si="12"/>
        <v>172.86199999999963</v>
      </c>
      <c r="F123" s="449">
        <f t="shared" si="13"/>
        <v>5.5273248645523576E-2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7859.7250502652669</v>
      </c>
      <c r="D124" s="465">
        <f>IF(LN_ID6=0,0,LN_1D2/LN_ID6)</f>
        <v>8132.9360931075335</v>
      </c>
      <c r="E124" s="465">
        <f t="shared" si="12"/>
        <v>273.21104284226658</v>
      </c>
      <c r="F124" s="449">
        <f t="shared" si="13"/>
        <v>3.4760890628489055E-2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2798.0044484769232</v>
      </c>
      <c r="D125" s="465">
        <f>LN_IB7-LN_ID7</f>
        <v>3229.4377165608657</v>
      </c>
      <c r="E125" s="465">
        <f t="shared" si="12"/>
        <v>431.43326808394249</v>
      </c>
      <c r="F125" s="449">
        <f t="shared" si="13"/>
        <v>0.1541932030589839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3917.6239536986113</v>
      </c>
      <c r="D126" s="465">
        <f>LN_IA7-LN_ID7</f>
        <v>3734.8128989818688</v>
      </c>
      <c r="E126" s="465">
        <f t="shared" si="12"/>
        <v>-182.81105471674255</v>
      </c>
      <c r="F126" s="449">
        <f t="shared" si="13"/>
        <v>-4.6663757644260735E-2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12252008.493788669</v>
      </c>
      <c r="D127" s="479">
        <f>LN_ID9*LN_ID6</f>
        <v>12325890.966122892</v>
      </c>
      <c r="E127" s="479">
        <f t="shared" si="12"/>
        <v>73882.472334222868</v>
      </c>
      <c r="F127" s="449">
        <f t="shared" si="13"/>
        <v>6.0302335222570773E-3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9677</v>
      </c>
      <c r="D128" s="456">
        <v>9594</v>
      </c>
      <c r="E128" s="456">
        <f t="shared" si="12"/>
        <v>-83</v>
      </c>
      <c r="F128" s="449">
        <f t="shared" si="13"/>
        <v>-8.5770383383279945E-3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2540.1019944197583</v>
      </c>
      <c r="D129" s="465">
        <f>IF(LN_ID11=0,0,LN_1D2/LN_ID11)</f>
        <v>2797.6740671252865</v>
      </c>
      <c r="E129" s="465">
        <f t="shared" si="12"/>
        <v>257.57207270552817</v>
      </c>
      <c r="F129" s="449">
        <f t="shared" si="13"/>
        <v>0.10140225600049811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4.259242957746479</v>
      </c>
      <c r="D130" s="466">
        <f>IF(LN_ID4=0,0,LN_ID11/LN_ID4)</f>
        <v>4.1713043478260872</v>
      </c>
      <c r="E130" s="466">
        <f t="shared" si="12"/>
        <v>-8.7938609920391819E-2</v>
      </c>
      <c r="F130" s="449">
        <f t="shared" si="13"/>
        <v>-2.0646535262904848E-2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79190281</v>
      </c>
      <c r="D133" s="448">
        <v>104478208</v>
      </c>
      <c r="E133" s="448">
        <f t="shared" ref="E133:E141" si="14">D133-C133</f>
        <v>25287927</v>
      </c>
      <c r="F133" s="449">
        <f t="shared" ref="F133:F141" si="15">IF(C133=0,0,E133/C133)</f>
        <v>0.31933119419035777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27286597</v>
      </c>
      <c r="D134" s="448">
        <v>36745878</v>
      </c>
      <c r="E134" s="448">
        <f t="shared" si="14"/>
        <v>9459281</v>
      </c>
      <c r="F134" s="449">
        <f t="shared" si="15"/>
        <v>0.34666400504247563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0.34457002368762907</v>
      </c>
      <c r="D135" s="453">
        <f>IF(LN_ID14=0,0,LN_ID15/LN_ID14)</f>
        <v>0.35170854002396368</v>
      </c>
      <c r="E135" s="454">
        <f t="shared" si="14"/>
        <v>7.1385163363346105E-3</v>
      </c>
      <c r="F135" s="449">
        <f t="shared" si="15"/>
        <v>2.0717171679466965E-2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1.2144487604584615</v>
      </c>
      <c r="D136" s="453">
        <f>IF(LN_ID1=0,0,LN_ID14/LN_ID1)</f>
        <v>1.4581287410198915</v>
      </c>
      <c r="E136" s="454">
        <f t="shared" si="14"/>
        <v>0.24367998056143003</v>
      </c>
      <c r="F136" s="449">
        <f t="shared" si="15"/>
        <v>0.2006506890166691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2759.2275837616244</v>
      </c>
      <c r="D137" s="463">
        <f>LN_ID17*LN_ID4</f>
        <v>3353.6961043457504</v>
      </c>
      <c r="E137" s="463">
        <f t="shared" si="14"/>
        <v>594.46852058412605</v>
      </c>
      <c r="F137" s="449">
        <f t="shared" si="15"/>
        <v>0.21544744046581824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9889.215793791278</v>
      </c>
      <c r="D138" s="465">
        <f>IF(LN_ID18=0,0,LN_ID15/LN_ID18)</f>
        <v>10956.829974064838</v>
      </c>
      <c r="E138" s="465">
        <f t="shared" si="14"/>
        <v>1067.6141802735601</v>
      </c>
      <c r="F138" s="449">
        <f t="shared" si="15"/>
        <v>0.10795741568748431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3347.3493516319413</v>
      </c>
      <c r="D139" s="465">
        <f>LN_IB18-LN_ID19</f>
        <v>4573.4333410704457</v>
      </c>
      <c r="E139" s="465">
        <f t="shared" si="14"/>
        <v>1226.0839894385044</v>
      </c>
      <c r="F139" s="449">
        <f t="shared" si="15"/>
        <v>0.3662850394867655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1932.2394174784731</v>
      </c>
      <c r="D140" s="465">
        <f>LN_IA16-LN_ID19</f>
        <v>772.58589902030144</v>
      </c>
      <c r="E140" s="465">
        <f t="shared" si="14"/>
        <v>-1159.6535184581717</v>
      </c>
      <c r="F140" s="449">
        <f t="shared" si="15"/>
        <v>-0.60016036727554822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5331488.2991380962</v>
      </c>
      <c r="D141" s="441">
        <f>LN_ID21*LN_ID18</f>
        <v>2591018.3198168441</v>
      </c>
      <c r="E141" s="441">
        <f t="shared" si="14"/>
        <v>-2740469.9793212521</v>
      </c>
      <c r="F141" s="449">
        <f t="shared" si="15"/>
        <v>-0.51401594180827226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144397051</v>
      </c>
      <c r="D144" s="448">
        <f>LN_ID1+LN_ID14</f>
        <v>176130460</v>
      </c>
      <c r="E144" s="448">
        <f>D144-C144</f>
        <v>31733409</v>
      </c>
      <c r="F144" s="449">
        <f>IF(C144=0,0,E144/C144)</f>
        <v>0.2197649382742588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51867164</v>
      </c>
      <c r="D145" s="448">
        <f>LN_1D2+LN_ID15</f>
        <v>63586763</v>
      </c>
      <c r="E145" s="448">
        <f>D145-C145</f>
        <v>11719599</v>
      </c>
      <c r="F145" s="449">
        <f>IF(C145=0,0,E145/C145)</f>
        <v>0.22595411231660942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92529887</v>
      </c>
      <c r="D146" s="448">
        <f>LN_ID23-LN_ID24</f>
        <v>112543697</v>
      </c>
      <c r="E146" s="448">
        <f>D146-C146</f>
        <v>20013810</v>
      </c>
      <c r="F146" s="449">
        <f>IF(C146=0,0,E146/C146)</f>
        <v>0.21629562781158482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17583496.792926766</v>
      </c>
      <c r="D148" s="448">
        <f>LN_ID10+LN_ID22</f>
        <v>14916909.285939736</v>
      </c>
      <c r="E148" s="448">
        <f>D148-C148</f>
        <v>-2666587.5069870297</v>
      </c>
      <c r="F148" s="503">
        <f>IF(C148=0,0,E148/C148)</f>
        <v>-0.15165285599276851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73082</v>
      </c>
      <c r="D153" s="448">
        <v>325470</v>
      </c>
      <c r="E153" s="448">
        <f t="shared" ref="E153:E165" si="16">D153-C153</f>
        <v>252388</v>
      </c>
      <c r="F153" s="449">
        <f t="shared" ref="F153:F165" si="17">IF(C153=0,0,E153/C153)</f>
        <v>3.4534905996004488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15633</v>
      </c>
      <c r="D154" s="448">
        <v>38788</v>
      </c>
      <c r="E154" s="448">
        <f t="shared" si="16"/>
        <v>23155</v>
      </c>
      <c r="F154" s="449">
        <f t="shared" si="17"/>
        <v>1.4811616452376384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0.21391040201417585</v>
      </c>
      <c r="D155" s="453">
        <f>IF(LN_IE1=0,0,LN_IE2/LN_IE1)</f>
        <v>0.11917534642209728</v>
      </c>
      <c r="E155" s="454">
        <f t="shared" si="16"/>
        <v>-9.4735055592078579E-2</v>
      </c>
      <c r="F155" s="449">
        <f t="shared" si="17"/>
        <v>-0.44287259852749228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5</v>
      </c>
      <c r="D156" s="506">
        <v>12</v>
      </c>
      <c r="E156" s="506">
        <f t="shared" si="16"/>
        <v>7</v>
      </c>
      <c r="F156" s="449">
        <f t="shared" si="17"/>
        <v>1.4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1.0943000000000001</v>
      </c>
      <c r="D157" s="459">
        <v>0.88660000000000005</v>
      </c>
      <c r="E157" s="460">
        <f t="shared" si="16"/>
        <v>-0.2077</v>
      </c>
      <c r="F157" s="449">
        <f t="shared" si="17"/>
        <v>-0.18980169971671387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5.4715000000000007</v>
      </c>
      <c r="D158" s="463">
        <f>LN_IE4*LN_IE5</f>
        <v>10.639200000000001</v>
      </c>
      <c r="E158" s="463">
        <f t="shared" si="16"/>
        <v>5.1677</v>
      </c>
      <c r="F158" s="449">
        <f t="shared" si="17"/>
        <v>0.9444759206798865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2857.1689664625783</v>
      </c>
      <c r="D159" s="465">
        <f>IF(LN_IE6=0,0,LN_IE2/LN_IE6)</f>
        <v>3645.7628393112263</v>
      </c>
      <c r="E159" s="465">
        <f t="shared" si="16"/>
        <v>788.59387284864806</v>
      </c>
      <c r="F159" s="449">
        <f t="shared" si="17"/>
        <v>0.27600533328800475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7800.5605322796118</v>
      </c>
      <c r="D160" s="465">
        <f>LN_IB7-LN_IE7</f>
        <v>7716.6109703571728</v>
      </c>
      <c r="E160" s="465">
        <f t="shared" si="16"/>
        <v>-83.949561922438988</v>
      </c>
      <c r="F160" s="449">
        <f t="shared" si="17"/>
        <v>-1.0761990958860726E-2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8920.1800375013008</v>
      </c>
      <c r="D161" s="465">
        <f>LN_IA7-LN_IE7</f>
        <v>8221.9861527781759</v>
      </c>
      <c r="E161" s="465">
        <f t="shared" si="16"/>
        <v>-698.19388472312494</v>
      </c>
      <c r="F161" s="449">
        <f t="shared" si="17"/>
        <v>-7.8271277237438056E-2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48806.76507518837</v>
      </c>
      <c r="D162" s="479">
        <f>LN_IE9*LN_IE6</f>
        <v>87475.35507663757</v>
      </c>
      <c r="E162" s="479">
        <f t="shared" si="16"/>
        <v>38668.5900014492</v>
      </c>
      <c r="F162" s="449">
        <f t="shared" si="17"/>
        <v>0.79227930681082859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15</v>
      </c>
      <c r="D163" s="456">
        <v>40</v>
      </c>
      <c r="E163" s="506">
        <f t="shared" si="16"/>
        <v>25</v>
      </c>
      <c r="F163" s="449">
        <f t="shared" si="17"/>
        <v>1.6666666666666667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1042.2</v>
      </c>
      <c r="D164" s="465">
        <f>IF(LN_IE11=0,0,LN_IE2/LN_IE11)</f>
        <v>969.7</v>
      </c>
      <c r="E164" s="465">
        <f t="shared" si="16"/>
        <v>-72.5</v>
      </c>
      <c r="F164" s="449">
        <f t="shared" si="17"/>
        <v>-6.9564383035885621E-2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3</v>
      </c>
      <c r="D165" s="466">
        <f>IF(LN_IE4=0,0,LN_IE11/LN_IE4)</f>
        <v>3.3333333333333335</v>
      </c>
      <c r="E165" s="466">
        <f t="shared" si="16"/>
        <v>0.33333333333333348</v>
      </c>
      <c r="F165" s="449">
        <f t="shared" si="17"/>
        <v>0.11111111111111116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169320</v>
      </c>
      <c r="D168" s="511">
        <v>172656</v>
      </c>
      <c r="E168" s="511">
        <f t="shared" ref="E168:E176" si="18">D168-C168</f>
        <v>3336</v>
      </c>
      <c r="F168" s="449">
        <f t="shared" ref="F168:F176" si="19">IF(C168=0,0,E168/C168)</f>
        <v>1.9702338766832035E-2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65438</v>
      </c>
      <c r="D169" s="511">
        <v>52912</v>
      </c>
      <c r="E169" s="511">
        <f t="shared" si="18"/>
        <v>-12526</v>
      </c>
      <c r="F169" s="449">
        <f t="shared" si="19"/>
        <v>-0.19141783061829518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0.38647531301677296</v>
      </c>
      <c r="D170" s="453">
        <f>IF(LN_IE14=0,0,LN_IE15/LN_IE14)</f>
        <v>0.30645908627560003</v>
      </c>
      <c r="E170" s="454">
        <f t="shared" si="18"/>
        <v>-8.0016226741172924E-2</v>
      </c>
      <c r="F170" s="449">
        <f t="shared" si="19"/>
        <v>-0.20704097789992665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2.316849566240661</v>
      </c>
      <c r="D171" s="453">
        <f>IF(LN_IE1=0,0,LN_IE14/LN_IE1)</f>
        <v>0.53048207208037612</v>
      </c>
      <c r="E171" s="454">
        <f t="shared" si="18"/>
        <v>-1.786367494160285</v>
      </c>
      <c r="F171" s="449">
        <f t="shared" si="19"/>
        <v>-0.77103300973436073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11.584247831203305</v>
      </c>
      <c r="D172" s="463">
        <f>LN_IE17*LN_IE4</f>
        <v>6.3657848649645139</v>
      </c>
      <c r="E172" s="463">
        <f t="shared" si="18"/>
        <v>-5.2184629662387909</v>
      </c>
      <c r="F172" s="449">
        <f t="shared" si="19"/>
        <v>-0.4504792233624656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5648.8777651783612</v>
      </c>
      <c r="D173" s="465">
        <f>IF(LN_IE18=0,0,LN_IE15/LN_IE18)</f>
        <v>8311.9365675099598</v>
      </c>
      <c r="E173" s="465">
        <f t="shared" si="18"/>
        <v>2663.0588023315986</v>
      </c>
      <c r="F173" s="449">
        <f t="shared" si="19"/>
        <v>0.47143147949626657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7587.6873802448581</v>
      </c>
      <c r="D174" s="465">
        <f>LN_IB18-LN_IE19</f>
        <v>7218.3267476253241</v>
      </c>
      <c r="E174" s="465">
        <f t="shared" si="18"/>
        <v>-369.36063261953404</v>
      </c>
      <c r="F174" s="449">
        <f t="shared" si="19"/>
        <v>-4.8678947103328686E-2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6172.5774460913899</v>
      </c>
      <c r="D175" s="465">
        <f>LN_IA16-LN_IE19</f>
        <v>3417.4793055751798</v>
      </c>
      <c r="E175" s="465">
        <f t="shared" si="18"/>
        <v>-2755.0981405162102</v>
      </c>
      <c r="F175" s="449">
        <f t="shared" si="19"/>
        <v>-0.44634484776870609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71504.666892818612</v>
      </c>
      <c r="D176" s="441">
        <f>LN_IE21*LN_IE18</f>
        <v>21754.938039759916</v>
      </c>
      <c r="E176" s="441">
        <f t="shared" si="18"/>
        <v>-49749.728853058696</v>
      </c>
      <c r="F176" s="449">
        <f t="shared" si="19"/>
        <v>-0.69575499075648706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242402</v>
      </c>
      <c r="D179" s="448">
        <f>LN_IE1+LN_IE14</f>
        <v>498126</v>
      </c>
      <c r="E179" s="448">
        <f>D179-C179</f>
        <v>255724</v>
      </c>
      <c r="F179" s="449">
        <f>IF(C179=0,0,E179/C179)</f>
        <v>1.0549582924233298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81071</v>
      </c>
      <c r="D180" s="448">
        <f>LN_IE15+LN_IE2</f>
        <v>91700</v>
      </c>
      <c r="E180" s="448">
        <f>D180-C180</f>
        <v>10629</v>
      </c>
      <c r="F180" s="449">
        <f>IF(C180=0,0,E180/C180)</f>
        <v>0.13110730100775864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161331</v>
      </c>
      <c r="D181" s="448">
        <f>LN_IE23-LN_IE24</f>
        <v>406426</v>
      </c>
      <c r="E181" s="448">
        <f>D181-C181</f>
        <v>245095</v>
      </c>
      <c r="F181" s="449">
        <f>IF(C181=0,0,E181/C181)</f>
        <v>1.5192058562830455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120311.43196800697</v>
      </c>
      <c r="D183" s="448">
        <f>LN_IE10+LN_IE22</f>
        <v>109230.29311639749</v>
      </c>
      <c r="E183" s="441">
        <f>D183-C183</f>
        <v>-11081.138851609488</v>
      </c>
      <c r="F183" s="449">
        <f>IF(C183=0,0,E183/C183)</f>
        <v>-9.2103789892187204E-2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65279852</v>
      </c>
      <c r="D188" s="448">
        <f>LN_ID1+LN_IE1</f>
        <v>71977722</v>
      </c>
      <c r="E188" s="448">
        <f t="shared" ref="E188:E200" si="20">D188-C188</f>
        <v>6697870</v>
      </c>
      <c r="F188" s="449">
        <f t="shared" ref="F188:F200" si="21">IF(C188=0,0,E188/C188)</f>
        <v>0.10260240786085116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24596200</v>
      </c>
      <c r="D189" s="448">
        <f>LN_1D2+LN_IE2</f>
        <v>26879673</v>
      </c>
      <c r="E189" s="448">
        <f t="shared" si="20"/>
        <v>2283473</v>
      </c>
      <c r="F189" s="449">
        <f t="shared" si="21"/>
        <v>9.283844658931055E-2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0.3767808787311589</v>
      </c>
      <c r="D190" s="453">
        <f>IF(LN_IF1=0,0,LN_IF2/LN_IF1)</f>
        <v>0.37344434157002077</v>
      </c>
      <c r="E190" s="454">
        <f t="shared" si="20"/>
        <v>-3.3365371611381311E-3</v>
      </c>
      <c r="F190" s="449">
        <f t="shared" si="21"/>
        <v>-8.8553781507548866E-3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2277</v>
      </c>
      <c r="D191" s="456">
        <f>LN_ID4+LN_IE4</f>
        <v>2312</v>
      </c>
      <c r="E191" s="456">
        <f t="shared" si="20"/>
        <v>35</v>
      </c>
      <c r="F191" s="449">
        <f t="shared" si="21"/>
        <v>1.5371102327624066E-2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1.3758803249890208</v>
      </c>
      <c r="D192" s="459">
        <f>IF((LN_ID4+LN_IE4)=0,0,(LN_ID6+LN_IE6)/(LN_ID4+LN_IE4))</f>
        <v>1.432054152249135</v>
      </c>
      <c r="E192" s="460">
        <f t="shared" si="20"/>
        <v>5.6173827260114217E-2</v>
      </c>
      <c r="F192" s="449">
        <f t="shared" si="21"/>
        <v>4.0827553268895297E-2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3132.8795000000005</v>
      </c>
      <c r="D193" s="463">
        <f>LN_IF4*LN_IF5</f>
        <v>3310.9092000000001</v>
      </c>
      <c r="E193" s="463">
        <f t="shared" si="20"/>
        <v>178.02969999999959</v>
      </c>
      <c r="F193" s="449">
        <f t="shared" si="21"/>
        <v>5.6826220095602009E-2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7850.9882043021435</v>
      </c>
      <c r="D194" s="465">
        <f>IF(LN_IF6=0,0,LN_IF2/LN_IF6)</f>
        <v>8118.5171130636863</v>
      </c>
      <c r="E194" s="465">
        <f t="shared" si="20"/>
        <v>267.52890876154288</v>
      </c>
      <c r="F194" s="449">
        <f t="shared" si="21"/>
        <v>3.4075826099820627E-2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2806.7412944400467</v>
      </c>
      <c r="D195" s="465">
        <f>LN_IB7-LN_IF7</f>
        <v>3243.8566966047129</v>
      </c>
      <c r="E195" s="465">
        <f t="shared" si="20"/>
        <v>437.11540216466619</v>
      </c>
      <c r="F195" s="449">
        <f t="shared" si="21"/>
        <v>0.15573768876759694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3926.3607996617347</v>
      </c>
      <c r="D196" s="465">
        <f>LN_IA7-LN_IF7</f>
        <v>3749.2318790257159</v>
      </c>
      <c r="E196" s="465">
        <f t="shared" si="20"/>
        <v>-177.12892063601885</v>
      </c>
      <c r="F196" s="449">
        <f t="shared" si="21"/>
        <v>-4.5112746809024509E-2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12300815.258863857</v>
      </c>
      <c r="D197" s="479">
        <f>LN_IF9*LN_IF6</f>
        <v>12413366.321199531</v>
      </c>
      <c r="E197" s="479">
        <f t="shared" si="20"/>
        <v>112551.06233567372</v>
      </c>
      <c r="F197" s="449">
        <f t="shared" si="21"/>
        <v>9.1498864072908047E-3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9692</v>
      </c>
      <c r="D198" s="456">
        <f>LN_ID11+LN_IE11</f>
        <v>9634</v>
      </c>
      <c r="E198" s="456">
        <f t="shared" si="20"/>
        <v>-58</v>
      </c>
      <c r="F198" s="449">
        <f t="shared" si="21"/>
        <v>-5.9843169624432518E-3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2537.7837391663229</v>
      </c>
      <c r="D199" s="519">
        <f>IF(LN_IF11=0,0,LN_IF2/LN_IF11)</f>
        <v>2790.0843886236248</v>
      </c>
      <c r="E199" s="519">
        <f t="shared" si="20"/>
        <v>252.30064945730192</v>
      </c>
      <c r="F199" s="449">
        <f t="shared" si="21"/>
        <v>9.9417710643927515E-2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4.2564778216952126</v>
      </c>
      <c r="D200" s="466">
        <f>IF(LN_IF4=0,0,LN_IF11/LN_IF4)</f>
        <v>4.1669550173010377</v>
      </c>
      <c r="E200" s="466">
        <f t="shared" si="20"/>
        <v>-8.9522804394174926E-2</v>
      </c>
      <c r="F200" s="449">
        <f t="shared" si="21"/>
        <v>-2.1032132233340519E-2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79359601</v>
      </c>
      <c r="D203" s="448">
        <f>LN_ID14+LN_IE14</f>
        <v>104650864</v>
      </c>
      <c r="E203" s="448">
        <f t="shared" ref="E203:E211" si="22">D203-C203</f>
        <v>25291263</v>
      </c>
      <c r="F203" s="449">
        <f t="shared" ref="F203:F211" si="23">IF(C203=0,0,E203/C203)</f>
        <v>0.31869191227410532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27352035</v>
      </c>
      <c r="D204" s="448">
        <f>LN_ID15+LN_IE15</f>
        <v>36798790</v>
      </c>
      <c r="E204" s="448">
        <f t="shared" si="22"/>
        <v>9446755</v>
      </c>
      <c r="F204" s="449">
        <f t="shared" si="23"/>
        <v>0.34537667855426479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0.34465943194447263</v>
      </c>
      <c r="D205" s="453">
        <f>IF(LN_IF14=0,0,LN_IF15/LN_IF14)</f>
        <v>0.35163388617603769</v>
      </c>
      <c r="E205" s="454">
        <f t="shared" si="22"/>
        <v>6.9744542315650637E-3</v>
      </c>
      <c r="F205" s="449">
        <f t="shared" si="23"/>
        <v>2.0235785198789231E-2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1.2156829185213227</v>
      </c>
      <c r="D206" s="453">
        <f>IF(LN_IF1=0,0,LN_IF14/LN_IF1)</f>
        <v>1.4539340936630365</v>
      </c>
      <c r="E206" s="454">
        <f t="shared" si="22"/>
        <v>0.23825117514171379</v>
      </c>
      <c r="F206" s="449">
        <f t="shared" si="23"/>
        <v>0.19598134637896117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2770.8118315928277</v>
      </c>
      <c r="D207" s="463">
        <f>LN_ID18+LN_IE18</f>
        <v>3360.061889210715</v>
      </c>
      <c r="E207" s="463">
        <f t="shared" si="22"/>
        <v>589.25005761788725</v>
      </c>
      <c r="F207" s="449">
        <f t="shared" si="23"/>
        <v>0.21266332520283457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9871.4877308274026</v>
      </c>
      <c r="D208" s="465">
        <f>IF(LN_IF18=0,0,LN_IF15/LN_IF18)</f>
        <v>10951.819107309391</v>
      </c>
      <c r="E208" s="465">
        <f t="shared" si="22"/>
        <v>1080.3313764819886</v>
      </c>
      <c r="F208" s="449">
        <f t="shared" si="23"/>
        <v>0.10943957040115149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3365.0774145958167</v>
      </c>
      <c r="D209" s="465">
        <f>LN_IB18-LN_IF19</f>
        <v>4578.4442078258926</v>
      </c>
      <c r="E209" s="465">
        <f t="shared" si="22"/>
        <v>1213.3667932300759</v>
      </c>
      <c r="F209" s="449">
        <f t="shared" si="23"/>
        <v>0.36057619000596303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1949.9674804423485</v>
      </c>
      <c r="D210" s="465">
        <f>LN_IA16-LN_IF19</f>
        <v>777.59676577574828</v>
      </c>
      <c r="E210" s="465">
        <f t="shared" si="22"/>
        <v>-1172.3707146666002</v>
      </c>
      <c r="F210" s="449">
        <f t="shared" si="23"/>
        <v>-0.60122577757073614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5402992.9660309143</v>
      </c>
      <c r="D211" s="441">
        <f>LN_IF21*LN_IF18</f>
        <v>2612773.2578566028</v>
      </c>
      <c r="E211" s="441">
        <f t="shared" si="22"/>
        <v>-2790219.7081743116</v>
      </c>
      <c r="F211" s="449">
        <f t="shared" si="23"/>
        <v>-0.51642112542375407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144639453</v>
      </c>
      <c r="D214" s="448">
        <f>LN_IF1+LN_IF14</f>
        <v>176628586</v>
      </c>
      <c r="E214" s="448">
        <f>D214-C214</f>
        <v>31989133</v>
      </c>
      <c r="F214" s="449">
        <f>IF(C214=0,0,E214/C214)</f>
        <v>0.22116464309361014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51948235</v>
      </c>
      <c r="D215" s="448">
        <f>LN_IF2+LN_IF15</f>
        <v>63678463</v>
      </c>
      <c r="E215" s="448">
        <f>D215-C215</f>
        <v>11730228</v>
      </c>
      <c r="F215" s="449">
        <f>IF(C215=0,0,E215/C215)</f>
        <v>0.22580609331577867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92691218</v>
      </c>
      <c r="D216" s="448">
        <f>LN_IF23-LN_IF24</f>
        <v>112950123</v>
      </c>
      <c r="E216" s="448">
        <f>D216-C216</f>
        <v>20258905</v>
      </c>
      <c r="F216" s="449">
        <f>IF(C216=0,0,E216/C216)</f>
        <v>0.21856337026448397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903866</v>
      </c>
      <c r="D221" s="448">
        <v>894989</v>
      </c>
      <c r="E221" s="448">
        <f t="shared" ref="E221:E230" si="24">D221-C221</f>
        <v>-8877</v>
      </c>
      <c r="F221" s="449">
        <f t="shared" ref="F221:F230" si="25">IF(C221=0,0,E221/C221)</f>
        <v>-9.8211460548355625E-3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394304</v>
      </c>
      <c r="D222" s="448">
        <v>370931</v>
      </c>
      <c r="E222" s="448">
        <f t="shared" si="24"/>
        <v>-23373</v>
      </c>
      <c r="F222" s="449">
        <f t="shared" si="25"/>
        <v>-5.927659876643402E-2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0.43624165528961151</v>
      </c>
      <c r="D223" s="453">
        <f>IF(LN_IG1=0,0,LN_IG2/LN_IG1)</f>
        <v>0.41445313853019422</v>
      </c>
      <c r="E223" s="454">
        <f t="shared" si="24"/>
        <v>-2.1788516759417287E-2</v>
      </c>
      <c r="F223" s="449">
        <f t="shared" si="25"/>
        <v>-4.9945979470833332E-2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38</v>
      </c>
      <c r="D224" s="456">
        <v>43</v>
      </c>
      <c r="E224" s="456">
        <f t="shared" si="24"/>
        <v>5</v>
      </c>
      <c r="F224" s="449">
        <f t="shared" si="25"/>
        <v>0.13157894736842105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1.5103</v>
      </c>
      <c r="D225" s="459">
        <v>1.1761999999999999</v>
      </c>
      <c r="E225" s="460">
        <f t="shared" si="24"/>
        <v>-0.33410000000000006</v>
      </c>
      <c r="F225" s="449">
        <f t="shared" si="25"/>
        <v>-0.22121432827914989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57.391399999999997</v>
      </c>
      <c r="D226" s="463">
        <f>LN_IG3*LN_IG4</f>
        <v>50.576599999999999</v>
      </c>
      <c r="E226" s="463">
        <f t="shared" si="24"/>
        <v>-6.8147999999999982</v>
      </c>
      <c r="F226" s="449">
        <f t="shared" si="25"/>
        <v>-0.11874252936851164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6870.4370341200947</v>
      </c>
      <c r="D227" s="465">
        <f>IF(LN_IG5=0,0,LN_IG2/LN_IG5)</f>
        <v>7334.0438068197545</v>
      </c>
      <c r="E227" s="465">
        <f t="shared" si="24"/>
        <v>463.60677269965981</v>
      </c>
      <c r="F227" s="449">
        <f t="shared" si="25"/>
        <v>6.7478498150450553E-2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121</v>
      </c>
      <c r="D228" s="456">
        <v>154</v>
      </c>
      <c r="E228" s="456">
        <f t="shared" si="24"/>
        <v>33</v>
      </c>
      <c r="F228" s="449">
        <f t="shared" si="25"/>
        <v>0.27272727272727271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3258.7107438016528</v>
      </c>
      <c r="D229" s="465">
        <f>IF(LN_IG6=0,0,LN_IG2/LN_IG6)</f>
        <v>2408.6428571428573</v>
      </c>
      <c r="E229" s="465">
        <f t="shared" si="24"/>
        <v>-850.06788665879549</v>
      </c>
      <c r="F229" s="449">
        <f t="shared" si="25"/>
        <v>-0.26086018474505523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3.1842105263157894</v>
      </c>
      <c r="D230" s="466">
        <f>IF(LN_IG3=0,0,LN_IG6/LN_IG3)</f>
        <v>3.5813953488372094</v>
      </c>
      <c r="E230" s="466">
        <f t="shared" si="24"/>
        <v>0.39718482252142007</v>
      </c>
      <c r="F230" s="449">
        <f t="shared" si="25"/>
        <v>0.12473572938689226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2211538</v>
      </c>
      <c r="D233" s="448">
        <v>3070634</v>
      </c>
      <c r="E233" s="448">
        <f>D233-C233</f>
        <v>859096</v>
      </c>
      <c r="F233" s="449">
        <f>IF(C233=0,0,E233/C233)</f>
        <v>0.38846088107009691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747511</v>
      </c>
      <c r="D234" s="448">
        <v>987633</v>
      </c>
      <c r="E234" s="448">
        <f>D234-C234</f>
        <v>240122</v>
      </c>
      <c r="F234" s="449">
        <f>IF(C234=0,0,E234/C234)</f>
        <v>0.32122871770448863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3115404</v>
      </c>
      <c r="D237" s="448">
        <f>LN_IG1+LN_IG9</f>
        <v>3965623</v>
      </c>
      <c r="E237" s="448">
        <f>D237-C237</f>
        <v>850219</v>
      </c>
      <c r="F237" s="449">
        <f>IF(C237=0,0,E237/C237)</f>
        <v>0.27290810437426416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1141815</v>
      </c>
      <c r="D238" s="448">
        <f>LN_IG2+LN_IG10</f>
        <v>1358564</v>
      </c>
      <c r="E238" s="448">
        <f>D238-C238</f>
        <v>216749</v>
      </c>
      <c r="F238" s="449">
        <f>IF(C238=0,0,E238/C238)</f>
        <v>0.18982847484049517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1973589</v>
      </c>
      <c r="D239" s="448">
        <f>LN_IG13-LN_IG14</f>
        <v>2607059</v>
      </c>
      <c r="E239" s="448">
        <f>D239-C239</f>
        <v>633470</v>
      </c>
      <c r="F239" s="449">
        <f>IF(C239=0,0,E239/C239)</f>
        <v>0.32097361710062228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21955590</v>
      </c>
      <c r="D243" s="448">
        <v>22955416</v>
      </c>
      <c r="E243" s="441">
        <f>D243-C243</f>
        <v>999826</v>
      </c>
      <c r="F243" s="503">
        <f>IF(C243=0,0,E243/C243)</f>
        <v>4.5538562161162602E-2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326572641</v>
      </c>
      <c r="D244" s="448">
        <v>340779258</v>
      </c>
      <c r="E244" s="441">
        <f>D244-C244</f>
        <v>14206617</v>
      </c>
      <c r="F244" s="503">
        <f>IF(C244=0,0,E244/C244)</f>
        <v>4.3502165265583287E-2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583681</v>
      </c>
      <c r="D248" s="441">
        <v>379861</v>
      </c>
      <c r="E248" s="441">
        <f>D248-C248</f>
        <v>-203820</v>
      </c>
      <c r="F248" s="449">
        <f>IF(C248=0,0,E248/C248)</f>
        <v>-0.34919759252057203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5899534</v>
      </c>
      <c r="D249" s="441">
        <v>10621825</v>
      </c>
      <c r="E249" s="441">
        <f>D249-C249</f>
        <v>4722291</v>
      </c>
      <c r="F249" s="449">
        <f>IF(C249=0,0,E249/C249)</f>
        <v>0.80045152718841861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6483215</v>
      </c>
      <c r="D250" s="441">
        <f>LN_IH4+LN_IH5</f>
        <v>11001686</v>
      </c>
      <c r="E250" s="441">
        <f>D250-C250</f>
        <v>4518471</v>
      </c>
      <c r="F250" s="449">
        <f>IF(C250=0,0,E250/C250)</f>
        <v>0.69694912169348078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2821240.5477630808</v>
      </c>
      <c r="D251" s="441">
        <f>LN_IH6*LN_III10</f>
        <v>4818336.45302008</v>
      </c>
      <c r="E251" s="441">
        <f>D251-C251</f>
        <v>1997095.9052569992</v>
      </c>
      <c r="F251" s="449">
        <f>IF(C251=0,0,E251/C251)</f>
        <v>0.7078786340429094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144639453</v>
      </c>
      <c r="D254" s="441">
        <f>LN_IF23</f>
        <v>176628586</v>
      </c>
      <c r="E254" s="441">
        <f>D254-C254</f>
        <v>31989133</v>
      </c>
      <c r="F254" s="449">
        <f>IF(C254=0,0,E254/C254)</f>
        <v>0.22116464309361014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51948235</v>
      </c>
      <c r="D255" s="441">
        <f>LN_IF24</f>
        <v>63678463</v>
      </c>
      <c r="E255" s="441">
        <f>D255-C255</f>
        <v>11730228</v>
      </c>
      <c r="F255" s="449">
        <f>IF(C255=0,0,E255/C255)</f>
        <v>0.22580609331577867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62941409.410280608</v>
      </c>
      <c r="D256" s="441">
        <f>LN_IH8*LN_III10</f>
        <v>77356866.444760576</v>
      </c>
      <c r="E256" s="441">
        <f>D256-C256</f>
        <v>14415457.034479968</v>
      </c>
      <c r="F256" s="449">
        <f>IF(C256=0,0,E256/C256)</f>
        <v>0.22902977816263204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10993174.410280608</v>
      </c>
      <c r="D257" s="441">
        <f>LN_IH10-LN_IH9</f>
        <v>13678403.444760576</v>
      </c>
      <c r="E257" s="441">
        <f>D257-C257</f>
        <v>2685229.0344799682</v>
      </c>
      <c r="F257" s="449">
        <f>IF(C257=0,0,E257/C257)</f>
        <v>0.24426329777582653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275367921</v>
      </c>
      <c r="D261" s="448">
        <f>LN_IA1+LN_IB1+LN_IF1+LN_IG1</f>
        <v>295059747</v>
      </c>
      <c r="E261" s="448">
        <f t="shared" ref="E261:E274" si="26">D261-C261</f>
        <v>19691826</v>
      </c>
      <c r="F261" s="503">
        <f t="shared" ref="F261:F274" si="27">IF(C261=0,0,E261/C261)</f>
        <v>7.1510965868823911E-2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133222639</v>
      </c>
      <c r="D262" s="448">
        <f>+LN_IA2+LN_IB2+LN_IF2+LN_IG2</f>
        <v>143833349</v>
      </c>
      <c r="E262" s="448">
        <f t="shared" si="26"/>
        <v>10610710</v>
      </c>
      <c r="F262" s="503">
        <f t="shared" si="27"/>
        <v>7.9646448078543167E-2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0.48379868837372675</v>
      </c>
      <c r="D263" s="453">
        <f>IF(LN_IIA1=0,0,LN_IIA2/LN_IIA1)</f>
        <v>0.48747194580899578</v>
      </c>
      <c r="E263" s="454">
        <f t="shared" si="26"/>
        <v>3.6732574352690284E-3</v>
      </c>
      <c r="F263" s="458">
        <f t="shared" si="27"/>
        <v>7.5925328520764727E-3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8669</v>
      </c>
      <c r="D264" s="456">
        <f>LN_IA4+LN_IB4+LN_IF4+LN_IG3</f>
        <v>8846</v>
      </c>
      <c r="E264" s="456">
        <f t="shared" si="26"/>
        <v>177</v>
      </c>
      <c r="F264" s="503">
        <f t="shared" si="27"/>
        <v>2.041757988233937E-2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1.4642609412850387</v>
      </c>
      <c r="D265" s="525">
        <f>IF(LN_IIA4=0,0,LN_IIA6/LN_IIA4)</f>
        <v>1.5071486095410356</v>
      </c>
      <c r="E265" s="525">
        <f t="shared" si="26"/>
        <v>4.288766825599688E-2</v>
      </c>
      <c r="F265" s="503">
        <f t="shared" si="27"/>
        <v>2.9289634823120095E-2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12693.678100000001</v>
      </c>
      <c r="D266" s="463">
        <f>LN_IA6+LN_IB6+LN_IF6+LN_IG5</f>
        <v>13332.2366</v>
      </c>
      <c r="E266" s="463">
        <f t="shared" si="26"/>
        <v>638.55849999999919</v>
      </c>
      <c r="F266" s="503">
        <f t="shared" si="27"/>
        <v>5.0305238164184987E-2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391982760</v>
      </c>
      <c r="D267" s="448">
        <f>LN_IA11+LN_IB13+LN_IF14+LN_IG9</f>
        <v>469117294</v>
      </c>
      <c r="E267" s="448">
        <f t="shared" si="26"/>
        <v>77134534</v>
      </c>
      <c r="F267" s="503">
        <f t="shared" si="27"/>
        <v>0.19678042473092439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1.4234873785461741</v>
      </c>
      <c r="D268" s="453">
        <f>IF(LN_IIA1=0,0,LN_IIA7/LN_IIA1)</f>
        <v>1.5899061080669876</v>
      </c>
      <c r="E268" s="454">
        <f t="shared" si="26"/>
        <v>0.16641872952081349</v>
      </c>
      <c r="F268" s="458">
        <f t="shared" si="27"/>
        <v>0.11690917111662702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160518043</v>
      </c>
      <c r="D269" s="448">
        <f>LN_IA12+LN_IB14+LN_IF15+LN_IG10</f>
        <v>199372255</v>
      </c>
      <c r="E269" s="448">
        <f t="shared" si="26"/>
        <v>38854212</v>
      </c>
      <c r="F269" s="503">
        <f t="shared" si="27"/>
        <v>0.24205510654026602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0.40950281333801519</v>
      </c>
      <c r="D270" s="453">
        <f>IF(LN_IIA7=0,0,LN_IIA9/LN_IIA7)</f>
        <v>0.42499446844097799</v>
      </c>
      <c r="E270" s="454">
        <f t="shared" si="26"/>
        <v>1.5491655102962798E-2</v>
      </c>
      <c r="F270" s="458">
        <f t="shared" si="27"/>
        <v>3.7830399690503586E-2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667350681</v>
      </c>
      <c r="D271" s="441">
        <f>LN_IIA1+LN_IIA7</f>
        <v>764177041</v>
      </c>
      <c r="E271" s="441">
        <f t="shared" si="26"/>
        <v>96826360</v>
      </c>
      <c r="F271" s="503">
        <f t="shared" si="27"/>
        <v>0.14509067384918126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293740682</v>
      </c>
      <c r="D272" s="441">
        <f>LN_IIA2+LN_IIA9</f>
        <v>343205604</v>
      </c>
      <c r="E272" s="441">
        <f t="shared" si="26"/>
        <v>49464922</v>
      </c>
      <c r="F272" s="503">
        <f t="shared" si="27"/>
        <v>0.16839656551216151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0.4401594099819312</v>
      </c>
      <c r="D273" s="453">
        <f>IF(LN_IIA11=0,0,LN_IIA12/LN_IIA11)</f>
        <v>0.44911792109179577</v>
      </c>
      <c r="E273" s="454">
        <f t="shared" si="26"/>
        <v>8.9585111098645642E-3</v>
      </c>
      <c r="F273" s="458">
        <f t="shared" si="27"/>
        <v>2.035287876779078E-2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38723</v>
      </c>
      <c r="D274" s="508">
        <f>LN_IA8+LN_IB10+LN_IF11+LN_IG6</f>
        <v>38384</v>
      </c>
      <c r="E274" s="528">
        <f t="shared" si="26"/>
        <v>-339</v>
      </c>
      <c r="F274" s="458">
        <f t="shared" si="27"/>
        <v>-8.7544869973917305E-3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209873187</v>
      </c>
      <c r="D277" s="448">
        <f>LN_IA1+LN_IF1+LN_IG1</f>
        <v>224508357</v>
      </c>
      <c r="E277" s="448">
        <f t="shared" ref="E277:E291" si="28">D277-C277</f>
        <v>14635170</v>
      </c>
      <c r="F277" s="503">
        <f t="shared" ref="F277:F291" si="29">IF(C277=0,0,E277/C277)</f>
        <v>6.9733395719578026E-2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98070561</v>
      </c>
      <c r="D278" s="448">
        <f>LN_IA2+LN_IF2+LN_IG2</f>
        <v>104541465</v>
      </c>
      <c r="E278" s="448">
        <f t="shared" si="28"/>
        <v>6470904</v>
      </c>
      <c r="F278" s="503">
        <f t="shared" si="29"/>
        <v>6.598212484988232E-2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0.46728485139933573</v>
      </c>
      <c r="D279" s="453">
        <f>IF(D277=0,0,LN_IIB2/D277)</f>
        <v>0.46564620754852348</v>
      </c>
      <c r="E279" s="454">
        <f t="shared" si="28"/>
        <v>-1.6386438508122492E-3</v>
      </c>
      <c r="F279" s="458">
        <f t="shared" si="29"/>
        <v>-3.5067343739159326E-3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6161</v>
      </c>
      <c r="D280" s="456">
        <f>LN_IA4+LN_IF4+LN_IG3</f>
        <v>6351</v>
      </c>
      <c r="E280" s="456">
        <f t="shared" si="28"/>
        <v>190</v>
      </c>
      <c r="F280" s="503">
        <f t="shared" si="29"/>
        <v>3.0839149488719363E-2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1.5249808959584483</v>
      </c>
      <c r="D281" s="525">
        <f>IF(LN_IIB4=0,0,LN_IIB6/LN_IIB4)</f>
        <v>1.554742024877972</v>
      </c>
      <c r="E281" s="525">
        <f t="shared" si="28"/>
        <v>2.9761128919523649E-2</v>
      </c>
      <c r="F281" s="503">
        <f t="shared" si="29"/>
        <v>1.9515738851809565E-2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9395.4073000000008</v>
      </c>
      <c r="D282" s="463">
        <f>LN_IA6+LN_IF6+LN_IG5</f>
        <v>9874.1666000000005</v>
      </c>
      <c r="E282" s="463">
        <f t="shared" si="28"/>
        <v>478.75929999999971</v>
      </c>
      <c r="F282" s="503">
        <f t="shared" si="29"/>
        <v>5.095673712836267E-2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212413820</v>
      </c>
      <c r="D283" s="448">
        <f>LN_IA11+LN_IF14+LN_IG9</f>
        <v>261392443</v>
      </c>
      <c r="E283" s="448">
        <f t="shared" si="28"/>
        <v>48978623</v>
      </c>
      <c r="F283" s="503">
        <f t="shared" si="29"/>
        <v>0.23058115051082834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1.0121055625843238</v>
      </c>
      <c r="D284" s="453">
        <f>IF(D277=0,0,LN_IIB7/D277)</f>
        <v>1.1642882540893567</v>
      </c>
      <c r="E284" s="454">
        <f t="shared" si="28"/>
        <v>0.15218269150503283</v>
      </c>
      <c r="F284" s="458">
        <f t="shared" si="29"/>
        <v>0.15036246922351412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69499963</v>
      </c>
      <c r="D285" s="448">
        <f>LN_IA12+LN_IF15+LN_IG10</f>
        <v>85286282</v>
      </c>
      <c r="E285" s="448">
        <f t="shared" si="28"/>
        <v>15786319</v>
      </c>
      <c r="F285" s="503">
        <f t="shared" si="29"/>
        <v>0.22714140149973894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0.32719134282317414</v>
      </c>
      <c r="D286" s="453">
        <f>IF(LN_IIB7=0,0,LN_IIB9/LN_IIB7)</f>
        <v>0.32627676998297922</v>
      </c>
      <c r="E286" s="454">
        <f t="shared" si="28"/>
        <v>-9.1457284019491603E-4</v>
      </c>
      <c r="F286" s="458">
        <f t="shared" si="29"/>
        <v>-2.7952232241339704E-3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422287007</v>
      </c>
      <c r="D287" s="441">
        <f>D277+LN_IIB7</f>
        <v>485900800</v>
      </c>
      <c r="E287" s="441">
        <f t="shared" si="28"/>
        <v>63613793</v>
      </c>
      <c r="F287" s="503">
        <f t="shared" si="29"/>
        <v>0.15064113256034894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167570524</v>
      </c>
      <c r="D288" s="441">
        <f>LN_IIB2+LN_IIB9</f>
        <v>189827747</v>
      </c>
      <c r="E288" s="441">
        <f t="shared" si="28"/>
        <v>22257223</v>
      </c>
      <c r="F288" s="503">
        <f t="shared" si="29"/>
        <v>0.13282301963798837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0.3968166702320538</v>
      </c>
      <c r="D289" s="453">
        <f>IF(LN_IIB11=0,0,LN_IIB12/LN_IIB11)</f>
        <v>0.39067181408221596</v>
      </c>
      <c r="E289" s="454">
        <f t="shared" si="28"/>
        <v>-6.1448561498378407E-3</v>
      </c>
      <c r="F289" s="458">
        <f t="shared" si="29"/>
        <v>-1.5485378036775521E-2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29263</v>
      </c>
      <c r="D290" s="508">
        <f>LN_IA8+LN_IF11+LN_IG6</f>
        <v>29018</v>
      </c>
      <c r="E290" s="528">
        <f t="shared" si="28"/>
        <v>-245</v>
      </c>
      <c r="F290" s="458">
        <f t="shared" si="29"/>
        <v>-8.37234733280935E-3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254716483</v>
      </c>
      <c r="D291" s="516">
        <f>LN_IIB11-LN_IIB12</f>
        <v>296073053</v>
      </c>
      <c r="E291" s="441">
        <f t="shared" si="28"/>
        <v>41356570</v>
      </c>
      <c r="F291" s="503">
        <f t="shared" si="29"/>
        <v>0.16236314789255316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5.0572022880915233</v>
      </c>
      <c r="D294" s="466">
        <f>IF(LN_IA4=0,0,LN_IA8/LN_IA4)</f>
        <v>4.8123123123123124</v>
      </c>
      <c r="E294" s="466">
        <f t="shared" ref="E294:E300" si="30">D294-C294</f>
        <v>-0.2448899757792109</v>
      </c>
      <c r="F294" s="503">
        <f t="shared" ref="F294:F300" si="31">IF(C294=0,0,E294/C294)</f>
        <v>-4.8424002408578158E-2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3.7719298245614037</v>
      </c>
      <c r="D295" s="466">
        <f>IF(LN_IB4=0,0,(LN_IB10)/(LN_IB4))</f>
        <v>3.7539078156312624</v>
      </c>
      <c r="E295" s="466">
        <f t="shared" si="30"/>
        <v>-1.8022008930141276E-2</v>
      </c>
      <c r="F295" s="503">
        <f t="shared" si="31"/>
        <v>-4.7779279489211755E-3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3.6222222222222222</v>
      </c>
      <c r="D296" s="466">
        <f>IF(LN_IC4=0,0,LN_IC11/LN_IC4)</f>
        <v>4.4285714285714288</v>
      </c>
      <c r="E296" s="466">
        <f t="shared" si="30"/>
        <v>0.80634920634920659</v>
      </c>
      <c r="F296" s="503">
        <f t="shared" si="31"/>
        <v>0.22261174408413678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4.259242957746479</v>
      </c>
      <c r="D297" s="466">
        <f>IF(LN_ID4=0,0,LN_ID11/LN_ID4)</f>
        <v>4.1713043478260872</v>
      </c>
      <c r="E297" s="466">
        <f t="shared" si="30"/>
        <v>-8.7938609920391819E-2</v>
      </c>
      <c r="F297" s="503">
        <f t="shared" si="31"/>
        <v>-2.0646535262904848E-2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3</v>
      </c>
      <c r="D298" s="466">
        <f>IF(LN_IE4=0,0,LN_IE11/LN_IE4)</f>
        <v>3.3333333333333335</v>
      </c>
      <c r="E298" s="466">
        <f t="shared" si="30"/>
        <v>0.33333333333333348</v>
      </c>
      <c r="F298" s="503">
        <f t="shared" si="31"/>
        <v>0.11111111111111116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3.1842105263157894</v>
      </c>
      <c r="D299" s="466">
        <f>IF(LN_IG3=0,0,LN_IG6/LN_IG3)</f>
        <v>3.5813953488372094</v>
      </c>
      <c r="E299" s="466">
        <f t="shared" si="30"/>
        <v>0.39718482252142007</v>
      </c>
      <c r="F299" s="503">
        <f t="shared" si="31"/>
        <v>0.12473572938689226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4.4668358518860307</v>
      </c>
      <c r="D300" s="466">
        <f>IF(LN_IIA4=0,0,LN_IIA14/LN_IIA4)</f>
        <v>4.3391363328057881</v>
      </c>
      <c r="E300" s="466">
        <f t="shared" si="30"/>
        <v>-0.12769951908024257</v>
      </c>
      <c r="F300" s="503">
        <f t="shared" si="31"/>
        <v>-2.8588361720595586E-2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667350681</v>
      </c>
      <c r="D304" s="441">
        <f>LN_IIA11</f>
        <v>764177041</v>
      </c>
      <c r="E304" s="441">
        <f t="shared" ref="E304:E316" si="32">D304-C304</f>
        <v>96826360</v>
      </c>
      <c r="F304" s="449">
        <f>IF(C304=0,0,E304/C304)</f>
        <v>0.14509067384918126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254716483</v>
      </c>
      <c r="D305" s="441">
        <f>LN_IIB14</f>
        <v>296073053</v>
      </c>
      <c r="E305" s="441">
        <f t="shared" si="32"/>
        <v>41356570</v>
      </c>
      <c r="F305" s="449">
        <f>IF(C305=0,0,E305/C305)</f>
        <v>0.16236314789255316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6483215</v>
      </c>
      <c r="D306" s="441">
        <f>LN_IH6</f>
        <v>11001686</v>
      </c>
      <c r="E306" s="441">
        <f t="shared" si="32"/>
        <v>4518471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115746176</v>
      </c>
      <c r="D307" s="441">
        <f>LN_IB32-LN_IB33</f>
        <v>122420682</v>
      </c>
      <c r="E307" s="441">
        <f t="shared" si="32"/>
        <v>6674506</v>
      </c>
      <c r="F307" s="449">
        <f t="shared" ref="F307:F316" si="33">IF(C307=0,0,E307/C307)</f>
        <v>5.7665023853574221E-2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376945874</v>
      </c>
      <c r="D309" s="441">
        <f>LN_III2+LN_III3+LN_III4+LN_III5</f>
        <v>429495421</v>
      </c>
      <c r="E309" s="441">
        <f t="shared" si="32"/>
        <v>52549547</v>
      </c>
      <c r="F309" s="449">
        <f t="shared" si="33"/>
        <v>0.13940873378547711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290404807</v>
      </c>
      <c r="D310" s="441">
        <f>LN_III1-LN_III6</f>
        <v>334681620</v>
      </c>
      <c r="E310" s="441">
        <f t="shared" si="32"/>
        <v>44276813</v>
      </c>
      <c r="F310" s="449">
        <f t="shared" si="33"/>
        <v>0.15246584055339002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290404807</v>
      </c>
      <c r="D312" s="441">
        <f>LN_III7+LN_III8</f>
        <v>334681620</v>
      </c>
      <c r="E312" s="441">
        <f t="shared" si="32"/>
        <v>44276813</v>
      </c>
      <c r="F312" s="449">
        <f t="shared" si="33"/>
        <v>0.15246584055339002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0.43516072623892327</v>
      </c>
      <c r="D313" s="532">
        <f>IF(LN_III1=0,0,LN_III9/LN_III1)</f>
        <v>0.43796345878441539</v>
      </c>
      <c r="E313" s="532">
        <f t="shared" si="32"/>
        <v>2.8027325454921259E-3</v>
      </c>
      <c r="F313" s="449">
        <f t="shared" si="33"/>
        <v>6.4406835830890146E-3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2821240.5477630808</v>
      </c>
      <c r="D314" s="441">
        <f>D313*LN_III5</f>
        <v>4818336.45302008</v>
      </c>
      <c r="E314" s="441">
        <f t="shared" si="32"/>
        <v>1997095.9052569992</v>
      </c>
      <c r="F314" s="449">
        <f t="shared" si="33"/>
        <v>0.7078786340429094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10993174.410280608</v>
      </c>
      <c r="D315" s="441">
        <f>D313*LN_IH8-LN_IH9</f>
        <v>13678403.444760576</v>
      </c>
      <c r="E315" s="441">
        <f t="shared" si="32"/>
        <v>2685229.0344799682</v>
      </c>
      <c r="F315" s="449">
        <f t="shared" si="33"/>
        <v>0.24426329777582653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13814414.958043689</v>
      </c>
      <c r="D318" s="441">
        <f>D314+D315+D316</f>
        <v>18496739.897780657</v>
      </c>
      <c r="E318" s="441">
        <f>D318-C318</f>
        <v>4682324.9397369679</v>
      </c>
      <c r="F318" s="449">
        <f>IF(C318=0,0,E318/C318)</f>
        <v>0.3389448596960381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5331488.2991380962</v>
      </c>
      <c r="D322" s="441">
        <f>LN_ID22</f>
        <v>2591018.3198168441</v>
      </c>
      <c r="E322" s="441">
        <f>LN_IV2-C322</f>
        <v>-2740469.9793212521</v>
      </c>
      <c r="F322" s="449">
        <f>IF(C322=0,0,E322/C322)</f>
        <v>-0.51401594180827226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120311.43196800697</v>
      </c>
      <c r="D323" s="441">
        <f>LN_IE10+LN_IE22</f>
        <v>109230.29311639749</v>
      </c>
      <c r="E323" s="441">
        <f>LN_IV3-C323</f>
        <v>-11081.138851609488</v>
      </c>
      <c r="F323" s="449">
        <f>IF(C323=0,0,E323/C323)</f>
        <v>-9.2103789892187204E-2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1369568.8670608257</v>
      </c>
      <c r="D324" s="441">
        <f>LN_IC10+LN_IC22</f>
        <v>643755.69421051245</v>
      </c>
      <c r="E324" s="441">
        <f>LN_IV1-C324</f>
        <v>-725813.17285031325</v>
      </c>
      <c r="F324" s="449">
        <f>IF(C324=0,0,E324/C324)</f>
        <v>-0.52995741237017924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6821368.5981669296</v>
      </c>
      <c r="D325" s="516">
        <f>LN_IV1+LN_IV2+LN_IV3</f>
        <v>3344004.3071437543</v>
      </c>
      <c r="E325" s="441">
        <f>LN_IV4-C325</f>
        <v>-3477364.2910231752</v>
      </c>
      <c r="F325" s="449">
        <f>IF(C325=0,0,E325/C325)</f>
        <v>-0.50977516329459593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0</v>
      </c>
      <c r="D330" s="516">
        <v>0</v>
      </c>
      <c r="E330" s="518">
        <f t="shared" si="34"/>
        <v>0</v>
      </c>
      <c r="F330" s="543">
        <f t="shared" si="35"/>
        <v>0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293740681</v>
      </c>
      <c r="D331" s="516">
        <v>343205604</v>
      </c>
      <c r="E331" s="518">
        <f t="shared" si="34"/>
        <v>49464923</v>
      </c>
      <c r="F331" s="542">
        <f t="shared" si="35"/>
        <v>0.16839656948980791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667350681</v>
      </c>
      <c r="D333" s="516">
        <v>764177043</v>
      </c>
      <c r="E333" s="518">
        <f t="shared" si="34"/>
        <v>96826362</v>
      </c>
      <c r="F333" s="542">
        <f t="shared" si="35"/>
        <v>0.14509067684610635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6483215</v>
      </c>
      <c r="D335" s="516">
        <v>11001686</v>
      </c>
      <c r="E335" s="516">
        <f t="shared" si="34"/>
        <v>4518471</v>
      </c>
      <c r="F335" s="542">
        <f t="shared" si="35"/>
        <v>0.69694912169348078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scale="81" fitToHeight="0" orientation="portrait" horizontalDpi="1200" verticalDpi="1200" r:id="rId1"/>
  <headerFooter>
    <oddHeader>&amp;LOFFICE OF HEALTH CARE ACCESS&amp;CTWELVE MONTHS ACTUAL FILING&amp;RJOHN DEMPSEY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D8" sqref="D1:D6553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65494734</v>
      </c>
      <c r="D14" s="589">
        <v>70551390</v>
      </c>
      <c r="E14" s="590">
        <f t="shared" ref="E14:E22" si="0">D14-C14</f>
        <v>5056656</v>
      </c>
    </row>
    <row r="15" spans="1:5" s="421" customFormat="1" x14ac:dyDescent="0.2">
      <c r="A15" s="588">
        <v>2</v>
      </c>
      <c r="B15" s="587" t="s">
        <v>635</v>
      </c>
      <c r="C15" s="589">
        <v>143689469</v>
      </c>
      <c r="D15" s="591">
        <v>151635646</v>
      </c>
      <c r="E15" s="590">
        <f t="shared" si="0"/>
        <v>7946177</v>
      </c>
    </row>
    <row r="16" spans="1:5" s="421" customFormat="1" x14ac:dyDescent="0.2">
      <c r="A16" s="588">
        <v>3</v>
      </c>
      <c r="B16" s="587" t="s">
        <v>777</v>
      </c>
      <c r="C16" s="589">
        <v>65279852</v>
      </c>
      <c r="D16" s="591">
        <v>71977722</v>
      </c>
      <c r="E16" s="590">
        <f t="shared" si="0"/>
        <v>6697870</v>
      </c>
    </row>
    <row r="17" spans="1:5" s="421" customFormat="1" x14ac:dyDescent="0.2">
      <c r="A17" s="588">
        <v>4</v>
      </c>
      <c r="B17" s="587" t="s">
        <v>115</v>
      </c>
      <c r="C17" s="589">
        <v>65206770</v>
      </c>
      <c r="D17" s="591">
        <v>71652252</v>
      </c>
      <c r="E17" s="590">
        <f t="shared" si="0"/>
        <v>6445482</v>
      </c>
    </row>
    <row r="18" spans="1:5" s="421" customFormat="1" x14ac:dyDescent="0.2">
      <c r="A18" s="588">
        <v>5</v>
      </c>
      <c r="B18" s="587" t="s">
        <v>743</v>
      </c>
      <c r="C18" s="589">
        <v>73082</v>
      </c>
      <c r="D18" s="591">
        <v>325470</v>
      </c>
      <c r="E18" s="590">
        <f t="shared" si="0"/>
        <v>252388</v>
      </c>
    </row>
    <row r="19" spans="1:5" s="421" customFormat="1" x14ac:dyDescent="0.2">
      <c r="A19" s="588">
        <v>6</v>
      </c>
      <c r="B19" s="587" t="s">
        <v>424</v>
      </c>
      <c r="C19" s="589">
        <v>903866</v>
      </c>
      <c r="D19" s="591">
        <v>894989</v>
      </c>
      <c r="E19" s="590">
        <f t="shared" si="0"/>
        <v>-8877</v>
      </c>
    </row>
    <row r="20" spans="1:5" s="421" customFormat="1" x14ac:dyDescent="0.2">
      <c r="A20" s="588">
        <v>7</v>
      </c>
      <c r="B20" s="587" t="s">
        <v>758</v>
      </c>
      <c r="C20" s="589">
        <v>976305</v>
      </c>
      <c r="D20" s="591">
        <v>571912</v>
      </c>
      <c r="E20" s="590">
        <f t="shared" si="0"/>
        <v>-404393</v>
      </c>
    </row>
    <row r="21" spans="1:5" s="421" customFormat="1" x14ac:dyDescent="0.2">
      <c r="A21" s="588"/>
      <c r="B21" s="592" t="s">
        <v>778</v>
      </c>
      <c r="C21" s="593">
        <f>SUM(C15+C16+C19)</f>
        <v>209873187</v>
      </c>
      <c r="D21" s="593">
        <f>SUM(D15+D16+D19)</f>
        <v>224508357</v>
      </c>
      <c r="E21" s="593">
        <f t="shared" si="0"/>
        <v>14635170</v>
      </c>
    </row>
    <row r="22" spans="1:5" s="421" customFormat="1" x14ac:dyDescent="0.2">
      <c r="A22" s="588"/>
      <c r="B22" s="592" t="s">
        <v>465</v>
      </c>
      <c r="C22" s="593">
        <f>SUM(C14+C21)</f>
        <v>275367921</v>
      </c>
      <c r="D22" s="593">
        <f>SUM(D14+D21)</f>
        <v>295059747</v>
      </c>
      <c r="E22" s="593">
        <f t="shared" si="0"/>
        <v>19691826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179568940</v>
      </c>
      <c r="D25" s="589">
        <v>207724851</v>
      </c>
      <c r="E25" s="590">
        <f t="shared" ref="E25:E33" si="1">D25-C25</f>
        <v>28155911</v>
      </c>
    </row>
    <row r="26" spans="1:5" s="421" customFormat="1" x14ac:dyDescent="0.2">
      <c r="A26" s="588">
        <v>2</v>
      </c>
      <c r="B26" s="587" t="s">
        <v>635</v>
      </c>
      <c r="C26" s="589">
        <v>130842681</v>
      </c>
      <c r="D26" s="591">
        <v>153670945</v>
      </c>
      <c r="E26" s="590">
        <f t="shared" si="1"/>
        <v>22828264</v>
      </c>
    </row>
    <row r="27" spans="1:5" s="421" customFormat="1" x14ac:dyDescent="0.2">
      <c r="A27" s="588">
        <v>3</v>
      </c>
      <c r="B27" s="587" t="s">
        <v>777</v>
      </c>
      <c r="C27" s="589">
        <v>79359601</v>
      </c>
      <c r="D27" s="591">
        <v>104650864</v>
      </c>
      <c r="E27" s="590">
        <f t="shared" si="1"/>
        <v>25291263</v>
      </c>
    </row>
    <row r="28" spans="1:5" s="421" customFormat="1" x14ac:dyDescent="0.2">
      <c r="A28" s="588">
        <v>4</v>
      </c>
      <c r="B28" s="587" t="s">
        <v>115</v>
      </c>
      <c r="C28" s="589">
        <v>79190281</v>
      </c>
      <c r="D28" s="591">
        <v>104478208</v>
      </c>
      <c r="E28" s="590">
        <f t="shared" si="1"/>
        <v>25287927</v>
      </c>
    </row>
    <row r="29" spans="1:5" s="421" customFormat="1" x14ac:dyDescent="0.2">
      <c r="A29" s="588">
        <v>5</v>
      </c>
      <c r="B29" s="587" t="s">
        <v>743</v>
      </c>
      <c r="C29" s="589">
        <v>169320</v>
      </c>
      <c r="D29" s="591">
        <v>172656</v>
      </c>
      <c r="E29" s="590">
        <f t="shared" si="1"/>
        <v>3336</v>
      </c>
    </row>
    <row r="30" spans="1:5" s="421" customFormat="1" x14ac:dyDescent="0.2">
      <c r="A30" s="588">
        <v>6</v>
      </c>
      <c r="B30" s="587" t="s">
        <v>424</v>
      </c>
      <c r="C30" s="589">
        <v>2211538</v>
      </c>
      <c r="D30" s="591">
        <v>3070634</v>
      </c>
      <c r="E30" s="590">
        <f t="shared" si="1"/>
        <v>859096</v>
      </c>
    </row>
    <row r="31" spans="1:5" s="421" customFormat="1" x14ac:dyDescent="0.2">
      <c r="A31" s="588">
        <v>7</v>
      </c>
      <c r="B31" s="587" t="s">
        <v>758</v>
      </c>
      <c r="C31" s="590">
        <v>2995796</v>
      </c>
      <c r="D31" s="594">
        <v>2766356</v>
      </c>
      <c r="E31" s="590">
        <f t="shared" si="1"/>
        <v>-229440</v>
      </c>
    </row>
    <row r="32" spans="1:5" s="421" customFormat="1" x14ac:dyDescent="0.2">
      <c r="A32" s="588"/>
      <c r="B32" s="592" t="s">
        <v>780</v>
      </c>
      <c r="C32" s="593">
        <f>SUM(C26+C27+C30)</f>
        <v>212413820</v>
      </c>
      <c r="D32" s="593">
        <f>SUM(D26+D27+D30)</f>
        <v>261392443</v>
      </c>
      <c r="E32" s="593">
        <f t="shared" si="1"/>
        <v>48978623</v>
      </c>
    </row>
    <row r="33" spans="1:5" s="421" customFormat="1" x14ac:dyDescent="0.2">
      <c r="A33" s="588"/>
      <c r="B33" s="592" t="s">
        <v>467</v>
      </c>
      <c r="C33" s="593">
        <f>SUM(C25+C32)</f>
        <v>391982760</v>
      </c>
      <c r="D33" s="593">
        <f>SUM(D25+D32)</f>
        <v>469117294</v>
      </c>
      <c r="E33" s="593">
        <f t="shared" si="1"/>
        <v>77134534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245063674</v>
      </c>
      <c r="D36" s="590">
        <f t="shared" si="2"/>
        <v>278276241</v>
      </c>
      <c r="E36" s="590">
        <f t="shared" ref="E36:E44" si="3">D36-C36</f>
        <v>33212567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274532150</v>
      </c>
      <c r="D37" s="590">
        <f t="shared" si="2"/>
        <v>305306591</v>
      </c>
      <c r="E37" s="590">
        <f t="shared" si="3"/>
        <v>30774441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144639453</v>
      </c>
      <c r="D38" s="590">
        <f t="shared" si="2"/>
        <v>176628586</v>
      </c>
      <c r="E38" s="590">
        <f t="shared" si="3"/>
        <v>31989133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144397051</v>
      </c>
      <c r="D39" s="590">
        <f t="shared" si="2"/>
        <v>176130460</v>
      </c>
      <c r="E39" s="590">
        <f t="shared" si="3"/>
        <v>31733409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242402</v>
      </c>
      <c r="D40" s="590">
        <f t="shared" si="2"/>
        <v>498126</v>
      </c>
      <c r="E40" s="590">
        <f t="shared" si="3"/>
        <v>255724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3115404</v>
      </c>
      <c r="D41" s="590">
        <f t="shared" si="2"/>
        <v>3965623</v>
      </c>
      <c r="E41" s="590">
        <f t="shared" si="3"/>
        <v>850219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3972101</v>
      </c>
      <c r="D42" s="590">
        <f t="shared" si="2"/>
        <v>3338268</v>
      </c>
      <c r="E42" s="590">
        <f t="shared" si="3"/>
        <v>-633833</v>
      </c>
    </row>
    <row r="43" spans="1:5" s="421" customFormat="1" x14ac:dyDescent="0.2">
      <c r="A43" s="588"/>
      <c r="B43" s="592" t="s">
        <v>788</v>
      </c>
      <c r="C43" s="593">
        <f>SUM(C37+C38+C41)</f>
        <v>422287007</v>
      </c>
      <c r="D43" s="593">
        <f>SUM(D37+D38+D41)</f>
        <v>485900800</v>
      </c>
      <c r="E43" s="593">
        <f t="shared" si="3"/>
        <v>63613793</v>
      </c>
    </row>
    <row r="44" spans="1:5" s="421" customFormat="1" x14ac:dyDescent="0.2">
      <c r="A44" s="588"/>
      <c r="B44" s="592" t="s">
        <v>725</v>
      </c>
      <c r="C44" s="593">
        <f>SUM(C36+C43)</f>
        <v>667350681</v>
      </c>
      <c r="D44" s="593">
        <f>SUM(D36+D43)</f>
        <v>764177041</v>
      </c>
      <c r="E44" s="593">
        <f t="shared" si="3"/>
        <v>96826360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35152078</v>
      </c>
      <c r="D47" s="589">
        <v>39291884</v>
      </c>
      <c r="E47" s="590">
        <f t="shared" ref="E47:E55" si="4">D47-C47</f>
        <v>4139806</v>
      </c>
    </row>
    <row r="48" spans="1:5" s="421" customFormat="1" x14ac:dyDescent="0.2">
      <c r="A48" s="588">
        <v>2</v>
      </c>
      <c r="B48" s="587" t="s">
        <v>635</v>
      </c>
      <c r="C48" s="589">
        <v>73080057</v>
      </c>
      <c r="D48" s="591">
        <v>77290861</v>
      </c>
      <c r="E48" s="590">
        <f t="shared" si="4"/>
        <v>4210804</v>
      </c>
    </row>
    <row r="49" spans="1:5" s="421" customFormat="1" x14ac:dyDescent="0.2">
      <c r="A49" s="588">
        <v>3</v>
      </c>
      <c r="B49" s="587" t="s">
        <v>777</v>
      </c>
      <c r="C49" s="589">
        <v>24596200</v>
      </c>
      <c r="D49" s="591">
        <v>26879673</v>
      </c>
      <c r="E49" s="590">
        <f t="shared" si="4"/>
        <v>2283473</v>
      </c>
    </row>
    <row r="50" spans="1:5" s="421" customFormat="1" x14ac:dyDescent="0.2">
      <c r="A50" s="588">
        <v>4</v>
      </c>
      <c r="B50" s="587" t="s">
        <v>115</v>
      </c>
      <c r="C50" s="589">
        <v>24580567</v>
      </c>
      <c r="D50" s="591">
        <v>26840885</v>
      </c>
      <c r="E50" s="590">
        <f t="shared" si="4"/>
        <v>2260318</v>
      </c>
    </row>
    <row r="51" spans="1:5" s="421" customFormat="1" x14ac:dyDescent="0.2">
      <c r="A51" s="588">
        <v>5</v>
      </c>
      <c r="B51" s="587" t="s">
        <v>743</v>
      </c>
      <c r="C51" s="589">
        <v>15633</v>
      </c>
      <c r="D51" s="591">
        <v>38788</v>
      </c>
      <c r="E51" s="590">
        <f t="shared" si="4"/>
        <v>23155</v>
      </c>
    </row>
    <row r="52" spans="1:5" s="421" customFormat="1" x14ac:dyDescent="0.2">
      <c r="A52" s="588">
        <v>6</v>
      </c>
      <c r="B52" s="587" t="s">
        <v>424</v>
      </c>
      <c r="C52" s="589">
        <v>394304</v>
      </c>
      <c r="D52" s="591">
        <v>370931</v>
      </c>
      <c r="E52" s="590">
        <f t="shared" si="4"/>
        <v>-23373</v>
      </c>
    </row>
    <row r="53" spans="1:5" s="421" customFormat="1" x14ac:dyDescent="0.2">
      <c r="A53" s="588">
        <v>7</v>
      </c>
      <c r="B53" s="587" t="s">
        <v>758</v>
      </c>
      <c r="C53" s="589">
        <v>124500</v>
      </c>
      <c r="D53" s="591">
        <v>154699</v>
      </c>
      <c r="E53" s="590">
        <f t="shared" si="4"/>
        <v>30199</v>
      </c>
    </row>
    <row r="54" spans="1:5" s="421" customFormat="1" x14ac:dyDescent="0.2">
      <c r="A54" s="588"/>
      <c r="B54" s="592" t="s">
        <v>790</v>
      </c>
      <c r="C54" s="593">
        <f>SUM(C48+C49+C52)</f>
        <v>98070561</v>
      </c>
      <c r="D54" s="593">
        <f>SUM(D48+D49+D52)</f>
        <v>104541465</v>
      </c>
      <c r="E54" s="593">
        <f t="shared" si="4"/>
        <v>6470904</v>
      </c>
    </row>
    <row r="55" spans="1:5" s="421" customFormat="1" x14ac:dyDescent="0.2">
      <c r="A55" s="588"/>
      <c r="B55" s="592" t="s">
        <v>466</v>
      </c>
      <c r="C55" s="593">
        <f>SUM(C47+C54)</f>
        <v>133222639</v>
      </c>
      <c r="D55" s="593">
        <f>SUM(D47+D54)</f>
        <v>143833349</v>
      </c>
      <c r="E55" s="593">
        <f t="shared" si="4"/>
        <v>10610710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91018080</v>
      </c>
      <c r="D58" s="589">
        <v>114085973</v>
      </c>
      <c r="E58" s="590">
        <f t="shared" ref="E58:E66" si="5">D58-C58</f>
        <v>23067893</v>
      </c>
    </row>
    <row r="59" spans="1:5" s="421" customFormat="1" x14ac:dyDescent="0.2">
      <c r="A59" s="588">
        <v>2</v>
      </c>
      <c r="B59" s="587" t="s">
        <v>635</v>
      </c>
      <c r="C59" s="589">
        <v>41400417</v>
      </c>
      <c r="D59" s="591">
        <v>47499859</v>
      </c>
      <c r="E59" s="590">
        <f t="shared" si="5"/>
        <v>6099442</v>
      </c>
    </row>
    <row r="60" spans="1:5" s="421" customFormat="1" x14ac:dyDescent="0.2">
      <c r="A60" s="588">
        <v>3</v>
      </c>
      <c r="B60" s="587" t="s">
        <v>777</v>
      </c>
      <c r="C60" s="589">
        <f>C61+C62</f>
        <v>27352035</v>
      </c>
      <c r="D60" s="591">
        <f>D61+D62</f>
        <v>36798790</v>
      </c>
      <c r="E60" s="590">
        <f t="shared" si="5"/>
        <v>9446755</v>
      </c>
    </row>
    <row r="61" spans="1:5" s="421" customFormat="1" x14ac:dyDescent="0.2">
      <c r="A61" s="588">
        <v>4</v>
      </c>
      <c r="B61" s="587" t="s">
        <v>115</v>
      </c>
      <c r="C61" s="589">
        <v>27286597</v>
      </c>
      <c r="D61" s="591">
        <v>36745878</v>
      </c>
      <c r="E61" s="590">
        <f t="shared" si="5"/>
        <v>9459281</v>
      </c>
    </row>
    <row r="62" spans="1:5" s="421" customFormat="1" x14ac:dyDescent="0.2">
      <c r="A62" s="588">
        <v>5</v>
      </c>
      <c r="B62" s="587" t="s">
        <v>743</v>
      </c>
      <c r="C62" s="589">
        <v>65438</v>
      </c>
      <c r="D62" s="591">
        <v>52912</v>
      </c>
      <c r="E62" s="590">
        <f t="shared" si="5"/>
        <v>-12526</v>
      </c>
    </row>
    <row r="63" spans="1:5" s="421" customFormat="1" x14ac:dyDescent="0.2">
      <c r="A63" s="588">
        <v>6</v>
      </c>
      <c r="B63" s="587" t="s">
        <v>424</v>
      </c>
      <c r="C63" s="589">
        <v>747511</v>
      </c>
      <c r="D63" s="591">
        <v>987633</v>
      </c>
      <c r="E63" s="590">
        <f t="shared" si="5"/>
        <v>240122</v>
      </c>
    </row>
    <row r="64" spans="1:5" s="421" customFormat="1" x14ac:dyDescent="0.2">
      <c r="A64" s="588">
        <v>7</v>
      </c>
      <c r="B64" s="587" t="s">
        <v>758</v>
      </c>
      <c r="C64" s="589">
        <v>700261</v>
      </c>
      <c r="D64" s="591">
        <v>705866</v>
      </c>
      <c r="E64" s="590">
        <f t="shared" si="5"/>
        <v>5605</v>
      </c>
    </row>
    <row r="65" spans="1:5" s="421" customFormat="1" x14ac:dyDescent="0.2">
      <c r="A65" s="588"/>
      <c r="B65" s="592" t="s">
        <v>792</v>
      </c>
      <c r="C65" s="593">
        <f>SUM(C59+C60+C63)</f>
        <v>69499963</v>
      </c>
      <c r="D65" s="593">
        <f>SUM(D59+D60+D63)</f>
        <v>85286282</v>
      </c>
      <c r="E65" s="593">
        <f t="shared" si="5"/>
        <v>15786319</v>
      </c>
    </row>
    <row r="66" spans="1:5" s="421" customFormat="1" x14ac:dyDescent="0.2">
      <c r="A66" s="588"/>
      <c r="B66" s="592" t="s">
        <v>468</v>
      </c>
      <c r="C66" s="593">
        <f>SUM(C58+C65)</f>
        <v>160518043</v>
      </c>
      <c r="D66" s="593">
        <f>SUM(D58+D65)</f>
        <v>199372255</v>
      </c>
      <c r="E66" s="593">
        <f t="shared" si="5"/>
        <v>38854212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126170158</v>
      </c>
      <c r="D69" s="590">
        <f t="shared" si="6"/>
        <v>153377857</v>
      </c>
      <c r="E69" s="590">
        <f t="shared" ref="E69:E77" si="7">D69-C69</f>
        <v>27207699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114480474</v>
      </c>
      <c r="D70" s="590">
        <f t="shared" si="6"/>
        <v>124790720</v>
      </c>
      <c r="E70" s="590">
        <f t="shared" si="7"/>
        <v>10310246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51948235</v>
      </c>
      <c r="D71" s="590">
        <f t="shared" si="6"/>
        <v>63678463</v>
      </c>
      <c r="E71" s="590">
        <f t="shared" si="7"/>
        <v>11730228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51867164</v>
      </c>
      <c r="D72" s="590">
        <f t="shared" si="6"/>
        <v>63586763</v>
      </c>
      <c r="E72" s="590">
        <f t="shared" si="7"/>
        <v>11719599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81071</v>
      </c>
      <c r="D73" s="590">
        <f t="shared" si="6"/>
        <v>91700</v>
      </c>
      <c r="E73" s="590">
        <f t="shared" si="7"/>
        <v>10629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1141815</v>
      </c>
      <c r="D74" s="590">
        <f t="shared" si="6"/>
        <v>1358564</v>
      </c>
      <c r="E74" s="590">
        <f t="shared" si="7"/>
        <v>216749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824761</v>
      </c>
      <c r="D75" s="590">
        <f t="shared" si="6"/>
        <v>860565</v>
      </c>
      <c r="E75" s="590">
        <f t="shared" si="7"/>
        <v>35804</v>
      </c>
    </row>
    <row r="76" spans="1:5" s="421" customFormat="1" x14ac:dyDescent="0.2">
      <c r="A76" s="588"/>
      <c r="B76" s="592" t="s">
        <v>793</v>
      </c>
      <c r="C76" s="593">
        <f>SUM(C70+C71+C74)</f>
        <v>167570524</v>
      </c>
      <c r="D76" s="593">
        <f>SUM(D70+D71+D74)</f>
        <v>189827747</v>
      </c>
      <c r="E76" s="593">
        <f t="shared" si="7"/>
        <v>22257223</v>
      </c>
    </row>
    <row r="77" spans="1:5" s="421" customFormat="1" x14ac:dyDescent="0.2">
      <c r="A77" s="588"/>
      <c r="B77" s="592" t="s">
        <v>726</v>
      </c>
      <c r="C77" s="593">
        <f>SUM(C69+C76)</f>
        <v>293740682</v>
      </c>
      <c r="D77" s="593">
        <f>SUM(D69+D76)</f>
        <v>343205604</v>
      </c>
      <c r="E77" s="593">
        <f t="shared" si="7"/>
        <v>49464922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9.8141405807601181E-2</v>
      </c>
      <c r="D83" s="599">
        <f t="shared" si="8"/>
        <v>9.2323357304318704E-2</v>
      </c>
      <c r="E83" s="599">
        <f t="shared" ref="E83:E91" si="9">D83-C83</f>
        <v>-5.8180485032824775E-3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0.21531328743785308</v>
      </c>
      <c r="D84" s="599">
        <f t="shared" si="8"/>
        <v>0.19842999444418011</v>
      </c>
      <c r="E84" s="599">
        <f t="shared" si="9"/>
        <v>-1.6883292993672971E-2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9.7819413178961007E-2</v>
      </c>
      <c r="D85" s="599">
        <f t="shared" si="8"/>
        <v>9.4189851484951903E-2</v>
      </c>
      <c r="E85" s="599">
        <f t="shared" si="9"/>
        <v>-3.6295616940091036E-3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9.7709902539231841E-2</v>
      </c>
      <c r="D86" s="599">
        <f t="shared" si="8"/>
        <v>9.3763942327076535E-2</v>
      </c>
      <c r="E86" s="599">
        <f t="shared" si="9"/>
        <v>-3.9459602121553056E-3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1.0951063972915913E-4</v>
      </c>
      <c r="D87" s="599">
        <f t="shared" si="8"/>
        <v>4.2590915787536727E-4</v>
      </c>
      <c r="E87" s="599">
        <f t="shared" si="9"/>
        <v>3.1639851814620814E-4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1.3544093468902897E-3</v>
      </c>
      <c r="D88" s="599">
        <f t="shared" si="8"/>
        <v>1.1711801742025903E-3</v>
      </c>
      <c r="E88" s="599">
        <f t="shared" si="9"/>
        <v>-1.8322917268769946E-4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1.4629564752028775E-3</v>
      </c>
      <c r="D89" s="599">
        <f t="shared" si="8"/>
        <v>7.4840248962674606E-4</v>
      </c>
      <c r="E89" s="599">
        <f t="shared" si="9"/>
        <v>-7.1455398557613149E-4</v>
      </c>
    </row>
    <row r="90" spans="1:5" s="421" customFormat="1" x14ac:dyDescent="0.2">
      <c r="A90" s="588"/>
      <c r="B90" s="592" t="s">
        <v>796</v>
      </c>
      <c r="C90" s="600">
        <f>SUM(C84+C85+C88)</f>
        <v>0.31448710996370438</v>
      </c>
      <c r="D90" s="600">
        <f>SUM(D84+D85+D88)</f>
        <v>0.29379102610333463</v>
      </c>
      <c r="E90" s="601">
        <f t="shared" si="9"/>
        <v>-2.0696083860369752E-2</v>
      </c>
    </row>
    <row r="91" spans="1:5" s="421" customFormat="1" x14ac:dyDescent="0.2">
      <c r="A91" s="588"/>
      <c r="B91" s="592" t="s">
        <v>797</v>
      </c>
      <c r="C91" s="600">
        <f>SUM(C83+C90)</f>
        <v>0.41262851577130555</v>
      </c>
      <c r="D91" s="600">
        <f>SUM(D83+D90)</f>
        <v>0.38611438340765336</v>
      </c>
      <c r="E91" s="601">
        <f t="shared" si="9"/>
        <v>-2.6514132363652188E-2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0.26907733087336133</v>
      </c>
      <c r="D95" s="599">
        <f t="shared" si="10"/>
        <v>0.27182817574337464</v>
      </c>
      <c r="E95" s="599">
        <f t="shared" ref="E95:E103" si="11">D95-C95</f>
        <v>2.7508448700133137E-3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0.19606285679357838</v>
      </c>
      <c r="D96" s="599">
        <f t="shared" si="10"/>
        <v>0.20109338118678183</v>
      </c>
      <c r="E96" s="599">
        <f t="shared" si="11"/>
        <v>5.0305243932034505E-3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0.11891738970144244</v>
      </c>
      <c r="D97" s="599">
        <f t="shared" si="10"/>
        <v>0.13694583635102955</v>
      </c>
      <c r="E97" s="599">
        <f t="shared" si="11"/>
        <v>1.802844664958711E-2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0.1186636700232872</v>
      </c>
      <c r="D98" s="599">
        <f t="shared" si="10"/>
        <v>0.13671989917844182</v>
      </c>
      <c r="E98" s="599">
        <f t="shared" si="11"/>
        <v>1.8056229155154618E-2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2.5371967815523966E-4</v>
      </c>
      <c r="D99" s="599">
        <f t="shared" si="10"/>
        <v>2.2593717258773284E-4</v>
      </c>
      <c r="E99" s="599">
        <f t="shared" si="11"/>
        <v>-2.7782505567506817E-5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3.313906860312322E-3</v>
      </c>
      <c r="D100" s="599">
        <f t="shared" si="10"/>
        <v>4.0182233111606923E-3</v>
      </c>
      <c r="E100" s="599">
        <f t="shared" si="11"/>
        <v>7.0431645084837033E-4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4.4890880990949341E-3</v>
      </c>
      <c r="D101" s="599">
        <f t="shared" si="10"/>
        <v>3.6200459469182089E-3</v>
      </c>
      <c r="E101" s="599">
        <f t="shared" si="11"/>
        <v>-8.6904215217672521E-4</v>
      </c>
    </row>
    <row r="102" spans="1:5" s="421" customFormat="1" x14ac:dyDescent="0.2">
      <c r="A102" s="588"/>
      <c r="B102" s="592" t="s">
        <v>799</v>
      </c>
      <c r="C102" s="600">
        <f>SUM(C96+C97+C100)</f>
        <v>0.31829415335533312</v>
      </c>
      <c r="D102" s="600">
        <f>SUM(D96+D97+D100)</f>
        <v>0.34205744084897211</v>
      </c>
      <c r="E102" s="601">
        <f t="shared" si="11"/>
        <v>2.3763287493638985E-2</v>
      </c>
    </row>
    <row r="103" spans="1:5" s="421" customFormat="1" x14ac:dyDescent="0.2">
      <c r="A103" s="588"/>
      <c r="B103" s="592" t="s">
        <v>800</v>
      </c>
      <c r="C103" s="600">
        <f>SUM(C95+C102)</f>
        <v>0.58737148422869445</v>
      </c>
      <c r="D103" s="600">
        <f>SUM(D95+D102)</f>
        <v>0.61388561659234675</v>
      </c>
      <c r="E103" s="601">
        <f t="shared" si="11"/>
        <v>2.6514132363652299E-2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0.1196704445589869</v>
      </c>
      <c r="D109" s="599">
        <f t="shared" si="12"/>
        <v>0.11448497210435993</v>
      </c>
      <c r="E109" s="599">
        <f t="shared" ref="E109:E117" si="13">D109-C109</f>
        <v>-5.1854724546269715E-3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0.2487910646302646</v>
      </c>
      <c r="D110" s="599">
        <f t="shared" si="12"/>
        <v>0.22520279418281294</v>
      </c>
      <c r="E110" s="599">
        <f t="shared" si="13"/>
        <v>-2.3588270447451654E-2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8.3734400807307985E-2</v>
      </c>
      <c r="D111" s="599">
        <f t="shared" si="12"/>
        <v>7.8319446671972173E-2</v>
      </c>
      <c r="E111" s="599">
        <f t="shared" si="13"/>
        <v>-5.4149541353358116E-3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8.3681180395706989E-2</v>
      </c>
      <c r="D112" s="599">
        <f t="shared" si="12"/>
        <v>7.8206429869367752E-2</v>
      </c>
      <c r="E112" s="599">
        <f t="shared" si="13"/>
        <v>-5.4747505263392365E-3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5.3220411601005268E-5</v>
      </c>
      <c r="D113" s="599">
        <f t="shared" si="12"/>
        <v>1.1301680260442367E-4</v>
      </c>
      <c r="E113" s="599">
        <f t="shared" si="13"/>
        <v>5.9796391003418399E-5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1.3423540699752307E-3</v>
      </c>
      <c r="D114" s="599">
        <f t="shared" si="12"/>
        <v>1.0807836342905403E-3</v>
      </c>
      <c r="E114" s="599">
        <f t="shared" si="13"/>
        <v>-2.615704356846904E-4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4.2384323190207613E-4</v>
      </c>
      <c r="D115" s="599">
        <f t="shared" si="12"/>
        <v>4.5074730190011698E-4</v>
      </c>
      <c r="E115" s="599">
        <f t="shared" si="13"/>
        <v>2.690406999804085E-5</v>
      </c>
    </row>
    <row r="116" spans="1:5" s="421" customFormat="1" x14ac:dyDescent="0.2">
      <c r="A116" s="588"/>
      <c r="B116" s="592" t="s">
        <v>796</v>
      </c>
      <c r="C116" s="600">
        <f>SUM(C110+C111+C114)</f>
        <v>0.33386781950754779</v>
      </c>
      <c r="D116" s="600">
        <f>SUM(D110+D111+D114)</f>
        <v>0.30460302448907567</v>
      </c>
      <c r="E116" s="601">
        <f t="shared" si="13"/>
        <v>-2.9264795018472123E-2</v>
      </c>
    </row>
    <row r="117" spans="1:5" s="421" customFormat="1" x14ac:dyDescent="0.2">
      <c r="A117" s="588"/>
      <c r="B117" s="592" t="s">
        <v>797</v>
      </c>
      <c r="C117" s="600">
        <f>SUM(C109+C116)</f>
        <v>0.45353826406653469</v>
      </c>
      <c r="D117" s="600">
        <f>SUM(D109+D116)</f>
        <v>0.4190879965934356</v>
      </c>
      <c r="E117" s="601">
        <f t="shared" si="13"/>
        <v>-3.4450267473099094E-2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0.30985861195760417</v>
      </c>
      <c r="D121" s="599">
        <f t="shared" si="14"/>
        <v>0.33241290838595983</v>
      </c>
      <c r="E121" s="599">
        <f t="shared" ref="E121:E129" si="15">D121-C121</f>
        <v>2.2554296428355658E-2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0.14094206058934663</v>
      </c>
      <c r="D122" s="599">
        <f t="shared" si="14"/>
        <v>0.13840059266631322</v>
      </c>
      <c r="E122" s="599">
        <f t="shared" si="15"/>
        <v>-2.5414679230334192E-3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9.3116264365451423E-2</v>
      </c>
      <c r="D123" s="599">
        <f t="shared" si="14"/>
        <v>0.10722083081137568</v>
      </c>
      <c r="E123" s="599">
        <f t="shared" si="15"/>
        <v>1.4104566445924255E-2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9.2893489639273047E-2</v>
      </c>
      <c r="D124" s="599">
        <f t="shared" si="14"/>
        <v>0.10706666083459407</v>
      </c>
      <c r="E124" s="599">
        <f t="shared" si="15"/>
        <v>1.4173171195321022E-2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2.2277472617837797E-4</v>
      </c>
      <c r="D125" s="599">
        <f t="shared" si="14"/>
        <v>1.5416997678161456E-4</v>
      </c>
      <c r="E125" s="599">
        <f t="shared" si="15"/>
        <v>-6.8604749396763417E-5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2.5447990210630748E-3</v>
      </c>
      <c r="D126" s="599">
        <f t="shared" si="14"/>
        <v>2.8776715429157155E-3</v>
      </c>
      <c r="E126" s="599">
        <f t="shared" si="15"/>
        <v>3.3287252185264064E-4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2.3839428547387932E-3</v>
      </c>
      <c r="D127" s="599">
        <f t="shared" si="14"/>
        <v>2.0566855312770475E-3</v>
      </c>
      <c r="E127" s="599">
        <f t="shared" si="15"/>
        <v>-3.2725732346174574E-4</v>
      </c>
    </row>
    <row r="128" spans="1:5" s="421" customFormat="1" x14ac:dyDescent="0.2">
      <c r="A128" s="588"/>
      <c r="B128" s="592" t="s">
        <v>799</v>
      </c>
      <c r="C128" s="600">
        <f>SUM(C122+C123+C126)</f>
        <v>0.23660312397586114</v>
      </c>
      <c r="D128" s="600">
        <f>SUM(D122+D123+D126)</f>
        <v>0.2484990950206046</v>
      </c>
      <c r="E128" s="601">
        <f t="shared" si="15"/>
        <v>1.1895971044743464E-2</v>
      </c>
    </row>
    <row r="129" spans="1:5" s="421" customFormat="1" x14ac:dyDescent="0.2">
      <c r="A129" s="588"/>
      <c r="B129" s="592" t="s">
        <v>800</v>
      </c>
      <c r="C129" s="600">
        <f>SUM(C121+C128)</f>
        <v>0.54646173593346536</v>
      </c>
      <c r="D129" s="600">
        <f>SUM(D121+D128)</f>
        <v>0.58091200340656446</v>
      </c>
      <c r="E129" s="601">
        <f t="shared" si="15"/>
        <v>3.4450267473099094E-2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2508</v>
      </c>
      <c r="D137" s="606">
        <v>2495</v>
      </c>
      <c r="E137" s="607">
        <f t="shared" ref="E137:E145" si="16">D137-C137</f>
        <v>-13</v>
      </c>
    </row>
    <row r="138" spans="1:5" s="421" customFormat="1" x14ac:dyDescent="0.2">
      <c r="A138" s="588">
        <v>2</v>
      </c>
      <c r="B138" s="587" t="s">
        <v>635</v>
      </c>
      <c r="C138" s="606">
        <v>3846</v>
      </c>
      <c r="D138" s="606">
        <v>3996</v>
      </c>
      <c r="E138" s="607">
        <f t="shared" si="16"/>
        <v>150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2277</v>
      </c>
      <c r="D139" s="606">
        <f>D140+D141</f>
        <v>2312</v>
      </c>
      <c r="E139" s="607">
        <f t="shared" si="16"/>
        <v>35</v>
      </c>
    </row>
    <row r="140" spans="1:5" s="421" customFormat="1" x14ac:dyDescent="0.2">
      <c r="A140" s="588">
        <v>4</v>
      </c>
      <c r="B140" s="587" t="s">
        <v>115</v>
      </c>
      <c r="C140" s="606">
        <v>2272</v>
      </c>
      <c r="D140" s="606">
        <v>2300</v>
      </c>
      <c r="E140" s="607">
        <f t="shared" si="16"/>
        <v>28</v>
      </c>
    </row>
    <row r="141" spans="1:5" s="421" customFormat="1" x14ac:dyDescent="0.2">
      <c r="A141" s="588">
        <v>5</v>
      </c>
      <c r="B141" s="587" t="s">
        <v>743</v>
      </c>
      <c r="C141" s="606">
        <v>5</v>
      </c>
      <c r="D141" s="606">
        <v>12</v>
      </c>
      <c r="E141" s="607">
        <f t="shared" si="16"/>
        <v>7</v>
      </c>
    </row>
    <row r="142" spans="1:5" s="421" customFormat="1" x14ac:dyDescent="0.2">
      <c r="A142" s="588">
        <v>6</v>
      </c>
      <c r="B142" s="587" t="s">
        <v>424</v>
      </c>
      <c r="C142" s="606">
        <v>38</v>
      </c>
      <c r="D142" s="606">
        <v>43</v>
      </c>
      <c r="E142" s="607">
        <f t="shared" si="16"/>
        <v>5</v>
      </c>
    </row>
    <row r="143" spans="1:5" s="421" customFormat="1" x14ac:dyDescent="0.2">
      <c r="A143" s="588">
        <v>7</v>
      </c>
      <c r="B143" s="587" t="s">
        <v>758</v>
      </c>
      <c r="C143" s="606">
        <v>45</v>
      </c>
      <c r="D143" s="606">
        <v>21</v>
      </c>
      <c r="E143" s="607">
        <f t="shared" si="16"/>
        <v>-24</v>
      </c>
    </row>
    <row r="144" spans="1:5" s="421" customFormat="1" x14ac:dyDescent="0.2">
      <c r="A144" s="588"/>
      <c r="B144" s="592" t="s">
        <v>807</v>
      </c>
      <c r="C144" s="608">
        <f>SUM(C138+C139+C142)</f>
        <v>6161</v>
      </c>
      <c r="D144" s="608">
        <f>SUM(D138+D139+D142)</f>
        <v>6351</v>
      </c>
      <c r="E144" s="609">
        <f t="shared" si="16"/>
        <v>190</v>
      </c>
    </row>
    <row r="145" spans="1:5" s="421" customFormat="1" x14ac:dyDescent="0.2">
      <c r="A145" s="588"/>
      <c r="B145" s="592" t="s">
        <v>138</v>
      </c>
      <c r="C145" s="608">
        <f>SUM(C137+C144)</f>
        <v>8669</v>
      </c>
      <c r="D145" s="608">
        <f>SUM(D137+D144)</f>
        <v>8846</v>
      </c>
      <c r="E145" s="609">
        <f t="shared" si="16"/>
        <v>177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9460</v>
      </c>
      <c r="D149" s="610">
        <v>9366</v>
      </c>
      <c r="E149" s="607">
        <f t="shared" ref="E149:E157" si="17">D149-C149</f>
        <v>-94</v>
      </c>
    </row>
    <row r="150" spans="1:5" s="421" customFormat="1" x14ac:dyDescent="0.2">
      <c r="A150" s="588">
        <v>2</v>
      </c>
      <c r="B150" s="587" t="s">
        <v>635</v>
      </c>
      <c r="C150" s="610">
        <v>19450</v>
      </c>
      <c r="D150" s="610">
        <v>19230</v>
      </c>
      <c r="E150" s="607">
        <f t="shared" si="17"/>
        <v>-220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9692</v>
      </c>
      <c r="D151" s="610">
        <f>D152+D153</f>
        <v>9634</v>
      </c>
      <c r="E151" s="607">
        <f t="shared" si="17"/>
        <v>-58</v>
      </c>
    </row>
    <row r="152" spans="1:5" s="421" customFormat="1" x14ac:dyDescent="0.2">
      <c r="A152" s="588">
        <v>4</v>
      </c>
      <c r="B152" s="587" t="s">
        <v>115</v>
      </c>
      <c r="C152" s="610">
        <v>9677</v>
      </c>
      <c r="D152" s="610">
        <v>9594</v>
      </c>
      <c r="E152" s="607">
        <f t="shared" si="17"/>
        <v>-83</v>
      </c>
    </row>
    <row r="153" spans="1:5" s="421" customFormat="1" x14ac:dyDescent="0.2">
      <c r="A153" s="588">
        <v>5</v>
      </c>
      <c r="B153" s="587" t="s">
        <v>743</v>
      </c>
      <c r="C153" s="611">
        <v>15</v>
      </c>
      <c r="D153" s="610">
        <v>40</v>
      </c>
      <c r="E153" s="607">
        <f t="shared" si="17"/>
        <v>25</v>
      </c>
    </row>
    <row r="154" spans="1:5" s="421" customFormat="1" x14ac:dyDescent="0.2">
      <c r="A154" s="588">
        <v>6</v>
      </c>
      <c r="B154" s="587" t="s">
        <v>424</v>
      </c>
      <c r="C154" s="610">
        <v>121</v>
      </c>
      <c r="D154" s="610">
        <v>154</v>
      </c>
      <c r="E154" s="607">
        <f t="shared" si="17"/>
        <v>33</v>
      </c>
    </row>
    <row r="155" spans="1:5" s="421" customFormat="1" x14ac:dyDescent="0.2">
      <c r="A155" s="588">
        <v>7</v>
      </c>
      <c r="B155" s="587" t="s">
        <v>758</v>
      </c>
      <c r="C155" s="610">
        <v>163</v>
      </c>
      <c r="D155" s="610">
        <v>93</v>
      </c>
      <c r="E155" s="607">
        <f t="shared" si="17"/>
        <v>-70</v>
      </c>
    </row>
    <row r="156" spans="1:5" s="421" customFormat="1" x14ac:dyDescent="0.2">
      <c r="A156" s="588"/>
      <c r="B156" s="592" t="s">
        <v>808</v>
      </c>
      <c r="C156" s="608">
        <f>SUM(C150+C151+C154)</f>
        <v>29263</v>
      </c>
      <c r="D156" s="608">
        <f>SUM(D150+D151+D154)</f>
        <v>29018</v>
      </c>
      <c r="E156" s="609">
        <f t="shared" si="17"/>
        <v>-245</v>
      </c>
    </row>
    <row r="157" spans="1:5" s="421" customFormat="1" x14ac:dyDescent="0.2">
      <c r="A157" s="588"/>
      <c r="B157" s="592" t="s">
        <v>140</v>
      </c>
      <c r="C157" s="608">
        <f>SUM(C149+C156)</f>
        <v>38723</v>
      </c>
      <c r="D157" s="608">
        <f>SUM(D149+D156)</f>
        <v>38384</v>
      </c>
      <c r="E157" s="609">
        <f t="shared" si="17"/>
        <v>-339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3.7719298245614037</v>
      </c>
      <c r="D161" s="612">
        <f t="shared" si="18"/>
        <v>3.7539078156312624</v>
      </c>
      <c r="E161" s="613">
        <f t="shared" ref="E161:E169" si="19">D161-C161</f>
        <v>-1.8022008930141276E-2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5.0572022880915233</v>
      </c>
      <c r="D162" s="612">
        <f t="shared" si="18"/>
        <v>4.8123123123123124</v>
      </c>
      <c r="E162" s="613">
        <f t="shared" si="19"/>
        <v>-0.2448899757792109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4.2564778216952126</v>
      </c>
      <c r="D163" s="612">
        <f t="shared" si="18"/>
        <v>4.1669550173010377</v>
      </c>
      <c r="E163" s="613">
        <f t="shared" si="19"/>
        <v>-8.9522804394174926E-2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4.259242957746479</v>
      </c>
      <c r="D164" s="612">
        <f t="shared" si="18"/>
        <v>4.1713043478260872</v>
      </c>
      <c r="E164" s="613">
        <f t="shared" si="19"/>
        <v>-8.7938609920391819E-2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3</v>
      </c>
      <c r="D165" s="612">
        <f t="shared" si="18"/>
        <v>3.3333333333333335</v>
      </c>
      <c r="E165" s="613">
        <f t="shared" si="19"/>
        <v>0.33333333333333348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3.1842105263157894</v>
      </c>
      <c r="D166" s="612">
        <f t="shared" si="18"/>
        <v>3.5813953488372094</v>
      </c>
      <c r="E166" s="613">
        <f t="shared" si="19"/>
        <v>0.39718482252142007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3.6222222222222222</v>
      </c>
      <c r="D167" s="612">
        <f t="shared" si="18"/>
        <v>4.4285714285714288</v>
      </c>
      <c r="E167" s="613">
        <f t="shared" si="19"/>
        <v>0.80634920634920659</v>
      </c>
    </row>
    <row r="168" spans="1:5" s="421" customFormat="1" x14ac:dyDescent="0.2">
      <c r="A168" s="588"/>
      <c r="B168" s="592" t="s">
        <v>810</v>
      </c>
      <c r="C168" s="614">
        <f t="shared" si="18"/>
        <v>4.7497159552020776</v>
      </c>
      <c r="D168" s="614">
        <f t="shared" si="18"/>
        <v>4.5690442450007875</v>
      </c>
      <c r="E168" s="615">
        <f t="shared" si="19"/>
        <v>-0.18067171020129003</v>
      </c>
    </row>
    <row r="169" spans="1:5" s="421" customFormat="1" x14ac:dyDescent="0.2">
      <c r="A169" s="588"/>
      <c r="B169" s="592" t="s">
        <v>744</v>
      </c>
      <c r="C169" s="614">
        <f t="shared" si="18"/>
        <v>4.4668358518860307</v>
      </c>
      <c r="D169" s="614">
        <f t="shared" si="18"/>
        <v>4.3391363328057881</v>
      </c>
      <c r="E169" s="615">
        <f t="shared" si="19"/>
        <v>-0.12769951908024257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1.3150999999999999</v>
      </c>
      <c r="D173" s="617">
        <f t="shared" si="20"/>
        <v>1.3859999999999999</v>
      </c>
      <c r="E173" s="618">
        <f t="shared" ref="E173:E181" si="21">D173-C173</f>
        <v>7.0899999999999963E-2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1.6133999999999999</v>
      </c>
      <c r="D174" s="617">
        <f t="shared" si="20"/>
        <v>1.6297999999999999</v>
      </c>
      <c r="E174" s="618">
        <f t="shared" si="21"/>
        <v>1.639999999999997E-2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1.3758803249890208</v>
      </c>
      <c r="D175" s="617">
        <f t="shared" si="20"/>
        <v>1.432054152249135</v>
      </c>
      <c r="E175" s="618">
        <f t="shared" si="21"/>
        <v>5.6173827260114217E-2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1.3765000000000001</v>
      </c>
      <c r="D176" s="617">
        <f t="shared" si="20"/>
        <v>1.4349000000000001</v>
      </c>
      <c r="E176" s="618">
        <f t="shared" si="21"/>
        <v>5.8400000000000007E-2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1.0943000000000001</v>
      </c>
      <c r="D177" s="617">
        <f t="shared" si="20"/>
        <v>0.88660000000000005</v>
      </c>
      <c r="E177" s="618">
        <f t="shared" si="21"/>
        <v>-0.2077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1.5103</v>
      </c>
      <c r="D178" s="617">
        <f t="shared" si="20"/>
        <v>1.1761999999999999</v>
      </c>
      <c r="E178" s="618">
        <f t="shared" si="21"/>
        <v>-0.33410000000000006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1.0604</v>
      </c>
      <c r="D179" s="617">
        <f t="shared" si="20"/>
        <v>1.2554000000000001</v>
      </c>
      <c r="E179" s="618">
        <f t="shared" si="21"/>
        <v>0.19500000000000006</v>
      </c>
    </row>
    <row r="180" spans="1:5" s="421" customFormat="1" x14ac:dyDescent="0.2">
      <c r="A180" s="588"/>
      <c r="B180" s="592" t="s">
        <v>812</v>
      </c>
      <c r="C180" s="619">
        <f t="shared" si="20"/>
        <v>1.5249808959584483</v>
      </c>
      <c r="D180" s="619">
        <f t="shared" si="20"/>
        <v>1.554742024877972</v>
      </c>
      <c r="E180" s="620">
        <f t="shared" si="21"/>
        <v>2.9761128919523649E-2</v>
      </c>
    </row>
    <row r="181" spans="1:5" s="421" customFormat="1" x14ac:dyDescent="0.2">
      <c r="A181" s="588"/>
      <c r="B181" s="592" t="s">
        <v>723</v>
      </c>
      <c r="C181" s="619">
        <f t="shared" si="20"/>
        <v>1.4642609412850387</v>
      </c>
      <c r="D181" s="619">
        <f t="shared" si="20"/>
        <v>1.5071486095410356</v>
      </c>
      <c r="E181" s="620">
        <f t="shared" si="21"/>
        <v>4.288766825599688E-2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814</v>
      </c>
      <c r="C185" s="589">
        <v>241091573</v>
      </c>
      <c r="D185" s="589">
        <v>274937974</v>
      </c>
      <c r="E185" s="590">
        <f>D185-C185</f>
        <v>33846401</v>
      </c>
    </row>
    <row r="186" spans="1:5" s="421" customFormat="1" ht="25.5" x14ac:dyDescent="0.2">
      <c r="A186" s="588">
        <v>2</v>
      </c>
      <c r="B186" s="587" t="s">
        <v>815</v>
      </c>
      <c r="C186" s="589">
        <v>125345397</v>
      </c>
      <c r="D186" s="589">
        <v>152517292</v>
      </c>
      <c r="E186" s="590">
        <f>D186-C186</f>
        <v>27171895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115746176</v>
      </c>
      <c r="D188" s="622">
        <f>+D185-D186</f>
        <v>122420682</v>
      </c>
      <c r="E188" s="590">
        <f t="shared" ref="E188:E197" si="22">D188-C188</f>
        <v>6674506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0.48009216813231376</v>
      </c>
      <c r="D189" s="623">
        <f>IF(D185=0,0,+D188/D185)</f>
        <v>0.44526654582826014</v>
      </c>
      <c r="E189" s="599">
        <f t="shared" si="22"/>
        <v>-3.4825622304053616E-2</v>
      </c>
    </row>
    <row r="190" spans="1:5" s="421" customFormat="1" x14ac:dyDescent="0.2">
      <c r="A190" s="588">
        <v>5</v>
      </c>
      <c r="B190" s="587" t="s">
        <v>762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748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583681</v>
      </c>
      <c r="D193" s="589">
        <v>379861</v>
      </c>
      <c r="E193" s="622">
        <f t="shared" si="22"/>
        <v>-203820</v>
      </c>
    </row>
    <row r="194" spans="1:5" s="421" customFormat="1" x14ac:dyDescent="0.2">
      <c r="A194" s="588">
        <v>9</v>
      </c>
      <c r="B194" s="587" t="s">
        <v>818</v>
      </c>
      <c r="C194" s="589">
        <v>5899534</v>
      </c>
      <c r="D194" s="589">
        <v>10621825</v>
      </c>
      <c r="E194" s="622">
        <f t="shared" si="22"/>
        <v>4722291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6483215</v>
      </c>
      <c r="D195" s="589">
        <f>+D193+D194</f>
        <v>11001686</v>
      </c>
      <c r="E195" s="625">
        <f t="shared" si="22"/>
        <v>4518471</v>
      </c>
    </row>
    <row r="196" spans="1:5" s="421" customFormat="1" x14ac:dyDescent="0.2">
      <c r="A196" s="588">
        <v>11</v>
      </c>
      <c r="B196" s="587" t="s">
        <v>820</v>
      </c>
      <c r="C196" s="589">
        <v>21955590</v>
      </c>
      <c r="D196" s="589">
        <v>22955416</v>
      </c>
      <c r="E196" s="622">
        <f t="shared" si="22"/>
        <v>999826</v>
      </c>
    </row>
    <row r="197" spans="1:5" s="421" customFormat="1" x14ac:dyDescent="0.2">
      <c r="A197" s="588">
        <v>12</v>
      </c>
      <c r="B197" s="587" t="s">
        <v>710</v>
      </c>
      <c r="C197" s="589">
        <v>326572641</v>
      </c>
      <c r="D197" s="589">
        <v>340779258</v>
      </c>
      <c r="E197" s="622">
        <f t="shared" si="22"/>
        <v>14206617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3298.2707999999998</v>
      </c>
      <c r="D203" s="629">
        <v>3458.0699999999997</v>
      </c>
      <c r="E203" s="630">
        <f t="shared" ref="E203:E211" si="23">D203-C203</f>
        <v>159.79919999999993</v>
      </c>
    </row>
    <row r="204" spans="1:5" s="421" customFormat="1" x14ac:dyDescent="0.2">
      <c r="A204" s="588">
        <v>2</v>
      </c>
      <c r="B204" s="587" t="s">
        <v>635</v>
      </c>
      <c r="C204" s="629">
        <v>6205.1363999999994</v>
      </c>
      <c r="D204" s="629">
        <v>6512.6808000000001</v>
      </c>
      <c r="E204" s="630">
        <f t="shared" si="23"/>
        <v>307.54440000000068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3132.8795000000005</v>
      </c>
      <c r="D205" s="629">
        <f>D206+D207</f>
        <v>3310.9092000000001</v>
      </c>
      <c r="E205" s="630">
        <f t="shared" si="23"/>
        <v>178.02969999999959</v>
      </c>
    </row>
    <row r="206" spans="1:5" s="421" customFormat="1" x14ac:dyDescent="0.2">
      <c r="A206" s="588">
        <v>4</v>
      </c>
      <c r="B206" s="587" t="s">
        <v>115</v>
      </c>
      <c r="C206" s="629">
        <v>3127.4080000000004</v>
      </c>
      <c r="D206" s="629">
        <v>3300.27</v>
      </c>
      <c r="E206" s="630">
        <f t="shared" si="23"/>
        <v>172.86199999999963</v>
      </c>
    </row>
    <row r="207" spans="1:5" s="421" customFormat="1" x14ac:dyDescent="0.2">
      <c r="A207" s="588">
        <v>5</v>
      </c>
      <c r="B207" s="587" t="s">
        <v>743</v>
      </c>
      <c r="C207" s="629">
        <v>5.4715000000000007</v>
      </c>
      <c r="D207" s="629">
        <v>10.639200000000001</v>
      </c>
      <c r="E207" s="630">
        <f t="shared" si="23"/>
        <v>5.1677</v>
      </c>
    </row>
    <row r="208" spans="1:5" s="421" customFormat="1" x14ac:dyDescent="0.2">
      <c r="A208" s="588">
        <v>6</v>
      </c>
      <c r="B208" s="587" t="s">
        <v>424</v>
      </c>
      <c r="C208" s="629">
        <v>57.391399999999997</v>
      </c>
      <c r="D208" s="629">
        <v>50.576599999999999</v>
      </c>
      <c r="E208" s="630">
        <f t="shared" si="23"/>
        <v>-6.8147999999999982</v>
      </c>
    </row>
    <row r="209" spans="1:5" s="421" customFormat="1" x14ac:dyDescent="0.2">
      <c r="A209" s="588">
        <v>7</v>
      </c>
      <c r="B209" s="587" t="s">
        <v>758</v>
      </c>
      <c r="C209" s="629">
        <v>47.718000000000004</v>
      </c>
      <c r="D209" s="629">
        <v>26.363400000000002</v>
      </c>
      <c r="E209" s="630">
        <f t="shared" si="23"/>
        <v>-21.354600000000001</v>
      </c>
    </row>
    <row r="210" spans="1:5" s="421" customFormat="1" x14ac:dyDescent="0.2">
      <c r="A210" s="588"/>
      <c r="B210" s="592" t="s">
        <v>823</v>
      </c>
      <c r="C210" s="631">
        <f>C204+C205+C208</f>
        <v>9395.4073000000008</v>
      </c>
      <c r="D210" s="631">
        <f>D204+D205+D208</f>
        <v>9874.1666000000005</v>
      </c>
      <c r="E210" s="632">
        <f t="shared" si="23"/>
        <v>478.75929999999971</v>
      </c>
    </row>
    <row r="211" spans="1:5" s="421" customFormat="1" x14ac:dyDescent="0.2">
      <c r="A211" s="588"/>
      <c r="B211" s="592" t="s">
        <v>724</v>
      </c>
      <c r="C211" s="631">
        <f>C210+C203</f>
        <v>12693.678100000001</v>
      </c>
      <c r="D211" s="631">
        <f>D210+D203</f>
        <v>13332.2366</v>
      </c>
      <c r="E211" s="632">
        <f t="shared" si="23"/>
        <v>638.55849999999919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6876.2612505609995</v>
      </c>
      <c r="D215" s="633">
        <f>IF(D14*D137=0,0,D25/D14*D137)</f>
        <v>7346.0424131260907</v>
      </c>
      <c r="E215" s="633">
        <f t="shared" ref="E215:E223" si="24">D215-C215</f>
        <v>469.78116256509111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3502.1421863978076</v>
      </c>
      <c r="D216" s="633">
        <f>IF(D15*D138=0,0,D26/D15*D138)</f>
        <v>4049.6355073397453</v>
      </c>
      <c r="E216" s="633">
        <f t="shared" si="24"/>
        <v>547.49332094193778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2770.8118315928277</v>
      </c>
      <c r="D217" s="633">
        <f>D218+D219</f>
        <v>3360.061889210715</v>
      </c>
      <c r="E217" s="633">
        <f t="shared" si="24"/>
        <v>589.25005761788725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2759.2275837616244</v>
      </c>
      <c r="D218" s="633">
        <f t="shared" si="25"/>
        <v>3353.6961043457504</v>
      </c>
      <c r="E218" s="633">
        <f t="shared" si="24"/>
        <v>594.46852058412605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11.584247831203305</v>
      </c>
      <c r="D219" s="633">
        <f t="shared" si="25"/>
        <v>6.3657848649645139</v>
      </c>
      <c r="E219" s="633">
        <f t="shared" si="24"/>
        <v>-5.2184629662387909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92.976662469879372</v>
      </c>
      <c r="D220" s="633">
        <f t="shared" si="25"/>
        <v>147.52948025059524</v>
      </c>
      <c r="E220" s="633">
        <f t="shared" si="24"/>
        <v>54.55281778071587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138.08268932352084</v>
      </c>
      <c r="D221" s="633">
        <f t="shared" si="25"/>
        <v>101.57764830953013</v>
      </c>
      <c r="E221" s="633">
        <f t="shared" si="24"/>
        <v>-36.505041013990706</v>
      </c>
    </row>
    <row r="222" spans="1:5" s="421" customFormat="1" x14ac:dyDescent="0.2">
      <c r="A222" s="588"/>
      <c r="B222" s="592" t="s">
        <v>825</v>
      </c>
      <c r="C222" s="634">
        <f>C216+C218+C219+C220</f>
        <v>6365.9306804605148</v>
      </c>
      <c r="D222" s="634">
        <f>D216+D218+D219+D220</f>
        <v>7557.2268768010554</v>
      </c>
      <c r="E222" s="634">
        <f t="shared" si="24"/>
        <v>1191.2961963405405</v>
      </c>
    </row>
    <row r="223" spans="1:5" s="421" customFormat="1" x14ac:dyDescent="0.2">
      <c r="A223" s="588"/>
      <c r="B223" s="592" t="s">
        <v>826</v>
      </c>
      <c r="C223" s="634">
        <f>C215+C222</f>
        <v>13242.191931021514</v>
      </c>
      <c r="D223" s="634">
        <f>D215+D222</f>
        <v>14903.269289927146</v>
      </c>
      <c r="E223" s="634">
        <f t="shared" si="24"/>
        <v>1661.0773589056316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10657.72949874219</v>
      </c>
      <c r="D227" s="636">
        <f t="shared" si="26"/>
        <v>11362.373809668399</v>
      </c>
      <c r="E227" s="636">
        <f t="shared" ref="E227:E235" si="27">D227-C227</f>
        <v>704.64431092620907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11777.349003963878</v>
      </c>
      <c r="D228" s="636">
        <f t="shared" si="26"/>
        <v>11867.748992089402</v>
      </c>
      <c r="E228" s="636">
        <f t="shared" si="27"/>
        <v>90.399988125524033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7850.9882043021435</v>
      </c>
      <c r="D229" s="636">
        <f t="shared" si="26"/>
        <v>8118.5171130636863</v>
      </c>
      <c r="E229" s="636">
        <f t="shared" si="27"/>
        <v>267.52890876154288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7859.7250502652669</v>
      </c>
      <c r="D230" s="636">
        <f t="shared" si="26"/>
        <v>8132.9360931075335</v>
      </c>
      <c r="E230" s="636">
        <f t="shared" si="27"/>
        <v>273.21104284226658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2857.1689664625783</v>
      </c>
      <c r="D231" s="636">
        <f t="shared" si="26"/>
        <v>3645.7628393112263</v>
      </c>
      <c r="E231" s="636">
        <f t="shared" si="27"/>
        <v>788.59387284864806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6870.4370341200947</v>
      </c>
      <c r="D232" s="636">
        <f t="shared" si="26"/>
        <v>7334.0438068197545</v>
      </c>
      <c r="E232" s="636">
        <f t="shared" si="27"/>
        <v>463.60677269965981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2609.0783352194139</v>
      </c>
      <c r="D233" s="636">
        <f t="shared" si="26"/>
        <v>5867.9457126167335</v>
      </c>
      <c r="E233" s="636">
        <f t="shared" si="27"/>
        <v>3258.8673773973196</v>
      </c>
    </row>
    <row r="234" spans="1:5" x14ac:dyDescent="0.2">
      <c r="A234" s="588"/>
      <c r="B234" s="592" t="s">
        <v>828</v>
      </c>
      <c r="C234" s="637">
        <f t="shared" si="26"/>
        <v>10438.138323178389</v>
      </c>
      <c r="D234" s="637">
        <f t="shared" si="26"/>
        <v>10587.370988858947</v>
      </c>
      <c r="E234" s="637">
        <f t="shared" si="27"/>
        <v>149.23266568055806</v>
      </c>
    </row>
    <row r="235" spans="1:5" s="421" customFormat="1" x14ac:dyDescent="0.2">
      <c r="A235" s="588"/>
      <c r="B235" s="592" t="s">
        <v>829</v>
      </c>
      <c r="C235" s="637">
        <f t="shared" si="26"/>
        <v>10495.195951124677</v>
      </c>
      <c r="D235" s="637">
        <f t="shared" si="26"/>
        <v>10788.388573902146</v>
      </c>
      <c r="E235" s="637">
        <f t="shared" si="27"/>
        <v>293.1926227774693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13236.565145423219</v>
      </c>
      <c r="D239" s="636">
        <f t="shared" si="28"/>
        <v>15530.263315135284</v>
      </c>
      <c r="E239" s="638">
        <f t="shared" ref="E239:E247" si="29">D239-C239</f>
        <v>2293.6981697120646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11821.455211269751</v>
      </c>
      <c r="D240" s="636">
        <f t="shared" si="28"/>
        <v>11729.41587308514</v>
      </c>
      <c r="E240" s="638">
        <f t="shared" si="29"/>
        <v>-92.039338184611552</v>
      </c>
    </row>
    <row r="241" spans="1:5" x14ac:dyDescent="0.2">
      <c r="A241" s="588">
        <v>3</v>
      </c>
      <c r="B241" s="587" t="s">
        <v>777</v>
      </c>
      <c r="C241" s="636">
        <f t="shared" si="28"/>
        <v>9871.4877308274026</v>
      </c>
      <c r="D241" s="636">
        <f t="shared" si="28"/>
        <v>10951.819107309391</v>
      </c>
      <c r="E241" s="638">
        <f t="shared" si="29"/>
        <v>1080.3313764819886</v>
      </c>
    </row>
    <row r="242" spans="1:5" x14ac:dyDescent="0.2">
      <c r="A242" s="588">
        <v>4</v>
      </c>
      <c r="B242" s="587" t="s">
        <v>115</v>
      </c>
      <c r="C242" s="636">
        <f t="shared" si="28"/>
        <v>9889.215793791278</v>
      </c>
      <c r="D242" s="636">
        <f t="shared" si="28"/>
        <v>10956.829974064838</v>
      </c>
      <c r="E242" s="638">
        <f t="shared" si="29"/>
        <v>1067.6141802735601</v>
      </c>
    </row>
    <row r="243" spans="1:5" x14ac:dyDescent="0.2">
      <c r="A243" s="588">
        <v>5</v>
      </c>
      <c r="B243" s="587" t="s">
        <v>743</v>
      </c>
      <c r="C243" s="636">
        <f t="shared" si="28"/>
        <v>5648.8777651783612</v>
      </c>
      <c r="D243" s="636">
        <f t="shared" si="28"/>
        <v>8311.9365675099598</v>
      </c>
      <c r="E243" s="638">
        <f t="shared" si="29"/>
        <v>2663.0588023315986</v>
      </c>
    </row>
    <row r="244" spans="1:5" x14ac:dyDescent="0.2">
      <c r="A244" s="588">
        <v>6</v>
      </c>
      <c r="B244" s="587" t="s">
        <v>424</v>
      </c>
      <c r="C244" s="636">
        <f t="shared" si="28"/>
        <v>8039.7701976252692</v>
      </c>
      <c r="D244" s="636">
        <f t="shared" si="28"/>
        <v>6694.4789497149686</v>
      </c>
      <c r="E244" s="638">
        <f t="shared" si="29"/>
        <v>-1345.2912479103006</v>
      </c>
    </row>
    <row r="245" spans="1:5" x14ac:dyDescent="0.2">
      <c r="A245" s="588">
        <v>7</v>
      </c>
      <c r="B245" s="587" t="s">
        <v>758</v>
      </c>
      <c r="C245" s="636">
        <f t="shared" si="28"/>
        <v>5071.3163498671693</v>
      </c>
      <c r="D245" s="636">
        <f t="shared" si="28"/>
        <v>6949.0287651577264</v>
      </c>
      <c r="E245" s="638">
        <f t="shared" si="29"/>
        <v>1877.7124152905571</v>
      </c>
    </row>
    <row r="246" spans="1:5" ht="25.5" x14ac:dyDescent="0.2">
      <c r="A246" s="588"/>
      <c r="B246" s="592" t="s">
        <v>831</v>
      </c>
      <c r="C246" s="637">
        <f t="shared" si="28"/>
        <v>10917.486615636904</v>
      </c>
      <c r="D246" s="637">
        <f t="shared" si="28"/>
        <v>11285.393887248407</v>
      </c>
      <c r="E246" s="639">
        <f t="shared" si="29"/>
        <v>367.90727161150244</v>
      </c>
    </row>
    <row r="247" spans="1:5" x14ac:dyDescent="0.2">
      <c r="A247" s="588"/>
      <c r="B247" s="592" t="s">
        <v>832</v>
      </c>
      <c r="C247" s="637">
        <f t="shared" si="28"/>
        <v>12121.712465439057</v>
      </c>
      <c r="D247" s="637">
        <f t="shared" si="28"/>
        <v>13377.752969595213</v>
      </c>
      <c r="E247" s="639">
        <f t="shared" si="29"/>
        <v>1256.0405041561553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5331488.2991380962</v>
      </c>
      <c r="D251" s="622">
        <f>((IF((IF(D15=0,0,D26/D15)*D138)=0,0,D59/(IF(D15=0,0,D26/D15)*D138)))-(IF((IF(D17=0,0,D28/D17)*D140)=0,0,D61/(IF(D17=0,0,D28/D17)*D140))))*(IF(D17=0,0,D28/D17)*D140)</f>
        <v>2591018.3198168441</v>
      </c>
      <c r="E251" s="622">
        <f>D251-C251</f>
        <v>-2740469.9793212521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120311.43196800697</v>
      </c>
      <c r="D252" s="622">
        <f>IF(D231=0,0,(D228-D231)*D207)+IF(D243=0,0,(D240-D243)*D219)</f>
        <v>109230.29311639749</v>
      </c>
      <c r="E252" s="622">
        <f>D252-C252</f>
        <v>-11081.138851609488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1369568.8670608257</v>
      </c>
      <c r="D253" s="622">
        <f>IF(D233=0,0,(D228-D233)*D209+IF(D221=0,0,(D240-D245)*D221))</f>
        <v>643755.69421051245</v>
      </c>
      <c r="E253" s="622">
        <f>D253-C253</f>
        <v>-725813.17285031325</v>
      </c>
    </row>
    <row r="254" spans="1:5" ht="15" customHeight="1" x14ac:dyDescent="0.2">
      <c r="A254" s="588"/>
      <c r="B254" s="592" t="s">
        <v>759</v>
      </c>
      <c r="C254" s="640">
        <f>+C251+C252+C253</f>
        <v>6821368.5981669296</v>
      </c>
      <c r="D254" s="640">
        <f>+D251+D252+D253</f>
        <v>3344004.3071437543</v>
      </c>
      <c r="E254" s="640">
        <f>D254-C254</f>
        <v>-3477364.2910231752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667350681</v>
      </c>
      <c r="D258" s="625">
        <f>+D44</f>
        <v>764177041</v>
      </c>
      <c r="E258" s="622">
        <f t="shared" ref="E258:E271" si="30">D258-C258</f>
        <v>96826360</v>
      </c>
    </row>
    <row r="259" spans="1:5" x14ac:dyDescent="0.2">
      <c r="A259" s="588">
        <v>2</v>
      </c>
      <c r="B259" s="587" t="s">
        <v>742</v>
      </c>
      <c r="C259" s="622">
        <f>+(C43-C76)</f>
        <v>254716483</v>
      </c>
      <c r="D259" s="625">
        <f>+(D43-D76)</f>
        <v>296073053</v>
      </c>
      <c r="E259" s="622">
        <f t="shared" si="30"/>
        <v>41356570</v>
      </c>
    </row>
    <row r="260" spans="1:5" x14ac:dyDescent="0.2">
      <c r="A260" s="588">
        <v>3</v>
      </c>
      <c r="B260" s="587" t="s">
        <v>746</v>
      </c>
      <c r="C260" s="622">
        <f>C195</f>
        <v>6483215</v>
      </c>
      <c r="D260" s="622">
        <f>D195</f>
        <v>11001686</v>
      </c>
      <c r="E260" s="622">
        <f t="shared" si="30"/>
        <v>4518471</v>
      </c>
    </row>
    <row r="261" spans="1:5" x14ac:dyDescent="0.2">
      <c r="A261" s="588">
        <v>4</v>
      </c>
      <c r="B261" s="587" t="s">
        <v>747</v>
      </c>
      <c r="C261" s="622">
        <f>C188</f>
        <v>115746176</v>
      </c>
      <c r="D261" s="622">
        <f>D188</f>
        <v>122420682</v>
      </c>
      <c r="E261" s="622">
        <f t="shared" si="30"/>
        <v>6674506</v>
      </c>
    </row>
    <row r="262" spans="1:5" x14ac:dyDescent="0.2">
      <c r="A262" s="588">
        <v>5</v>
      </c>
      <c r="B262" s="587" t="s">
        <v>748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749</v>
      </c>
      <c r="C263" s="622">
        <f>+C259+C260+C261+C262</f>
        <v>376945874</v>
      </c>
      <c r="D263" s="622">
        <f>+D259+D260+D261+D262</f>
        <v>429495421</v>
      </c>
      <c r="E263" s="622">
        <f t="shared" si="30"/>
        <v>52549547</v>
      </c>
    </row>
    <row r="264" spans="1:5" x14ac:dyDescent="0.2">
      <c r="A264" s="588">
        <v>7</v>
      </c>
      <c r="B264" s="587" t="s">
        <v>654</v>
      </c>
      <c r="C264" s="622">
        <f>+C258-C263</f>
        <v>290404807</v>
      </c>
      <c r="D264" s="622">
        <f>+D258-D263</f>
        <v>334681620</v>
      </c>
      <c r="E264" s="622">
        <f t="shared" si="30"/>
        <v>44276813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290404807</v>
      </c>
      <c r="D266" s="622">
        <f>+D264+D265</f>
        <v>334681620</v>
      </c>
      <c r="E266" s="641">
        <f t="shared" si="30"/>
        <v>44276813</v>
      </c>
    </row>
    <row r="267" spans="1:5" x14ac:dyDescent="0.2">
      <c r="A267" s="588">
        <v>10</v>
      </c>
      <c r="B267" s="587" t="s">
        <v>837</v>
      </c>
      <c r="C267" s="642">
        <f>IF(C258=0,0,C266/C258)</f>
        <v>0.43516072623892327</v>
      </c>
      <c r="D267" s="642">
        <f>IF(D258=0,0,D266/D258)</f>
        <v>0.43796345878441539</v>
      </c>
      <c r="E267" s="643">
        <f t="shared" si="30"/>
        <v>2.8027325454921259E-3</v>
      </c>
    </row>
    <row r="268" spans="1:5" x14ac:dyDescent="0.2">
      <c r="A268" s="588">
        <v>11</v>
      </c>
      <c r="B268" s="587" t="s">
        <v>716</v>
      </c>
      <c r="C268" s="622">
        <f>+C260*C267</f>
        <v>2821240.5477630808</v>
      </c>
      <c r="D268" s="644">
        <f>+D260*D267</f>
        <v>4818336.45302008</v>
      </c>
      <c r="E268" s="622">
        <f t="shared" si="30"/>
        <v>1997095.9052569992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10993174.410280608</v>
      </c>
      <c r="D269" s="644">
        <f>((D17+D18+D28+D29)*D267)-(D50+D51+D61+D62)</f>
        <v>13678403.444760576</v>
      </c>
      <c r="E269" s="622">
        <f t="shared" si="30"/>
        <v>2685229.0344799682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840</v>
      </c>
      <c r="C271" s="622">
        <f>+C268+C269+C270</f>
        <v>13814414.958043689</v>
      </c>
      <c r="D271" s="622">
        <f>+D268+D269+D270</f>
        <v>18496739.897780657</v>
      </c>
      <c r="E271" s="625">
        <f t="shared" si="30"/>
        <v>4682324.9397369679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0.53671609690024846</v>
      </c>
      <c r="D276" s="623">
        <f t="shared" si="31"/>
        <v>0.55692572463845147</v>
      </c>
      <c r="E276" s="650">
        <f t="shared" ref="E276:E284" si="32">D276-C276</f>
        <v>2.0209627738203007E-2</v>
      </c>
    </row>
    <row r="277" spans="1:5" x14ac:dyDescent="0.2">
      <c r="A277" s="588">
        <v>2</v>
      </c>
      <c r="B277" s="587" t="s">
        <v>635</v>
      </c>
      <c r="C277" s="623">
        <f t="shared" si="31"/>
        <v>0.50859716796642906</v>
      </c>
      <c r="D277" s="623">
        <f t="shared" si="31"/>
        <v>0.50971432535065009</v>
      </c>
      <c r="E277" s="650">
        <f t="shared" si="32"/>
        <v>1.1171573842210236E-3</v>
      </c>
    </row>
    <row r="278" spans="1:5" x14ac:dyDescent="0.2">
      <c r="A278" s="588">
        <v>3</v>
      </c>
      <c r="B278" s="587" t="s">
        <v>777</v>
      </c>
      <c r="C278" s="623">
        <f t="shared" si="31"/>
        <v>0.3767808787311589</v>
      </c>
      <c r="D278" s="623">
        <f t="shared" si="31"/>
        <v>0.37344434157002077</v>
      </c>
      <c r="E278" s="650">
        <f t="shared" si="32"/>
        <v>-3.3365371611381311E-3</v>
      </c>
    </row>
    <row r="279" spans="1:5" x14ac:dyDescent="0.2">
      <c r="A279" s="588">
        <v>4</v>
      </c>
      <c r="B279" s="587" t="s">
        <v>115</v>
      </c>
      <c r="C279" s="623">
        <f t="shared" si="31"/>
        <v>0.37696341959584873</v>
      </c>
      <c r="D279" s="623">
        <f t="shared" si="31"/>
        <v>0.37459932173520522</v>
      </c>
      <c r="E279" s="650">
        <f t="shared" si="32"/>
        <v>-2.3640978606435104E-3</v>
      </c>
    </row>
    <row r="280" spans="1:5" x14ac:dyDescent="0.2">
      <c r="A280" s="588">
        <v>5</v>
      </c>
      <c r="B280" s="587" t="s">
        <v>743</v>
      </c>
      <c r="C280" s="623">
        <f t="shared" si="31"/>
        <v>0.21391040201417585</v>
      </c>
      <c r="D280" s="623">
        <f t="shared" si="31"/>
        <v>0.11917534642209728</v>
      </c>
      <c r="E280" s="650">
        <f t="shared" si="32"/>
        <v>-9.4735055592078579E-2</v>
      </c>
    </row>
    <row r="281" spans="1:5" x14ac:dyDescent="0.2">
      <c r="A281" s="588">
        <v>6</v>
      </c>
      <c r="B281" s="587" t="s">
        <v>424</v>
      </c>
      <c r="C281" s="623">
        <f t="shared" si="31"/>
        <v>0.43624165528961151</v>
      </c>
      <c r="D281" s="623">
        <f t="shared" si="31"/>
        <v>0.41445313853019422</v>
      </c>
      <c r="E281" s="650">
        <f t="shared" si="32"/>
        <v>-2.1788516759417287E-2</v>
      </c>
    </row>
    <row r="282" spans="1:5" x14ac:dyDescent="0.2">
      <c r="A282" s="588">
        <v>7</v>
      </c>
      <c r="B282" s="587" t="s">
        <v>758</v>
      </c>
      <c r="C282" s="623">
        <f t="shared" si="31"/>
        <v>0.12752162490205418</v>
      </c>
      <c r="D282" s="623">
        <f t="shared" si="31"/>
        <v>0.27049441172767841</v>
      </c>
      <c r="E282" s="650">
        <f t="shared" si="32"/>
        <v>0.14297278682562423</v>
      </c>
    </row>
    <row r="283" spans="1:5" ht="29.25" customHeight="1" x14ac:dyDescent="0.2">
      <c r="A283" s="588"/>
      <c r="B283" s="592" t="s">
        <v>844</v>
      </c>
      <c r="C283" s="651">
        <f t="shared" si="31"/>
        <v>0.46728485139933573</v>
      </c>
      <c r="D283" s="651">
        <f t="shared" si="31"/>
        <v>0.46564620754852348</v>
      </c>
      <c r="E283" s="652">
        <f t="shared" si="32"/>
        <v>-1.6386438508122492E-3</v>
      </c>
    </row>
    <row r="284" spans="1:5" x14ac:dyDescent="0.2">
      <c r="A284" s="588"/>
      <c r="B284" s="592" t="s">
        <v>845</v>
      </c>
      <c r="C284" s="651">
        <f t="shared" si="31"/>
        <v>0.48379868837372675</v>
      </c>
      <c r="D284" s="651">
        <f t="shared" si="31"/>
        <v>0.48747194580899578</v>
      </c>
      <c r="E284" s="652">
        <f t="shared" si="32"/>
        <v>3.6732574352690284E-3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0.50686984063056784</v>
      </c>
      <c r="D287" s="623">
        <f t="shared" si="33"/>
        <v>0.54921677618630238</v>
      </c>
      <c r="E287" s="650">
        <f t="shared" ref="E287:E295" si="34">D287-C287</f>
        <v>4.2346935555734544E-2</v>
      </c>
    </row>
    <row r="288" spans="1:5" x14ac:dyDescent="0.2">
      <c r="A288" s="588">
        <v>2</v>
      </c>
      <c r="B288" s="587" t="s">
        <v>635</v>
      </c>
      <c r="C288" s="623">
        <f t="shared" si="33"/>
        <v>0.31641370142820596</v>
      </c>
      <c r="D288" s="623">
        <f t="shared" si="33"/>
        <v>0.30910110561238496</v>
      </c>
      <c r="E288" s="650">
        <f t="shared" si="34"/>
        <v>-7.3125958158209992E-3</v>
      </c>
    </row>
    <row r="289" spans="1:5" x14ac:dyDescent="0.2">
      <c r="A289" s="588">
        <v>3</v>
      </c>
      <c r="B289" s="587" t="s">
        <v>777</v>
      </c>
      <c r="C289" s="623">
        <f t="shared" si="33"/>
        <v>0.34465943194447263</v>
      </c>
      <c r="D289" s="623">
        <f t="shared" si="33"/>
        <v>0.35163388617603769</v>
      </c>
      <c r="E289" s="650">
        <f t="shared" si="34"/>
        <v>6.9744542315650637E-3</v>
      </c>
    </row>
    <row r="290" spans="1:5" x14ac:dyDescent="0.2">
      <c r="A290" s="588">
        <v>4</v>
      </c>
      <c r="B290" s="587" t="s">
        <v>115</v>
      </c>
      <c r="C290" s="623">
        <f t="shared" si="33"/>
        <v>0.34457002368762907</v>
      </c>
      <c r="D290" s="623">
        <f t="shared" si="33"/>
        <v>0.35170854002396368</v>
      </c>
      <c r="E290" s="650">
        <f t="shared" si="34"/>
        <v>7.1385163363346105E-3</v>
      </c>
    </row>
    <row r="291" spans="1:5" x14ac:dyDescent="0.2">
      <c r="A291" s="588">
        <v>5</v>
      </c>
      <c r="B291" s="587" t="s">
        <v>743</v>
      </c>
      <c r="C291" s="623">
        <f t="shared" si="33"/>
        <v>0.38647531301677296</v>
      </c>
      <c r="D291" s="623">
        <f t="shared" si="33"/>
        <v>0.30645908627560003</v>
      </c>
      <c r="E291" s="650">
        <f t="shared" si="34"/>
        <v>-8.0016226741172924E-2</v>
      </c>
    </row>
    <row r="292" spans="1:5" x14ac:dyDescent="0.2">
      <c r="A292" s="588">
        <v>6</v>
      </c>
      <c r="B292" s="587" t="s">
        <v>424</v>
      </c>
      <c r="C292" s="623">
        <f t="shared" si="33"/>
        <v>0.33800504445322666</v>
      </c>
      <c r="D292" s="623">
        <f t="shared" si="33"/>
        <v>0.32163813727067442</v>
      </c>
      <c r="E292" s="650">
        <f t="shared" si="34"/>
        <v>-1.6366907182552237E-2</v>
      </c>
    </row>
    <row r="293" spans="1:5" x14ac:dyDescent="0.2">
      <c r="A293" s="588">
        <v>7</v>
      </c>
      <c r="B293" s="587" t="s">
        <v>758</v>
      </c>
      <c r="C293" s="623">
        <f t="shared" si="33"/>
        <v>0.23374789204605387</v>
      </c>
      <c r="D293" s="623">
        <f t="shared" si="33"/>
        <v>0.25516094096349135</v>
      </c>
      <c r="E293" s="650">
        <f t="shared" si="34"/>
        <v>2.1413048917437477E-2</v>
      </c>
    </row>
    <row r="294" spans="1:5" ht="29.25" customHeight="1" x14ac:dyDescent="0.2">
      <c r="A294" s="588"/>
      <c r="B294" s="592" t="s">
        <v>847</v>
      </c>
      <c r="C294" s="651">
        <f t="shared" si="33"/>
        <v>0.32719134282317414</v>
      </c>
      <c r="D294" s="651">
        <f t="shared" si="33"/>
        <v>0.32627676998297922</v>
      </c>
      <c r="E294" s="652">
        <f t="shared" si="34"/>
        <v>-9.1457284019491603E-4</v>
      </c>
    </row>
    <row r="295" spans="1:5" x14ac:dyDescent="0.2">
      <c r="A295" s="588"/>
      <c r="B295" s="592" t="s">
        <v>848</v>
      </c>
      <c r="C295" s="651">
        <f t="shared" si="33"/>
        <v>0.40950281333801519</v>
      </c>
      <c r="D295" s="651">
        <f t="shared" si="33"/>
        <v>0.42499446844097799</v>
      </c>
      <c r="E295" s="652">
        <f t="shared" si="34"/>
        <v>1.5491655102962798E-2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293740682</v>
      </c>
      <c r="D301" s="590">
        <f>+D48+D47+D50+D51+D52+D59+D58+D61+D62+D63</f>
        <v>343205604</v>
      </c>
      <c r="E301" s="590">
        <f>D301-C301</f>
        <v>49464922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293740682</v>
      </c>
      <c r="D303" s="593">
        <f>+D301+D302</f>
        <v>343205604</v>
      </c>
      <c r="E303" s="593">
        <f>D303-C303</f>
        <v>49464922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0</v>
      </c>
      <c r="D305" s="654">
        <v>0</v>
      </c>
      <c r="E305" s="655">
        <f>D305-C305</f>
        <v>0</v>
      </c>
    </row>
    <row r="306" spans="1:5" x14ac:dyDescent="0.2">
      <c r="A306" s="588">
        <v>4</v>
      </c>
      <c r="B306" s="592" t="s">
        <v>855</v>
      </c>
      <c r="C306" s="593">
        <f>+C303+C305+C194+C190-C191</f>
        <v>299640216</v>
      </c>
      <c r="D306" s="593">
        <f>+D303+D305</f>
        <v>343205604</v>
      </c>
      <c r="E306" s="656">
        <f>D306-C306</f>
        <v>43565388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293740681</v>
      </c>
      <c r="D308" s="589">
        <v>343205604</v>
      </c>
      <c r="E308" s="590">
        <f>D308-C308</f>
        <v>49464923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5899535</v>
      </c>
      <c r="D310" s="658">
        <f>D306-D308</f>
        <v>0</v>
      </c>
      <c r="E310" s="656">
        <f>D310-C310</f>
        <v>-5899535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667350681</v>
      </c>
      <c r="D314" s="590">
        <f>+D14+D15+D16+D19+D25+D26+D27+D30</f>
        <v>764177041</v>
      </c>
      <c r="E314" s="590">
        <f>D314-C314</f>
        <v>96826360</v>
      </c>
    </row>
    <row r="315" spans="1:5" x14ac:dyDescent="0.2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667350681</v>
      </c>
      <c r="D316" s="657">
        <f>D314+D315</f>
        <v>764177041</v>
      </c>
      <c r="E316" s="593">
        <f>D316-C316</f>
        <v>96826360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667350681</v>
      </c>
      <c r="D318" s="589">
        <v>764177043</v>
      </c>
      <c r="E318" s="590">
        <f>D318-C318</f>
        <v>96826362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0</v>
      </c>
      <c r="D320" s="657">
        <f>D316-D318</f>
        <v>-2</v>
      </c>
      <c r="E320" s="593">
        <f>D320-C320</f>
        <v>-2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6483215</v>
      </c>
      <c r="D324" s="589">
        <f>+D193+D194</f>
        <v>11001686</v>
      </c>
      <c r="E324" s="590">
        <f>D324-C324</f>
        <v>4518471</v>
      </c>
    </row>
    <row r="325" spans="1:5" x14ac:dyDescent="0.2">
      <c r="A325" s="588">
        <v>2</v>
      </c>
      <c r="B325" s="587" t="s">
        <v>865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866</v>
      </c>
      <c r="C326" s="657">
        <f>C324+C325</f>
        <v>6483215</v>
      </c>
      <c r="D326" s="657">
        <f>D324+D325</f>
        <v>11001686</v>
      </c>
      <c r="E326" s="593">
        <f>D326-C326</f>
        <v>4518471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6483215</v>
      </c>
      <c r="D328" s="589">
        <v>11001686</v>
      </c>
      <c r="E328" s="590">
        <f>D328-C328</f>
        <v>4518471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7" fitToHeight="0" orientation="portrait" horizontalDpi="1200" verticalDpi="1200" r:id="rId1"/>
  <headerFooter>
    <oddHeader>_x000D_
                &amp;LOFFICE OF HEALTH CARE ACCESS&amp;CTWELVE MONTHS ACTUAL FILING&amp;RJOHN DEMPSEY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70551390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151635646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71977722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71652252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325470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894989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571912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224508357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295059747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207724851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153670945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104650864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104478208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172656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3070634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2766356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261392443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469117294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278276241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485900800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764177041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39291884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77290861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26879673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26840885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38788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370931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154699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104541465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143833349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114085973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47499859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36798790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36745878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52912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987633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705866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85286282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199372255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153377857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189827747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343205604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2495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3996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2312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2300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12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43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21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6351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8846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1.3859999999999999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1.6297999999999999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1.432054152249135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1.4349000000000001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0.88660000000000005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1.1761999999999999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1.2554000000000001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1.554742024877972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1.5071486095410356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274937974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152517292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122420682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0.44526654582826014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379861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10621825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11001686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22955416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340779258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343205604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343205604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0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343205604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343205604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764177041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764177041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764177043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-2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11001686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11001686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11001686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FILING&amp;RJOHN DEMPSEY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882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227</v>
      </c>
      <c r="D12" s="185">
        <v>140</v>
      </c>
      <c r="E12" s="185">
        <f>+D12-C12</f>
        <v>-87</v>
      </c>
      <c r="F12" s="77">
        <f>IF(C12=0,0,+E12/C12)</f>
        <v>-0.38325991189427311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148</v>
      </c>
      <c r="D13" s="185">
        <v>91</v>
      </c>
      <c r="E13" s="185">
        <f>+D13-C13</f>
        <v>-57</v>
      </c>
      <c r="F13" s="77">
        <f>IF(C13=0,0,+E13/C13)</f>
        <v>-0.38513513513513514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583681</v>
      </c>
      <c r="D15" s="76">
        <v>379861</v>
      </c>
      <c r="E15" s="76">
        <f>+D15-C15</f>
        <v>-203820</v>
      </c>
      <c r="F15" s="77">
        <f>IF(C15=0,0,+E15/C15)</f>
        <v>-0.34919759252057203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3943.7905405405404</v>
      </c>
      <c r="D16" s="79">
        <f>IF(D13=0,0,+D15/+D13)</f>
        <v>4174.2967032967035</v>
      </c>
      <c r="E16" s="79">
        <f>+D16-C16</f>
        <v>230.50616275616312</v>
      </c>
      <c r="F16" s="80">
        <f>IF(C16=0,0,+E16/C16)</f>
        <v>5.8447871505003836E-2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0.49516399999999999</v>
      </c>
      <c r="D18" s="704">
        <v>0.47377000000000002</v>
      </c>
      <c r="E18" s="704">
        <f>+D18-C18</f>
        <v>-2.1393999999999969E-2</v>
      </c>
      <c r="F18" s="77">
        <f>IF(C18=0,0,+E18/C18)</f>
        <v>-4.320588734237539E-2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289017.818684</v>
      </c>
      <c r="D19" s="79">
        <f>+D15*D18</f>
        <v>179966.74597000002</v>
      </c>
      <c r="E19" s="79">
        <f>+D19-C19</f>
        <v>-109051.07271399998</v>
      </c>
      <c r="F19" s="80">
        <f>IF(C19=0,0,+E19/C19)</f>
        <v>-0.37731608802027483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1952.8230992162162</v>
      </c>
      <c r="D20" s="79">
        <f>IF(D13=0,0,+D19/D13)</f>
        <v>1977.6565491208794</v>
      </c>
      <c r="E20" s="79">
        <f>+D20-C20</f>
        <v>24.833449904663212</v>
      </c>
      <c r="F20" s="80">
        <f>IF(C20=0,0,+E20/C20)</f>
        <v>1.2716692010981613E-2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194619</v>
      </c>
      <c r="D22" s="76">
        <v>99312</v>
      </c>
      <c r="E22" s="76">
        <f>+D22-C22</f>
        <v>-95307</v>
      </c>
      <c r="F22" s="77">
        <f>IF(C22=0,0,+E22/C22)</f>
        <v>-0.48971066545404096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219922</v>
      </c>
      <c r="D23" s="185">
        <v>157023</v>
      </c>
      <c r="E23" s="185">
        <f>+D23-C23</f>
        <v>-62899</v>
      </c>
      <c r="F23" s="77">
        <f>IF(C23=0,0,+E23/C23)</f>
        <v>-0.28600594756322695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169140</v>
      </c>
      <c r="D24" s="185">
        <v>123526</v>
      </c>
      <c r="E24" s="185">
        <f>+D24-C24</f>
        <v>-45614</v>
      </c>
      <c r="F24" s="77">
        <f>IF(C24=0,0,+E24/C24)</f>
        <v>-0.26968192030270782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583681</v>
      </c>
      <c r="D25" s="79">
        <f>+D22+D23+D24</f>
        <v>379861</v>
      </c>
      <c r="E25" s="79">
        <f>+E22+E23+E24</f>
        <v>-203820</v>
      </c>
      <c r="F25" s="80">
        <f>IF(C25=0,0,+E25/C25)</f>
        <v>-0.34919759252057203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120</v>
      </c>
      <c r="D27" s="185">
        <v>17</v>
      </c>
      <c r="E27" s="185">
        <f>+D27-C27</f>
        <v>-103</v>
      </c>
      <c r="F27" s="77">
        <f>IF(C27=0,0,+E27/C27)</f>
        <v>-0.85833333333333328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15</v>
      </c>
      <c r="D28" s="185">
        <v>9</v>
      </c>
      <c r="E28" s="185">
        <f>+D28-C28</f>
        <v>-6</v>
      </c>
      <c r="F28" s="77">
        <f>IF(C28=0,0,+E28/C28)</f>
        <v>-0.4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119</v>
      </c>
      <c r="D29" s="185">
        <v>83</v>
      </c>
      <c r="E29" s="185">
        <f>+D29-C29</f>
        <v>-36</v>
      </c>
      <c r="F29" s="77">
        <f>IF(C29=0,0,+E29/C29)</f>
        <v>-0.30252100840336132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554</v>
      </c>
      <c r="D30" s="185">
        <v>273</v>
      </c>
      <c r="E30" s="185">
        <f>+D30-C30</f>
        <v>-281</v>
      </c>
      <c r="F30" s="77">
        <f>IF(C30=0,0,+E30/C30)</f>
        <v>-0.50722021660649819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1670965</v>
      </c>
      <c r="D33" s="76">
        <v>2356240</v>
      </c>
      <c r="E33" s="76">
        <f>+D33-C33</f>
        <v>685275</v>
      </c>
      <c r="F33" s="77">
        <f>IF(C33=0,0,+E33/C33)</f>
        <v>0.41010733318770892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2010407</v>
      </c>
      <c r="D34" s="185">
        <v>3811758</v>
      </c>
      <c r="E34" s="185">
        <f>+D34-C34</f>
        <v>1801351</v>
      </c>
      <c r="F34" s="77">
        <f>IF(C34=0,0,+E34/C34)</f>
        <v>0.89601309585571476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2218162</v>
      </c>
      <c r="D35" s="185">
        <v>4453827</v>
      </c>
      <c r="E35" s="185">
        <f>+D35-C35</f>
        <v>2235665</v>
      </c>
      <c r="F35" s="77">
        <f>IF(C35=0,0,+E35/C35)</f>
        <v>1.0078907672207891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5899534</v>
      </c>
      <c r="D36" s="79">
        <f>+D33+D34+D35</f>
        <v>10621825</v>
      </c>
      <c r="E36" s="79">
        <f>+E33+E34+E35</f>
        <v>4722291</v>
      </c>
      <c r="F36" s="80">
        <f>IF(C36=0,0,+E36/C36)</f>
        <v>0.80045152718841861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583681</v>
      </c>
      <c r="D39" s="76">
        <f>+D25</f>
        <v>379861</v>
      </c>
      <c r="E39" s="76">
        <f>+D39-C39</f>
        <v>-203820</v>
      </c>
      <c r="F39" s="77">
        <f>IF(C39=0,0,+E39/C39)</f>
        <v>-0.34919759252057203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5899534</v>
      </c>
      <c r="D40" s="185">
        <f>+D36</f>
        <v>10621825</v>
      </c>
      <c r="E40" s="185">
        <f>+D40-C40</f>
        <v>4722291</v>
      </c>
      <c r="F40" s="77">
        <f>IF(C40=0,0,+E40/C40)</f>
        <v>0.80045152718841861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6483215</v>
      </c>
      <c r="D41" s="79">
        <f>+D39+D40</f>
        <v>11001686</v>
      </c>
      <c r="E41" s="79">
        <f>+E39+E40</f>
        <v>4518471</v>
      </c>
      <c r="F41" s="80">
        <f>IF(C41=0,0,+E41/C41)</f>
        <v>0.69694912169348078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1865584</v>
      </c>
      <c r="D43" s="76">
        <f t="shared" si="0"/>
        <v>2455552</v>
      </c>
      <c r="E43" s="76">
        <f>+D43-C43</f>
        <v>589968</v>
      </c>
      <c r="F43" s="77">
        <f>IF(C43=0,0,+E43/C43)</f>
        <v>0.31623770358236347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2230329</v>
      </c>
      <c r="D44" s="185">
        <f t="shared" si="0"/>
        <v>3968781</v>
      </c>
      <c r="E44" s="185">
        <f>+D44-C44</f>
        <v>1738452</v>
      </c>
      <c r="F44" s="77">
        <f>IF(C44=0,0,+E44/C44)</f>
        <v>0.77945989134338478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2387302</v>
      </c>
      <c r="D45" s="185">
        <f t="shared" si="0"/>
        <v>4577353</v>
      </c>
      <c r="E45" s="185">
        <f>+D45-C45</f>
        <v>2190051</v>
      </c>
      <c r="F45" s="77">
        <f>IF(C45=0,0,+E45/C45)</f>
        <v>0.91737492784741936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6483215</v>
      </c>
      <c r="D46" s="79">
        <f>+D43+D44+D45</f>
        <v>11001686</v>
      </c>
      <c r="E46" s="79">
        <f>+E43+E44+E45</f>
        <v>4518471</v>
      </c>
      <c r="F46" s="80">
        <f>IF(C46=0,0,+E46/C46)</f>
        <v>0.69694912169348078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911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scale="75" fitToHeight="0" orientation="portrait" horizontalDpi="1200" verticalDpi="1200" r:id="rId1"/>
  <headerFooter>
    <oddHeader>_x000D_
                  &amp;LOFFICE OF HEALTH CARE ACCESS&amp;CTWELVE MONTHS ACTUAL FILING&amp;RJOHN DEMPSEY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912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913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241091573</v>
      </c>
      <c r="D15" s="76">
        <v>274937974</v>
      </c>
      <c r="E15" s="76">
        <f>+D15-C15</f>
        <v>33846401</v>
      </c>
      <c r="F15" s="77">
        <f>IF(C15=0,0,E15/C15)</f>
        <v>0.14038815450426381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115746176</v>
      </c>
      <c r="D17" s="76">
        <v>122420682</v>
      </c>
      <c r="E17" s="76">
        <f>+D17-C17</f>
        <v>6674506</v>
      </c>
      <c r="F17" s="77">
        <f>IF(C17=0,0,E17/C17)</f>
        <v>5.7665023853574221E-2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125345397</v>
      </c>
      <c r="D19" s="79">
        <f>+D15-D17</f>
        <v>152517292</v>
      </c>
      <c r="E19" s="79">
        <f>+D19-C19</f>
        <v>27171895</v>
      </c>
      <c r="F19" s="80">
        <f>IF(C19=0,0,E19/C19)</f>
        <v>0.2167761692916414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0.48009216813231376</v>
      </c>
      <c r="D21" s="720">
        <f>IF(D15=0,0,D17/D15)</f>
        <v>0.44526654582826014</v>
      </c>
      <c r="E21" s="720">
        <f>+D21-C21</f>
        <v>-3.4825622304053616E-2</v>
      </c>
      <c r="F21" s="80">
        <f>IF(C21=0,0,E21/C21)</f>
        <v>-7.253945099653375E-2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fitToHeight="0" orientation="landscape" horizontalDpi="1200" verticalDpi="1200" r:id="rId1"/>
  <headerFooter>
    <oddHeader>&amp;L&amp;12OFFICE OF HEALTH CARE ACCESS&amp;C&amp;12TWELVE MONTHS ACTUAL FILING&amp;R&amp;12JOHN DEMPSEY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257095549</v>
      </c>
      <c r="D10" s="744">
        <v>275367921</v>
      </c>
      <c r="E10" s="744">
        <v>295059747</v>
      </c>
    </row>
    <row r="11" spans="1:6" ht="26.1" customHeight="1" x14ac:dyDescent="0.25">
      <c r="A11" s="742">
        <v>2</v>
      </c>
      <c r="B11" s="743" t="s">
        <v>932</v>
      </c>
      <c r="C11" s="744">
        <v>343726098</v>
      </c>
      <c r="D11" s="744">
        <v>391982760</v>
      </c>
      <c r="E11" s="744">
        <v>469117294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600821647</v>
      </c>
      <c r="D12" s="744">
        <f>+D11+D10</f>
        <v>667350681</v>
      </c>
      <c r="E12" s="744">
        <f>+E11+E10</f>
        <v>764177041</v>
      </c>
    </row>
    <row r="13" spans="1:6" ht="26.1" customHeight="1" x14ac:dyDescent="0.25">
      <c r="A13" s="742">
        <v>4</v>
      </c>
      <c r="B13" s="743" t="s">
        <v>507</v>
      </c>
      <c r="C13" s="744">
        <v>281412882</v>
      </c>
      <c r="D13" s="744">
        <v>286757590</v>
      </c>
      <c r="E13" s="744">
        <v>337300171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309096761</v>
      </c>
      <c r="D16" s="744">
        <v>326572641</v>
      </c>
      <c r="E16" s="744">
        <v>340779258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40704</v>
      </c>
      <c r="D19" s="747">
        <v>38723</v>
      </c>
      <c r="E19" s="747">
        <v>38384</v>
      </c>
    </row>
    <row r="20" spans="1:5" ht="26.1" customHeight="1" x14ac:dyDescent="0.25">
      <c r="A20" s="742">
        <v>2</v>
      </c>
      <c r="B20" s="743" t="s">
        <v>381</v>
      </c>
      <c r="C20" s="748">
        <v>8578</v>
      </c>
      <c r="D20" s="748">
        <v>8669</v>
      </c>
      <c r="E20" s="748">
        <v>8846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4.7451620424341341</v>
      </c>
      <c r="D21" s="749">
        <f>IF(D20=0,0,+D19/D20)</f>
        <v>4.4668358518860307</v>
      </c>
      <c r="E21" s="749">
        <f>IF(E20=0,0,+E19/E20)</f>
        <v>4.3391363328057881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95123.561705410932</v>
      </c>
      <c r="D22" s="748">
        <f>IF(D10=0,0,D19*(D12/D10))</f>
        <v>93844.701759443502</v>
      </c>
      <c r="E22" s="748">
        <f>IF(E10=0,0,E19*(E12/E10))</f>
        <v>99410.956052043242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20046.430628660939</v>
      </c>
      <c r="D23" s="748">
        <f>IF(D10=0,0,D20*(D12/D10))</f>
        <v>21009.212084616782</v>
      </c>
      <c r="E23" s="748">
        <f>IF(E10=0,0,E20*(E12/E10))</f>
        <v>22910.30943196057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1.4601388202378176</v>
      </c>
      <c r="D26" s="750">
        <v>1.4642609412850387</v>
      </c>
      <c r="E26" s="750">
        <v>1.5071486095410356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59433.490538960126</v>
      </c>
      <c r="D27" s="748">
        <f>D19*D26</f>
        <v>56700.576429380555</v>
      </c>
      <c r="E27" s="748">
        <f>E19*E26</f>
        <v>57850.39222862311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12525.0708</v>
      </c>
      <c r="D28" s="748">
        <f>D20*D26</f>
        <v>12693.678100000001</v>
      </c>
      <c r="E28" s="748">
        <f>E20*E26</f>
        <v>13332.2366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138893.60516535796</v>
      </c>
      <c r="D29" s="748">
        <f>D22*D26</f>
        <v>137413.13133289648</v>
      </c>
      <c r="E29" s="748">
        <f>E22*E26</f>
        <v>149827.08418698196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29270.571568112235</v>
      </c>
      <c r="D30" s="748">
        <f>D23*D26</f>
        <v>30762.96866267798</v>
      </c>
      <c r="E30" s="748">
        <f>E23*E26</f>
        <v>34529.241004534248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14760.751940841195</v>
      </c>
      <c r="D33" s="744">
        <f>IF(D19=0,0,D12/D19)</f>
        <v>17233.961237507425</v>
      </c>
      <c r="E33" s="744">
        <f>IF(E19=0,0,E12/E19)</f>
        <v>19908.739083993332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70042.159827465613</v>
      </c>
      <c r="D34" s="744">
        <f>IF(D20=0,0,D12/D20)</f>
        <v>76981.275925712311</v>
      </c>
      <c r="E34" s="744">
        <f>IF(E20=0,0,E12/E20)</f>
        <v>86386.733099706078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6316.2231967374219</v>
      </c>
      <c r="D35" s="744">
        <f>IF(D22=0,0,D12/D22)</f>
        <v>7111.2238462929008</v>
      </c>
      <c r="E35" s="744">
        <f>IF(E22=0,0,E12/E22)</f>
        <v>7687.0505158399337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29971.5025647004</v>
      </c>
      <c r="D36" s="744">
        <f>IF(D23=0,0,D12/D23)</f>
        <v>31764.66962740801</v>
      </c>
      <c r="E36" s="744">
        <f>IF(E23=0,0,E12/E23)</f>
        <v>33355.160185394532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4325.7689674387793</v>
      </c>
      <c r="D37" s="744">
        <f>IF(D29=0,0,D12/D29)</f>
        <v>4856.5277170147519</v>
      </c>
      <c r="E37" s="744">
        <f>IF(E29=0,0,E12/E29)</f>
        <v>5100.3931975764708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20526.474708629994</v>
      </c>
      <c r="D38" s="744">
        <f>IF(D30=0,0,D12/D30)</f>
        <v>21693.312122039712</v>
      </c>
      <c r="E38" s="744">
        <f>IF(E30=0,0,E12/E30)</f>
        <v>22131.301435199552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2702.7536016386944</v>
      </c>
      <c r="D39" s="744">
        <f>IF(D22=0,0,D10/D22)</f>
        <v>2934.2937410133545</v>
      </c>
      <c r="E39" s="744">
        <f>IF(E22=0,0,E10/E22)</f>
        <v>2968.0807701470194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12825.003800548082</v>
      </c>
      <c r="D40" s="744">
        <f>IF(D23=0,0,D10/D23)</f>
        <v>13107.008482323236</v>
      </c>
      <c r="E40" s="744">
        <f>IF(E23=0,0,E10/E23)</f>
        <v>12878.907108447116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6913.6419516509432</v>
      </c>
      <c r="D43" s="744">
        <f>IF(D19=0,0,D13/D19)</f>
        <v>7405.3557317356608</v>
      </c>
      <c r="E43" s="744">
        <f>IF(E19=0,0,E13/E19)</f>
        <v>8787.5200864943727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32806.351363954302</v>
      </c>
      <c r="D44" s="744">
        <f>IF(D20=0,0,D13/D20)</f>
        <v>33078.508478486561</v>
      </c>
      <c r="E44" s="744">
        <f>IF(E20=0,0,E13/E20)</f>
        <v>38130.247682568392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2958.3930306511256</v>
      </c>
      <c r="D45" s="744">
        <f>IF(D22=0,0,D13/D22)</f>
        <v>3055.6609443446164</v>
      </c>
      <c r="E45" s="744">
        <f>IF(E22=0,0,E13/E22)</f>
        <v>3392.9878998791432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14038.054315647405</v>
      </c>
      <c r="D46" s="744">
        <f>IF(D23=0,0,D13/D23)</f>
        <v>13649.135857406458</v>
      </c>
      <c r="E46" s="744">
        <f>IF(E23=0,0,E13/E23)</f>
        <v>14722.637073135997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2026.1039496020539</v>
      </c>
      <c r="D47" s="744">
        <f>IF(D29=0,0,D13/D29)</f>
        <v>2086.8281453051404</v>
      </c>
      <c r="E47" s="744">
        <f>IF(E29=0,0,E13/E29)</f>
        <v>2251.2629998128673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9614.1915556775493</v>
      </c>
      <c r="D48" s="744">
        <f>IF(D30=0,0,D13/D30)</f>
        <v>9321.5187761738325</v>
      </c>
      <c r="E48" s="744">
        <f>IF(E30=0,0,E13/E30)</f>
        <v>9768.5370771893613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7593.7686959512575</v>
      </c>
      <c r="D51" s="744">
        <f>IF(D19=0,0,D16/D19)</f>
        <v>8433.5573431810553</v>
      </c>
      <c r="E51" s="744">
        <f>IF(E19=0,0,E16/E19)</f>
        <v>8878.1590766986246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36033.662975052459</v>
      </c>
      <c r="D52" s="744">
        <f>IF(D20=0,0,D16/D20)</f>
        <v>37671.316299457838</v>
      </c>
      <c r="E52" s="744">
        <f>IF(E20=0,0,E16/E20)</f>
        <v>38523.542618132487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3249.4237543085774</v>
      </c>
      <c r="D53" s="744">
        <f>IF(D22=0,0,D16/D22)</f>
        <v>3479.926249188994</v>
      </c>
      <c r="E53" s="744">
        <f>IF(E22=0,0,E16/E22)</f>
        <v>3427.9849176945504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15419.042258728881</v>
      </c>
      <c r="D54" s="744">
        <f>IF(D23=0,0,D16/D23)</f>
        <v>15544.25933179668</v>
      </c>
      <c r="E54" s="744">
        <f>IF(E23=0,0,E16/E23)</f>
        <v>14874.493904678682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2225.4211101512478</v>
      </c>
      <c r="D55" s="744">
        <f>IF(D29=0,0,D16/D29)</f>
        <v>2376.5752066943769</v>
      </c>
      <c r="E55" s="744">
        <f>IF(E29=0,0,E16/E29)</f>
        <v>2274.4836812996546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10559.983780321334</v>
      </c>
      <c r="D56" s="744">
        <f>IF(D30=0,0,D16/D30)</f>
        <v>10615.771337965898</v>
      </c>
      <c r="E56" s="744">
        <f>IF(E30=0,0,E16/E30)</f>
        <v>9869.2947799011909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35730736</v>
      </c>
      <c r="D59" s="752">
        <v>36895430</v>
      </c>
      <c r="E59" s="752">
        <v>35825105</v>
      </c>
    </row>
    <row r="60" spans="1:6" ht="26.1" customHeight="1" x14ac:dyDescent="0.25">
      <c r="A60" s="742">
        <v>2</v>
      </c>
      <c r="B60" s="743" t="s">
        <v>968</v>
      </c>
      <c r="C60" s="752">
        <v>16166065</v>
      </c>
      <c r="D60" s="752">
        <v>19514370</v>
      </c>
      <c r="E60" s="752">
        <v>19135000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51896801</v>
      </c>
      <c r="D61" s="755">
        <f>D59+D60</f>
        <v>56409800</v>
      </c>
      <c r="E61" s="755">
        <f>E59+E60</f>
        <v>54960105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2771716</v>
      </c>
      <c r="D64" s="744">
        <v>2571218</v>
      </c>
      <c r="E64" s="752">
        <v>3099619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613879</v>
      </c>
      <c r="D65" s="752">
        <v>618052</v>
      </c>
      <c r="E65" s="752">
        <v>756287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3385595</v>
      </c>
      <c r="D66" s="757">
        <f>D64+D65</f>
        <v>3189270</v>
      </c>
      <c r="E66" s="757">
        <f>E64+E65</f>
        <v>3855906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71634404</v>
      </c>
      <c r="D69" s="752">
        <v>65156560</v>
      </c>
      <c r="E69" s="752">
        <v>68386128</v>
      </c>
    </row>
    <row r="70" spans="1:6" ht="26.1" customHeight="1" x14ac:dyDescent="0.25">
      <c r="A70" s="742">
        <v>2</v>
      </c>
      <c r="B70" s="743" t="s">
        <v>976</v>
      </c>
      <c r="C70" s="752">
        <v>33994236</v>
      </c>
      <c r="D70" s="752">
        <v>35596592</v>
      </c>
      <c r="E70" s="752">
        <v>37538515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105628640</v>
      </c>
      <c r="D71" s="755">
        <f>D69+D70</f>
        <v>100753152</v>
      </c>
      <c r="E71" s="755">
        <f>E69+E70</f>
        <v>105924643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110136856</v>
      </c>
      <c r="D75" s="744">
        <f t="shared" si="0"/>
        <v>104623208</v>
      </c>
      <c r="E75" s="744">
        <f t="shared" si="0"/>
        <v>107310852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50774180</v>
      </c>
      <c r="D76" s="744">
        <f t="shared" si="0"/>
        <v>55729014</v>
      </c>
      <c r="E76" s="744">
        <f t="shared" si="0"/>
        <v>57429802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160911036</v>
      </c>
      <c r="D77" s="757">
        <f>D75+D76</f>
        <v>160352222</v>
      </c>
      <c r="E77" s="757">
        <f>E75+E76</f>
        <v>164740654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640</v>
      </c>
      <c r="D80" s="749">
        <v>603.79999999999995</v>
      </c>
      <c r="E80" s="749">
        <v>558.5</v>
      </c>
    </row>
    <row r="81" spans="1:5" ht="26.1" customHeight="1" x14ac:dyDescent="0.25">
      <c r="A81" s="742">
        <v>2</v>
      </c>
      <c r="B81" s="743" t="s">
        <v>617</v>
      </c>
      <c r="C81" s="749">
        <v>42.7</v>
      </c>
      <c r="D81" s="749">
        <v>36.1</v>
      </c>
      <c r="E81" s="749">
        <v>37.9</v>
      </c>
    </row>
    <row r="82" spans="1:5" ht="26.1" customHeight="1" x14ac:dyDescent="0.25">
      <c r="A82" s="742">
        <v>3</v>
      </c>
      <c r="B82" s="743" t="s">
        <v>982</v>
      </c>
      <c r="C82" s="749">
        <v>910</v>
      </c>
      <c r="D82" s="749">
        <v>663.9</v>
      </c>
      <c r="E82" s="749">
        <v>687.4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1592.7</v>
      </c>
      <c r="D83" s="759">
        <f>D80+D81+D82</f>
        <v>1303.8</v>
      </c>
      <c r="E83" s="759">
        <f>E80+E81+E82</f>
        <v>1283.8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55829.275000000001</v>
      </c>
      <c r="D86" s="752">
        <f>IF(D80=0,0,D59/D80)</f>
        <v>61105.382577012264</v>
      </c>
      <c r="E86" s="752">
        <f>IF(E80=0,0,E59/E80)</f>
        <v>64145.219337511189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25259.4765625</v>
      </c>
      <c r="D87" s="752">
        <f>IF(D80=0,0,D60/D80)</f>
        <v>32319.261344816168</v>
      </c>
      <c r="E87" s="752">
        <f>IF(E80=0,0,E60/E80)</f>
        <v>34261.41450313339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81088.751562499994</v>
      </c>
      <c r="D88" s="755">
        <f>+D86+D87</f>
        <v>93424.643921828436</v>
      </c>
      <c r="E88" s="755">
        <f>+E86+E87</f>
        <v>98406.633840644587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64911.381733021073</v>
      </c>
      <c r="D91" s="744">
        <f>IF(D81=0,0,D64/D81)</f>
        <v>71224.875346260378</v>
      </c>
      <c r="E91" s="744">
        <f>IF(E81=0,0,E64/E81)</f>
        <v>81784.142480211085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14376.557377049179</v>
      </c>
      <c r="D92" s="744">
        <f>IF(D81=0,0,D65/D81)</f>
        <v>17120.554016620499</v>
      </c>
      <c r="E92" s="744">
        <f>IF(E81=0,0,E65/E81)</f>
        <v>19954.802110817942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79287.939110070249</v>
      </c>
      <c r="D93" s="757">
        <f>+D91+D92</f>
        <v>88345.429362880881</v>
      </c>
      <c r="E93" s="757">
        <f>+E91+E92</f>
        <v>101738.94459102902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78719.125274725273</v>
      </c>
      <c r="D96" s="752">
        <f>IF(D82=0,0,D69/D82)</f>
        <v>98142.129838831155</v>
      </c>
      <c r="E96" s="752">
        <f>IF(E82=0,0,E69/E82)</f>
        <v>99485.202211230731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37356.3032967033</v>
      </c>
      <c r="D97" s="752">
        <f>IF(D82=0,0,D70/D82)</f>
        <v>53617.40021087513</v>
      </c>
      <c r="E97" s="752">
        <f>IF(E82=0,0,E70/E82)</f>
        <v>54609.419551934829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116075.42857142858</v>
      </c>
      <c r="D98" s="757">
        <f>+D96+D97</f>
        <v>151759.53004970629</v>
      </c>
      <c r="E98" s="757">
        <f>+E96+E97</f>
        <v>154094.62176316557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69151.036604508059</v>
      </c>
      <c r="D101" s="744">
        <f>IF(D83=0,0,D75/D83)</f>
        <v>80244.828961497158</v>
      </c>
      <c r="E101" s="744">
        <f>IF(E83=0,0,E75/E83)</f>
        <v>83588.44991431688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31879.311860362905</v>
      </c>
      <c r="D102" s="761">
        <f>IF(D83=0,0,D76/D83)</f>
        <v>42743.529682466637</v>
      </c>
      <c r="E102" s="761">
        <f>IF(E83=0,0,E76/E83)</f>
        <v>44734.228072908554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101030.34846487097</v>
      </c>
      <c r="D103" s="757">
        <f>+D101+D102</f>
        <v>122988.35864396379</v>
      </c>
      <c r="E103" s="757">
        <f>+E101+E102</f>
        <v>128322.67798722544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3953.199587264151</v>
      </c>
      <c r="D108" s="744">
        <f>IF(D19=0,0,D77/D19)</f>
        <v>4141.0072050202725</v>
      </c>
      <c r="E108" s="744">
        <f>IF(E19=0,0,E77/E19)</f>
        <v>4291.9094935389749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18758.572627652135</v>
      </c>
      <c r="D109" s="744">
        <f>IF(D20=0,0,D77/D20)</f>
        <v>18497.199446302919</v>
      </c>
      <c r="E109" s="744">
        <f>IF(E20=0,0,E77/E20)</f>
        <v>18623.180420529054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1691.600199941282</v>
      </c>
      <c r="D110" s="744">
        <f>IF(D22=0,0,D77/D22)</f>
        <v>1708.6976568057974</v>
      </c>
      <c r="E110" s="744">
        <f>IF(E22=0,0,E77/E22)</f>
        <v>1657.1679877392548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8026.9170597353632</v>
      </c>
      <c r="D111" s="744">
        <f>IF(D23=0,0,D77/D23)</f>
        <v>7632.471953453789</v>
      </c>
      <c r="E111" s="744">
        <f>IF(E23=0,0,E77/E23)</f>
        <v>7190.6778251620572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1158.5201191115277</v>
      </c>
      <c r="D112" s="744">
        <f>IF(D29=0,0,D77/D29)</f>
        <v>1166.9352153218267</v>
      </c>
      <c r="E112" s="744">
        <f>IF(E29=0,0,E77/E29)</f>
        <v>1099.5385440085461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5497.3656946042938</v>
      </c>
      <c r="D113" s="744">
        <f>IF(D30=0,0,D77/D30)</f>
        <v>5212.5080566278812</v>
      </c>
      <c r="E113" s="744">
        <f>IF(E30=0,0,E77/E30)</f>
        <v>4771.0476456278575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scale="68" fitToHeight="0" orientation="portrait" horizontalDpi="1200" verticalDpi="1200" r:id="rId1"/>
  <headerFooter>
    <oddHeader>&amp;L&amp;"Arial,Bold"&amp;12OFFICE OF HEALTH CARE ACCESS&amp;C&amp;"Arial,Bold"&amp;12TWELVE MONTHS ACTUAL FILING&amp;R&amp;"Arial,Bold"&amp;12JOHN DEMPSEY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649596982</v>
      </c>
      <c r="D12" s="76">
        <v>740812802</v>
      </c>
      <c r="E12" s="76">
        <f t="shared" ref="E12:E21" si="0">D12-C12</f>
        <v>91215820</v>
      </c>
      <c r="F12" s="77">
        <f t="shared" ref="F12:F21" si="1">IF(C12=0,0,E12/C12)</f>
        <v>0.14041909449634726</v>
      </c>
    </row>
    <row r="13" spans="1:8" ht="23.1" customHeight="1" x14ac:dyDescent="0.2">
      <c r="A13" s="74">
        <v>2</v>
      </c>
      <c r="B13" s="75" t="s">
        <v>72</v>
      </c>
      <c r="C13" s="76">
        <v>356832314</v>
      </c>
      <c r="D13" s="76">
        <v>393780093</v>
      </c>
      <c r="E13" s="76">
        <f t="shared" si="0"/>
        <v>36947779</v>
      </c>
      <c r="F13" s="77">
        <f t="shared" si="1"/>
        <v>0.10354381470059351</v>
      </c>
    </row>
    <row r="14" spans="1:8" ht="23.1" customHeight="1" x14ac:dyDescent="0.2">
      <c r="A14" s="74">
        <v>3</v>
      </c>
      <c r="B14" s="75" t="s">
        <v>73</v>
      </c>
      <c r="C14" s="76">
        <v>629512</v>
      </c>
      <c r="D14" s="76">
        <v>327517</v>
      </c>
      <c r="E14" s="76">
        <f t="shared" si="0"/>
        <v>-301995</v>
      </c>
      <c r="F14" s="77">
        <f t="shared" si="1"/>
        <v>-0.47972874226384882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292135156</v>
      </c>
      <c r="D16" s="79">
        <f>D12-D13-D14-D15</f>
        <v>346705192</v>
      </c>
      <c r="E16" s="79">
        <f t="shared" si="0"/>
        <v>54570036</v>
      </c>
      <c r="F16" s="80">
        <f t="shared" si="1"/>
        <v>0.18679722340573074</v>
      </c>
    </row>
    <row r="17" spans="1:7" ht="23.1" customHeight="1" x14ac:dyDescent="0.2">
      <c r="A17" s="74">
        <v>5</v>
      </c>
      <c r="B17" s="75" t="s">
        <v>76</v>
      </c>
      <c r="C17" s="76">
        <v>5377566</v>
      </c>
      <c r="D17" s="76">
        <v>9405021</v>
      </c>
      <c r="E17" s="76">
        <f t="shared" si="0"/>
        <v>4027455</v>
      </c>
      <c r="F17" s="77">
        <f t="shared" si="1"/>
        <v>0.74893641472740646</v>
      </c>
      <c r="G17" s="65"/>
    </row>
    <row r="18" spans="1:7" ht="31.5" customHeight="1" x14ac:dyDescent="0.25">
      <c r="A18" s="71"/>
      <c r="B18" s="81" t="s">
        <v>77</v>
      </c>
      <c r="C18" s="79">
        <f>C16-C17</f>
        <v>286757590</v>
      </c>
      <c r="D18" s="79">
        <f>D16-D17</f>
        <v>337300171</v>
      </c>
      <c r="E18" s="79">
        <f t="shared" si="0"/>
        <v>50542581</v>
      </c>
      <c r="F18" s="80">
        <f t="shared" si="1"/>
        <v>0.17625542535770369</v>
      </c>
    </row>
    <row r="19" spans="1:7" ht="23.1" customHeight="1" x14ac:dyDescent="0.2">
      <c r="A19" s="74">
        <v>6</v>
      </c>
      <c r="B19" s="75" t="s">
        <v>78</v>
      </c>
      <c r="C19" s="76">
        <v>21955590</v>
      </c>
      <c r="D19" s="76">
        <v>22995416</v>
      </c>
      <c r="E19" s="76">
        <f t="shared" si="0"/>
        <v>1039826</v>
      </c>
      <c r="F19" s="77">
        <f t="shared" si="1"/>
        <v>4.7360421651160368E-2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308713180</v>
      </c>
      <c r="D21" s="79">
        <f>SUM(D18:D20)</f>
        <v>360295587</v>
      </c>
      <c r="E21" s="79">
        <f t="shared" si="0"/>
        <v>51582407</v>
      </c>
      <c r="F21" s="80">
        <f t="shared" si="1"/>
        <v>0.16708845083970825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104623208</v>
      </c>
      <c r="D24" s="76">
        <v>107310852</v>
      </c>
      <c r="E24" s="76">
        <f t="shared" ref="E24:E33" si="2">D24-C24</f>
        <v>2687644</v>
      </c>
      <c r="F24" s="77">
        <f t="shared" ref="F24:F33" si="3">IF(C24=0,0,E24/C24)</f>
        <v>2.5688793637449924E-2</v>
      </c>
    </row>
    <row r="25" spans="1:7" ht="23.1" customHeight="1" x14ac:dyDescent="0.2">
      <c r="A25" s="74">
        <v>2</v>
      </c>
      <c r="B25" s="75" t="s">
        <v>83</v>
      </c>
      <c r="C25" s="76">
        <v>55729014</v>
      </c>
      <c r="D25" s="76">
        <v>57429802</v>
      </c>
      <c r="E25" s="76">
        <f t="shared" si="2"/>
        <v>1700788</v>
      </c>
      <c r="F25" s="77">
        <f t="shared" si="3"/>
        <v>3.0518896314942878E-2</v>
      </c>
    </row>
    <row r="26" spans="1:7" ht="23.1" customHeight="1" x14ac:dyDescent="0.2">
      <c r="A26" s="74">
        <v>3</v>
      </c>
      <c r="B26" s="75" t="s">
        <v>84</v>
      </c>
      <c r="C26" s="76">
        <v>20183070</v>
      </c>
      <c r="D26" s="76">
        <v>23033317</v>
      </c>
      <c r="E26" s="76">
        <f t="shared" si="2"/>
        <v>2850247</v>
      </c>
      <c r="F26" s="77">
        <f t="shared" si="3"/>
        <v>0.14121969551708438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54445527</v>
      </c>
      <c r="D27" s="76">
        <v>58778144</v>
      </c>
      <c r="E27" s="76">
        <f t="shared" si="2"/>
        <v>4332617</v>
      </c>
      <c r="F27" s="77">
        <f t="shared" si="3"/>
        <v>7.9577097306818251E-2</v>
      </c>
    </row>
    <row r="28" spans="1:7" ht="23.1" customHeight="1" x14ac:dyDescent="0.2">
      <c r="A28" s="74">
        <v>5</v>
      </c>
      <c r="B28" s="75" t="s">
        <v>86</v>
      </c>
      <c r="C28" s="76">
        <v>8906755</v>
      </c>
      <c r="D28" s="76">
        <v>7879044</v>
      </c>
      <c r="E28" s="76">
        <f t="shared" si="2"/>
        <v>-1027711</v>
      </c>
      <c r="F28" s="77">
        <f t="shared" si="3"/>
        <v>-0.115385569716468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0</v>
      </c>
      <c r="D30" s="76">
        <v>0</v>
      </c>
      <c r="E30" s="76">
        <f t="shared" si="2"/>
        <v>0</v>
      </c>
      <c r="F30" s="77">
        <f t="shared" si="3"/>
        <v>0</v>
      </c>
    </row>
    <row r="31" spans="1:7" ht="23.1" customHeight="1" x14ac:dyDescent="0.2">
      <c r="A31" s="74">
        <v>8</v>
      </c>
      <c r="B31" s="75" t="s">
        <v>89</v>
      </c>
      <c r="C31" s="76">
        <v>3128114</v>
      </c>
      <c r="D31" s="76">
        <v>3128114</v>
      </c>
      <c r="E31" s="76">
        <f t="shared" si="2"/>
        <v>0</v>
      </c>
      <c r="F31" s="77">
        <f t="shared" si="3"/>
        <v>0</v>
      </c>
    </row>
    <row r="32" spans="1:7" ht="23.1" customHeight="1" x14ac:dyDescent="0.2">
      <c r="A32" s="74">
        <v>9</v>
      </c>
      <c r="B32" s="75" t="s">
        <v>90</v>
      </c>
      <c r="C32" s="76">
        <v>79556953</v>
      </c>
      <c r="D32" s="76">
        <v>83219985</v>
      </c>
      <c r="E32" s="76">
        <f t="shared" si="2"/>
        <v>3663032</v>
      </c>
      <c r="F32" s="77">
        <f t="shared" si="3"/>
        <v>4.6042889551086756E-2</v>
      </c>
    </row>
    <row r="33" spans="1:6" ht="23.1" customHeight="1" x14ac:dyDescent="0.25">
      <c r="A33" s="71"/>
      <c r="B33" s="78" t="s">
        <v>91</v>
      </c>
      <c r="C33" s="79">
        <f>SUM(C24:C32)</f>
        <v>326572641</v>
      </c>
      <c r="D33" s="79">
        <f>SUM(D24:D32)</f>
        <v>340779258</v>
      </c>
      <c r="E33" s="79">
        <f t="shared" si="2"/>
        <v>14206617</v>
      </c>
      <c r="F33" s="80">
        <f t="shared" si="3"/>
        <v>4.3502165265583287E-2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-17859461</v>
      </c>
      <c r="D35" s="79">
        <f>+D21-D33</f>
        <v>19516329</v>
      </c>
      <c r="E35" s="79">
        <f>D35-C35</f>
        <v>37375790</v>
      </c>
      <c r="F35" s="80">
        <f>IF(C35=0,0,E35/C35)</f>
        <v>-2.092772564636749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2</v>
      </c>
      <c r="B39" s="75" t="s">
        <v>95</v>
      </c>
      <c r="C39" s="76">
        <v>550000</v>
      </c>
      <c r="D39" s="76">
        <v>550000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-136094</v>
      </c>
      <c r="D40" s="76">
        <v>-350209</v>
      </c>
      <c r="E40" s="76">
        <f>D40-C40</f>
        <v>-214115</v>
      </c>
      <c r="F40" s="77">
        <f>IF(C40=0,0,E40/C40)</f>
        <v>1.5732875806427911</v>
      </c>
    </row>
    <row r="41" spans="1:6" ht="23.1" customHeight="1" x14ac:dyDescent="0.25">
      <c r="A41" s="83"/>
      <c r="B41" s="78" t="s">
        <v>97</v>
      </c>
      <c r="C41" s="79">
        <f>SUM(C38:C40)</f>
        <v>413906</v>
      </c>
      <c r="D41" s="79">
        <f>SUM(D38:D40)</f>
        <v>199791</v>
      </c>
      <c r="E41" s="79">
        <f>D41-C41</f>
        <v>-214115</v>
      </c>
      <c r="F41" s="80">
        <f>IF(C41=0,0,E41/C41)</f>
        <v>-0.5173034457098955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-17445555</v>
      </c>
      <c r="D43" s="79">
        <f>D35+D41</f>
        <v>19716120</v>
      </c>
      <c r="E43" s="79">
        <f>D43-C43</f>
        <v>37161675</v>
      </c>
      <c r="F43" s="80">
        <f>IF(C43=0,0,E43/C43)</f>
        <v>-2.1301514913111106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9125986</v>
      </c>
      <c r="D47" s="76">
        <v>8002293</v>
      </c>
      <c r="E47" s="76">
        <f>D47-C47</f>
        <v>-1123693</v>
      </c>
      <c r="F47" s="77">
        <f>IF(C47=0,0,E47/C47)</f>
        <v>-0.12313113344684071</v>
      </c>
    </row>
    <row r="48" spans="1:6" ht="23.1" customHeight="1" x14ac:dyDescent="0.25">
      <c r="A48" s="83"/>
      <c r="B48" s="78" t="s">
        <v>102</v>
      </c>
      <c r="C48" s="79">
        <f>SUM(C46:C47)</f>
        <v>9125986</v>
      </c>
      <c r="D48" s="79">
        <f>SUM(D46:D47)</f>
        <v>8002293</v>
      </c>
      <c r="E48" s="79">
        <f>D48-C48</f>
        <v>-1123693</v>
      </c>
      <c r="F48" s="80">
        <f>IF(C48=0,0,E48/C48)</f>
        <v>-0.12313113344684071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-8319569</v>
      </c>
      <c r="D50" s="79">
        <f>D43+D48</f>
        <v>27718413</v>
      </c>
      <c r="E50" s="79">
        <f>D50-C50</f>
        <v>36037982</v>
      </c>
      <c r="F50" s="80">
        <f>IF(C50=0,0,E50/C50)</f>
        <v>-4.3317126163626982</v>
      </c>
    </row>
    <row r="51" spans="1:6" ht="23.1" customHeight="1" x14ac:dyDescent="0.2">
      <c r="A51" s="85"/>
      <c r="B51" s="75" t="s">
        <v>104</v>
      </c>
      <c r="C51" s="76">
        <v>1</v>
      </c>
      <c r="D51" s="76">
        <v>1</v>
      </c>
      <c r="E51" s="76">
        <f>D51-C51</f>
        <v>0</v>
      </c>
      <c r="F51" s="77">
        <f>IF(C51=0,0,E51/C51)</f>
        <v>0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FILING&amp;RJOHN DEMPSEY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110796900</v>
      </c>
      <c r="D14" s="113">
        <v>120575635</v>
      </c>
      <c r="E14" s="113">
        <f t="shared" ref="E14:E25" si="0">D14-C14</f>
        <v>9778735</v>
      </c>
      <c r="F14" s="114">
        <f t="shared" ref="F14:F25" si="1">IF(C14=0,0,E14/C14)</f>
        <v>8.8258200364811648E-2</v>
      </c>
    </row>
    <row r="15" spans="1:6" x14ac:dyDescent="0.2">
      <c r="A15" s="115">
        <v>2</v>
      </c>
      <c r="B15" s="116" t="s">
        <v>114</v>
      </c>
      <c r="C15" s="113">
        <v>32892569</v>
      </c>
      <c r="D15" s="113">
        <v>31060011</v>
      </c>
      <c r="E15" s="113">
        <f t="shared" si="0"/>
        <v>-1832558</v>
      </c>
      <c r="F15" s="114">
        <f t="shared" si="1"/>
        <v>-5.5713434849068801E-2</v>
      </c>
    </row>
    <row r="16" spans="1:6" x14ac:dyDescent="0.2">
      <c r="A16" s="115">
        <v>3</v>
      </c>
      <c r="B16" s="116" t="s">
        <v>115</v>
      </c>
      <c r="C16" s="113">
        <v>65206770</v>
      </c>
      <c r="D16" s="113">
        <v>71652252</v>
      </c>
      <c r="E16" s="113">
        <f t="shared" si="0"/>
        <v>6445482</v>
      </c>
      <c r="F16" s="114">
        <f t="shared" si="1"/>
        <v>9.8846822193462427E-2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903866</v>
      </c>
      <c r="D18" s="113">
        <v>894989</v>
      </c>
      <c r="E18" s="113">
        <f t="shared" si="0"/>
        <v>-8877</v>
      </c>
      <c r="F18" s="114">
        <f t="shared" si="1"/>
        <v>-9.8211460548355625E-3</v>
      </c>
    </row>
    <row r="19" spans="1:6" x14ac:dyDescent="0.2">
      <c r="A19" s="115">
        <v>6</v>
      </c>
      <c r="B19" s="116" t="s">
        <v>118</v>
      </c>
      <c r="C19" s="113">
        <v>564115</v>
      </c>
      <c r="D19" s="113">
        <v>392342</v>
      </c>
      <c r="E19" s="113">
        <f t="shared" si="0"/>
        <v>-171773</v>
      </c>
      <c r="F19" s="114">
        <f t="shared" si="1"/>
        <v>-0.30449996897795661</v>
      </c>
    </row>
    <row r="20" spans="1:6" x14ac:dyDescent="0.2">
      <c r="A20" s="115">
        <v>7</v>
      </c>
      <c r="B20" s="116" t="s">
        <v>119</v>
      </c>
      <c r="C20" s="113">
        <v>61871206</v>
      </c>
      <c r="D20" s="113">
        <v>68266938</v>
      </c>
      <c r="E20" s="113">
        <f t="shared" si="0"/>
        <v>6395732</v>
      </c>
      <c r="F20" s="114">
        <f t="shared" si="1"/>
        <v>0.1033717041170977</v>
      </c>
    </row>
    <row r="21" spans="1:6" x14ac:dyDescent="0.2">
      <c r="A21" s="115">
        <v>8</v>
      </c>
      <c r="B21" s="116" t="s">
        <v>120</v>
      </c>
      <c r="C21" s="113">
        <v>2083108</v>
      </c>
      <c r="D21" s="113">
        <v>1320198</v>
      </c>
      <c r="E21" s="113">
        <f t="shared" si="0"/>
        <v>-762910</v>
      </c>
      <c r="F21" s="114">
        <f t="shared" si="1"/>
        <v>-0.36623641213033603</v>
      </c>
    </row>
    <row r="22" spans="1:6" x14ac:dyDescent="0.2">
      <c r="A22" s="115">
        <v>9</v>
      </c>
      <c r="B22" s="116" t="s">
        <v>121</v>
      </c>
      <c r="C22" s="113">
        <v>976305</v>
      </c>
      <c r="D22" s="113">
        <v>571912</v>
      </c>
      <c r="E22" s="113">
        <f t="shared" si="0"/>
        <v>-404393</v>
      </c>
      <c r="F22" s="114">
        <f t="shared" si="1"/>
        <v>-0.41420765027322404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73082</v>
      </c>
      <c r="D24" s="113">
        <v>325470</v>
      </c>
      <c r="E24" s="113">
        <f t="shared" si="0"/>
        <v>252388</v>
      </c>
      <c r="F24" s="114">
        <f t="shared" si="1"/>
        <v>3.4534905996004488</v>
      </c>
    </row>
    <row r="25" spans="1:6" ht="15.75" x14ac:dyDescent="0.25">
      <c r="A25" s="117"/>
      <c r="B25" s="118" t="s">
        <v>124</v>
      </c>
      <c r="C25" s="119">
        <f>SUM(C14:C24)</f>
        <v>275367921</v>
      </c>
      <c r="D25" s="119">
        <f>SUM(D14:D24)</f>
        <v>295059747</v>
      </c>
      <c r="E25" s="119">
        <f t="shared" si="0"/>
        <v>19691826</v>
      </c>
      <c r="F25" s="120">
        <f t="shared" si="1"/>
        <v>7.1510965868823911E-2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102618576</v>
      </c>
      <c r="D27" s="113">
        <v>118521715</v>
      </c>
      <c r="E27" s="113">
        <f t="shared" ref="E27:E38" si="2">D27-C27</f>
        <v>15903139</v>
      </c>
      <c r="F27" s="114">
        <f t="shared" ref="F27:F38" si="3">IF(C27=0,0,E27/C27)</f>
        <v>0.15497329645268124</v>
      </c>
    </row>
    <row r="28" spans="1:6" x14ac:dyDescent="0.2">
      <c r="A28" s="115">
        <v>2</v>
      </c>
      <c r="B28" s="116" t="s">
        <v>114</v>
      </c>
      <c r="C28" s="113">
        <v>28224105</v>
      </c>
      <c r="D28" s="113">
        <v>35149230</v>
      </c>
      <c r="E28" s="113">
        <f t="shared" si="2"/>
        <v>6925125</v>
      </c>
      <c r="F28" s="114">
        <f t="shared" si="3"/>
        <v>0.24536207614023545</v>
      </c>
    </row>
    <row r="29" spans="1:6" x14ac:dyDescent="0.2">
      <c r="A29" s="115">
        <v>3</v>
      </c>
      <c r="B29" s="116" t="s">
        <v>115</v>
      </c>
      <c r="C29" s="113">
        <v>79190281</v>
      </c>
      <c r="D29" s="113">
        <v>104478208</v>
      </c>
      <c r="E29" s="113">
        <f t="shared" si="2"/>
        <v>25287927</v>
      </c>
      <c r="F29" s="114">
        <f t="shared" si="3"/>
        <v>0.31933119419035777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2211538</v>
      </c>
      <c r="D31" s="113">
        <v>3070634</v>
      </c>
      <c r="E31" s="113">
        <f t="shared" si="2"/>
        <v>859096</v>
      </c>
      <c r="F31" s="114">
        <f t="shared" si="3"/>
        <v>0.38846088107009691</v>
      </c>
    </row>
    <row r="32" spans="1:6" x14ac:dyDescent="0.2">
      <c r="A32" s="115">
        <v>6</v>
      </c>
      <c r="B32" s="116" t="s">
        <v>118</v>
      </c>
      <c r="C32" s="113">
        <v>865891</v>
      </c>
      <c r="D32" s="113">
        <v>897981</v>
      </c>
      <c r="E32" s="113">
        <f t="shared" si="2"/>
        <v>32090</v>
      </c>
      <c r="F32" s="114">
        <f t="shared" si="3"/>
        <v>3.7060091859137008E-2</v>
      </c>
    </row>
    <row r="33" spans="1:6" x14ac:dyDescent="0.2">
      <c r="A33" s="115">
        <v>7</v>
      </c>
      <c r="B33" s="116" t="s">
        <v>119</v>
      </c>
      <c r="C33" s="113">
        <v>171564850</v>
      </c>
      <c r="D33" s="113">
        <v>199596595</v>
      </c>
      <c r="E33" s="113">
        <f t="shared" si="2"/>
        <v>28031745</v>
      </c>
      <c r="F33" s="114">
        <f t="shared" si="3"/>
        <v>0.16338862535070559</v>
      </c>
    </row>
    <row r="34" spans="1:6" x14ac:dyDescent="0.2">
      <c r="A34" s="115">
        <v>8</v>
      </c>
      <c r="B34" s="116" t="s">
        <v>120</v>
      </c>
      <c r="C34" s="113">
        <v>4142403</v>
      </c>
      <c r="D34" s="113">
        <v>4463919</v>
      </c>
      <c r="E34" s="113">
        <f t="shared" si="2"/>
        <v>321516</v>
      </c>
      <c r="F34" s="114">
        <f t="shared" si="3"/>
        <v>7.761581864439554E-2</v>
      </c>
    </row>
    <row r="35" spans="1:6" x14ac:dyDescent="0.2">
      <c r="A35" s="115">
        <v>9</v>
      </c>
      <c r="B35" s="116" t="s">
        <v>121</v>
      </c>
      <c r="C35" s="113">
        <v>2995796</v>
      </c>
      <c r="D35" s="113">
        <v>2766356</v>
      </c>
      <c r="E35" s="113">
        <f t="shared" si="2"/>
        <v>-229440</v>
      </c>
      <c r="F35" s="114">
        <f t="shared" si="3"/>
        <v>-7.6587324370551269E-2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169320</v>
      </c>
      <c r="D37" s="113">
        <v>172656</v>
      </c>
      <c r="E37" s="113">
        <f t="shared" si="2"/>
        <v>3336</v>
      </c>
      <c r="F37" s="114">
        <f t="shared" si="3"/>
        <v>1.9702338766832035E-2</v>
      </c>
    </row>
    <row r="38" spans="1:6" ht="15.75" x14ac:dyDescent="0.25">
      <c r="A38" s="117"/>
      <c r="B38" s="118" t="s">
        <v>126</v>
      </c>
      <c r="C38" s="119">
        <f>SUM(C27:C37)</f>
        <v>391982760</v>
      </c>
      <c r="D38" s="119">
        <f>SUM(D27:D37)</f>
        <v>469117294</v>
      </c>
      <c r="E38" s="119">
        <f t="shared" si="2"/>
        <v>77134534</v>
      </c>
      <c r="F38" s="120">
        <f t="shared" si="3"/>
        <v>0.19678042473092439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213415476</v>
      </c>
      <c r="D41" s="119">
        <f t="shared" si="4"/>
        <v>239097350</v>
      </c>
      <c r="E41" s="123">
        <f t="shared" ref="E41:E52" si="5">D41-C41</f>
        <v>25681874</v>
      </c>
      <c r="F41" s="124">
        <f t="shared" ref="F41:F52" si="6">IF(C41=0,0,E41/C41)</f>
        <v>0.12033744919229757</v>
      </c>
    </row>
    <row r="42" spans="1:6" ht="15.75" x14ac:dyDescent="0.25">
      <c r="A42" s="121">
        <v>2</v>
      </c>
      <c r="B42" s="122" t="s">
        <v>114</v>
      </c>
      <c r="C42" s="119">
        <f t="shared" si="4"/>
        <v>61116674</v>
      </c>
      <c r="D42" s="119">
        <f t="shared" si="4"/>
        <v>66209241</v>
      </c>
      <c r="E42" s="123">
        <f t="shared" si="5"/>
        <v>5092567</v>
      </c>
      <c r="F42" s="124">
        <f t="shared" si="6"/>
        <v>8.3325329516458962E-2</v>
      </c>
    </row>
    <row r="43" spans="1:6" ht="15.75" x14ac:dyDescent="0.25">
      <c r="A43" s="121">
        <v>3</v>
      </c>
      <c r="B43" s="122" t="s">
        <v>115</v>
      </c>
      <c r="C43" s="119">
        <f t="shared" si="4"/>
        <v>144397051</v>
      </c>
      <c r="D43" s="119">
        <f t="shared" si="4"/>
        <v>176130460</v>
      </c>
      <c r="E43" s="123">
        <f t="shared" si="5"/>
        <v>31733409</v>
      </c>
      <c r="F43" s="124">
        <f t="shared" si="6"/>
        <v>0.2197649382742588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3115404</v>
      </c>
      <c r="D45" s="119">
        <f t="shared" si="4"/>
        <v>3965623</v>
      </c>
      <c r="E45" s="123">
        <f t="shared" si="5"/>
        <v>850219</v>
      </c>
      <c r="F45" s="124">
        <f t="shared" si="6"/>
        <v>0.27290810437426416</v>
      </c>
    </row>
    <row r="46" spans="1:6" ht="15.75" x14ac:dyDescent="0.25">
      <c r="A46" s="121">
        <v>6</v>
      </c>
      <c r="B46" s="122" t="s">
        <v>118</v>
      </c>
      <c r="C46" s="119">
        <f t="shared" si="4"/>
        <v>1430006</v>
      </c>
      <c r="D46" s="119">
        <f t="shared" si="4"/>
        <v>1290323</v>
      </c>
      <c r="E46" s="123">
        <f t="shared" si="5"/>
        <v>-139683</v>
      </c>
      <c r="F46" s="124">
        <f t="shared" si="6"/>
        <v>-9.7680009734224887E-2</v>
      </c>
    </row>
    <row r="47" spans="1:6" ht="15.75" x14ac:dyDescent="0.25">
      <c r="A47" s="121">
        <v>7</v>
      </c>
      <c r="B47" s="122" t="s">
        <v>119</v>
      </c>
      <c r="C47" s="119">
        <f t="shared" si="4"/>
        <v>233436056</v>
      </c>
      <c r="D47" s="119">
        <f t="shared" si="4"/>
        <v>267863533</v>
      </c>
      <c r="E47" s="123">
        <f t="shared" si="5"/>
        <v>34427477</v>
      </c>
      <c r="F47" s="124">
        <f t="shared" si="6"/>
        <v>0.14748140278723695</v>
      </c>
    </row>
    <row r="48" spans="1:6" ht="15.75" x14ac:dyDescent="0.25">
      <c r="A48" s="121">
        <v>8</v>
      </c>
      <c r="B48" s="122" t="s">
        <v>120</v>
      </c>
      <c r="C48" s="119">
        <f t="shared" si="4"/>
        <v>6225511</v>
      </c>
      <c r="D48" s="119">
        <f t="shared" si="4"/>
        <v>5784117</v>
      </c>
      <c r="E48" s="123">
        <f t="shared" si="5"/>
        <v>-441394</v>
      </c>
      <c r="F48" s="124">
        <f t="shared" si="6"/>
        <v>-7.0900846532919143E-2</v>
      </c>
    </row>
    <row r="49" spans="1:6" ht="15.75" x14ac:dyDescent="0.25">
      <c r="A49" s="121">
        <v>9</v>
      </c>
      <c r="B49" s="122" t="s">
        <v>121</v>
      </c>
      <c r="C49" s="119">
        <f t="shared" si="4"/>
        <v>3972101</v>
      </c>
      <c r="D49" s="119">
        <f t="shared" si="4"/>
        <v>3338268</v>
      </c>
      <c r="E49" s="123">
        <f t="shared" si="5"/>
        <v>-633833</v>
      </c>
      <c r="F49" s="124">
        <f t="shared" si="6"/>
        <v>-0.15957121936224683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242402</v>
      </c>
      <c r="D51" s="119">
        <f t="shared" si="4"/>
        <v>498126</v>
      </c>
      <c r="E51" s="123">
        <f t="shared" si="5"/>
        <v>255724</v>
      </c>
      <c r="F51" s="124">
        <f t="shared" si="6"/>
        <v>1.0549582924233298</v>
      </c>
    </row>
    <row r="52" spans="1:6" ht="18.75" customHeight="1" thickBot="1" x14ac:dyDescent="0.3">
      <c r="A52" s="125"/>
      <c r="B52" s="126" t="s">
        <v>128</v>
      </c>
      <c r="C52" s="127">
        <f>SUM(C41:C51)</f>
        <v>667350681</v>
      </c>
      <c r="D52" s="128">
        <f>SUM(D41:D51)</f>
        <v>764177041</v>
      </c>
      <c r="E52" s="127">
        <f t="shared" si="5"/>
        <v>96826360</v>
      </c>
      <c r="F52" s="129">
        <f t="shared" si="6"/>
        <v>0.14509067384918126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57502980</v>
      </c>
      <c r="D57" s="113">
        <v>63431864</v>
      </c>
      <c r="E57" s="113">
        <f t="shared" ref="E57:E68" si="7">D57-C57</f>
        <v>5928884</v>
      </c>
      <c r="F57" s="114">
        <f t="shared" ref="F57:F68" si="8">IF(C57=0,0,E57/C57)</f>
        <v>0.10310568252288838</v>
      </c>
    </row>
    <row r="58" spans="1:6" x14ac:dyDescent="0.2">
      <c r="A58" s="115">
        <v>2</v>
      </c>
      <c r="B58" s="116" t="s">
        <v>114</v>
      </c>
      <c r="C58" s="113">
        <v>15577077</v>
      </c>
      <c r="D58" s="113">
        <v>13858997</v>
      </c>
      <c r="E58" s="113">
        <f t="shared" si="7"/>
        <v>-1718080</v>
      </c>
      <c r="F58" s="114">
        <f t="shared" si="8"/>
        <v>-0.11029540394516892</v>
      </c>
    </row>
    <row r="59" spans="1:6" x14ac:dyDescent="0.2">
      <c r="A59" s="115">
        <v>3</v>
      </c>
      <c r="B59" s="116" t="s">
        <v>115</v>
      </c>
      <c r="C59" s="113">
        <v>24580567</v>
      </c>
      <c r="D59" s="113">
        <v>26840885</v>
      </c>
      <c r="E59" s="113">
        <f t="shared" si="7"/>
        <v>2260318</v>
      </c>
      <c r="F59" s="114">
        <f t="shared" si="8"/>
        <v>9.1955486624861013E-2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394304</v>
      </c>
      <c r="D61" s="113">
        <v>370931</v>
      </c>
      <c r="E61" s="113">
        <f t="shared" si="7"/>
        <v>-23373</v>
      </c>
      <c r="F61" s="114">
        <f t="shared" si="8"/>
        <v>-5.927659876643402E-2</v>
      </c>
    </row>
    <row r="62" spans="1:6" x14ac:dyDescent="0.2">
      <c r="A62" s="115">
        <v>6</v>
      </c>
      <c r="B62" s="116" t="s">
        <v>118</v>
      </c>
      <c r="C62" s="113">
        <v>461079</v>
      </c>
      <c r="D62" s="113">
        <v>253205</v>
      </c>
      <c r="E62" s="113">
        <f t="shared" si="7"/>
        <v>-207874</v>
      </c>
      <c r="F62" s="114">
        <f t="shared" si="8"/>
        <v>-0.45084248035586094</v>
      </c>
    </row>
    <row r="63" spans="1:6" x14ac:dyDescent="0.2">
      <c r="A63" s="115">
        <v>7</v>
      </c>
      <c r="B63" s="116" t="s">
        <v>119</v>
      </c>
      <c r="C63" s="113">
        <v>32786712</v>
      </c>
      <c r="D63" s="113">
        <v>37771592</v>
      </c>
      <c r="E63" s="113">
        <f t="shared" si="7"/>
        <v>4984880</v>
      </c>
      <c r="F63" s="114">
        <f t="shared" si="8"/>
        <v>0.15203964337747561</v>
      </c>
    </row>
    <row r="64" spans="1:6" x14ac:dyDescent="0.2">
      <c r="A64" s="115">
        <v>8</v>
      </c>
      <c r="B64" s="116" t="s">
        <v>120</v>
      </c>
      <c r="C64" s="113">
        <v>1779787</v>
      </c>
      <c r="D64" s="113">
        <v>1112388</v>
      </c>
      <c r="E64" s="113">
        <f t="shared" si="7"/>
        <v>-667399</v>
      </c>
      <c r="F64" s="114">
        <f t="shared" si="8"/>
        <v>-0.37498813060214509</v>
      </c>
    </row>
    <row r="65" spans="1:6" x14ac:dyDescent="0.2">
      <c r="A65" s="115">
        <v>9</v>
      </c>
      <c r="B65" s="116" t="s">
        <v>121</v>
      </c>
      <c r="C65" s="113">
        <v>124500</v>
      </c>
      <c r="D65" s="113">
        <v>154699</v>
      </c>
      <c r="E65" s="113">
        <f t="shared" si="7"/>
        <v>30199</v>
      </c>
      <c r="F65" s="114">
        <f t="shared" si="8"/>
        <v>0.24256224899598394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15633</v>
      </c>
      <c r="D67" s="113">
        <v>38788</v>
      </c>
      <c r="E67" s="113">
        <f t="shared" si="7"/>
        <v>23155</v>
      </c>
      <c r="F67" s="114">
        <f t="shared" si="8"/>
        <v>1.4811616452376384</v>
      </c>
    </row>
    <row r="68" spans="1:6" ht="15.75" x14ac:dyDescent="0.25">
      <c r="A68" s="117"/>
      <c r="B68" s="118" t="s">
        <v>131</v>
      </c>
      <c r="C68" s="119">
        <f>SUM(C57:C67)</f>
        <v>133222639</v>
      </c>
      <c r="D68" s="119">
        <f>SUM(D57:D67)</f>
        <v>143833349</v>
      </c>
      <c r="E68" s="119">
        <f t="shared" si="7"/>
        <v>10610710</v>
      </c>
      <c r="F68" s="120">
        <f t="shared" si="8"/>
        <v>7.9646448078543167E-2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33732928</v>
      </c>
      <c r="D70" s="113">
        <v>38463609</v>
      </c>
      <c r="E70" s="113">
        <f t="shared" ref="E70:E81" si="9">D70-C70</f>
        <v>4730681</v>
      </c>
      <c r="F70" s="114">
        <f t="shared" ref="F70:F81" si="10">IF(C70=0,0,E70/C70)</f>
        <v>0.14023926413977464</v>
      </c>
    </row>
    <row r="71" spans="1:6" x14ac:dyDescent="0.2">
      <c r="A71" s="115">
        <v>2</v>
      </c>
      <c r="B71" s="116" t="s">
        <v>114</v>
      </c>
      <c r="C71" s="113">
        <v>7667489</v>
      </c>
      <c r="D71" s="113">
        <v>9036250</v>
      </c>
      <c r="E71" s="113">
        <f t="shared" si="9"/>
        <v>1368761</v>
      </c>
      <c r="F71" s="114">
        <f t="shared" si="10"/>
        <v>0.17851489581530539</v>
      </c>
    </row>
    <row r="72" spans="1:6" x14ac:dyDescent="0.2">
      <c r="A72" s="115">
        <v>3</v>
      </c>
      <c r="B72" s="116" t="s">
        <v>115</v>
      </c>
      <c r="C72" s="113">
        <v>27286597</v>
      </c>
      <c r="D72" s="113">
        <v>36745878</v>
      </c>
      <c r="E72" s="113">
        <f t="shared" si="9"/>
        <v>9459281</v>
      </c>
      <c r="F72" s="114">
        <f t="shared" si="10"/>
        <v>0.34666400504247563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747511</v>
      </c>
      <c r="D74" s="113">
        <v>987633</v>
      </c>
      <c r="E74" s="113">
        <f t="shared" si="9"/>
        <v>240122</v>
      </c>
      <c r="F74" s="114">
        <f t="shared" si="10"/>
        <v>0.32122871770448863</v>
      </c>
    </row>
    <row r="75" spans="1:6" x14ac:dyDescent="0.2">
      <c r="A75" s="115">
        <v>6</v>
      </c>
      <c r="B75" s="116" t="s">
        <v>118</v>
      </c>
      <c r="C75" s="113">
        <v>574469</v>
      </c>
      <c r="D75" s="113">
        <v>645945</v>
      </c>
      <c r="E75" s="113">
        <f t="shared" si="9"/>
        <v>71476</v>
      </c>
      <c r="F75" s="114">
        <f t="shared" si="10"/>
        <v>0.12442098703324288</v>
      </c>
    </row>
    <row r="76" spans="1:6" x14ac:dyDescent="0.2">
      <c r="A76" s="115">
        <v>7</v>
      </c>
      <c r="B76" s="116" t="s">
        <v>119</v>
      </c>
      <c r="C76" s="113">
        <v>86338206</v>
      </c>
      <c r="D76" s="113">
        <v>109187539</v>
      </c>
      <c r="E76" s="113">
        <f t="shared" si="9"/>
        <v>22849333</v>
      </c>
      <c r="F76" s="114">
        <f t="shared" si="10"/>
        <v>0.26464915196407951</v>
      </c>
    </row>
    <row r="77" spans="1:6" x14ac:dyDescent="0.2">
      <c r="A77" s="115">
        <v>8</v>
      </c>
      <c r="B77" s="116" t="s">
        <v>120</v>
      </c>
      <c r="C77" s="113">
        <v>3405144</v>
      </c>
      <c r="D77" s="113">
        <v>3546623</v>
      </c>
      <c r="E77" s="113">
        <f t="shared" si="9"/>
        <v>141479</v>
      </c>
      <c r="F77" s="114">
        <f t="shared" si="10"/>
        <v>4.1548609985363319E-2</v>
      </c>
    </row>
    <row r="78" spans="1:6" x14ac:dyDescent="0.2">
      <c r="A78" s="115">
        <v>9</v>
      </c>
      <c r="B78" s="116" t="s">
        <v>121</v>
      </c>
      <c r="C78" s="113">
        <v>700261</v>
      </c>
      <c r="D78" s="113">
        <v>705866</v>
      </c>
      <c r="E78" s="113">
        <f t="shared" si="9"/>
        <v>5605</v>
      </c>
      <c r="F78" s="114">
        <f t="shared" si="10"/>
        <v>8.0041584494924042E-3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65438</v>
      </c>
      <c r="D80" s="113">
        <v>52912</v>
      </c>
      <c r="E80" s="113">
        <f t="shared" si="9"/>
        <v>-12526</v>
      </c>
      <c r="F80" s="114">
        <f t="shared" si="10"/>
        <v>-0.19141783061829518</v>
      </c>
    </row>
    <row r="81" spans="1:6" ht="15.75" x14ac:dyDescent="0.25">
      <c r="A81" s="117"/>
      <c r="B81" s="118" t="s">
        <v>133</v>
      </c>
      <c r="C81" s="119">
        <f>SUM(C70:C80)</f>
        <v>160518043</v>
      </c>
      <c r="D81" s="119">
        <f>SUM(D70:D80)</f>
        <v>199372255</v>
      </c>
      <c r="E81" s="119">
        <f t="shared" si="9"/>
        <v>38854212</v>
      </c>
      <c r="F81" s="120">
        <f t="shared" si="10"/>
        <v>0.24205510654026602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91235908</v>
      </c>
      <c r="D84" s="119">
        <f t="shared" si="11"/>
        <v>101895473</v>
      </c>
      <c r="E84" s="119">
        <f t="shared" ref="E84:E95" si="12">D84-C84</f>
        <v>10659565</v>
      </c>
      <c r="F84" s="120">
        <f t="shared" ref="F84:F95" si="13">IF(C84=0,0,E84/C84)</f>
        <v>0.11683519388002364</v>
      </c>
    </row>
    <row r="85" spans="1:6" ht="15.75" x14ac:dyDescent="0.25">
      <c r="A85" s="130">
        <v>2</v>
      </c>
      <c r="B85" s="122" t="s">
        <v>114</v>
      </c>
      <c r="C85" s="119">
        <f t="shared" si="11"/>
        <v>23244566</v>
      </c>
      <c r="D85" s="119">
        <f t="shared" si="11"/>
        <v>22895247</v>
      </c>
      <c r="E85" s="119">
        <f t="shared" si="12"/>
        <v>-349319</v>
      </c>
      <c r="F85" s="120">
        <f t="shared" si="13"/>
        <v>-1.5027985465506218E-2</v>
      </c>
    </row>
    <row r="86" spans="1:6" ht="15.75" x14ac:dyDescent="0.25">
      <c r="A86" s="130">
        <v>3</v>
      </c>
      <c r="B86" s="122" t="s">
        <v>115</v>
      </c>
      <c r="C86" s="119">
        <f t="shared" si="11"/>
        <v>51867164</v>
      </c>
      <c r="D86" s="119">
        <f t="shared" si="11"/>
        <v>63586763</v>
      </c>
      <c r="E86" s="119">
        <f t="shared" si="12"/>
        <v>11719599</v>
      </c>
      <c r="F86" s="120">
        <f t="shared" si="13"/>
        <v>0.22595411231660942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1141815</v>
      </c>
      <c r="D88" s="119">
        <f t="shared" si="11"/>
        <v>1358564</v>
      </c>
      <c r="E88" s="119">
        <f t="shared" si="12"/>
        <v>216749</v>
      </c>
      <c r="F88" s="120">
        <f t="shared" si="13"/>
        <v>0.18982847484049517</v>
      </c>
    </row>
    <row r="89" spans="1:6" ht="15.75" x14ac:dyDescent="0.25">
      <c r="A89" s="130">
        <v>6</v>
      </c>
      <c r="B89" s="122" t="s">
        <v>118</v>
      </c>
      <c r="C89" s="119">
        <f t="shared" si="11"/>
        <v>1035548</v>
      </c>
      <c r="D89" s="119">
        <f t="shared" si="11"/>
        <v>899150</v>
      </c>
      <c r="E89" s="119">
        <f t="shared" si="12"/>
        <v>-136398</v>
      </c>
      <c r="F89" s="120">
        <f t="shared" si="13"/>
        <v>-0.13171576788328498</v>
      </c>
    </row>
    <row r="90" spans="1:6" ht="15.75" x14ac:dyDescent="0.25">
      <c r="A90" s="130">
        <v>7</v>
      </c>
      <c r="B90" s="122" t="s">
        <v>119</v>
      </c>
      <c r="C90" s="119">
        <f t="shared" si="11"/>
        <v>119124918</v>
      </c>
      <c r="D90" s="119">
        <f t="shared" si="11"/>
        <v>146959131</v>
      </c>
      <c r="E90" s="119">
        <f t="shared" si="12"/>
        <v>27834213</v>
      </c>
      <c r="F90" s="120">
        <f t="shared" si="13"/>
        <v>0.23365567395395814</v>
      </c>
    </row>
    <row r="91" spans="1:6" ht="15.75" x14ac:dyDescent="0.25">
      <c r="A91" s="130">
        <v>8</v>
      </c>
      <c r="B91" s="122" t="s">
        <v>120</v>
      </c>
      <c r="C91" s="119">
        <f t="shared" si="11"/>
        <v>5184931</v>
      </c>
      <c r="D91" s="119">
        <f t="shared" si="11"/>
        <v>4659011</v>
      </c>
      <c r="E91" s="119">
        <f t="shared" si="12"/>
        <v>-525920</v>
      </c>
      <c r="F91" s="120">
        <f t="shared" si="13"/>
        <v>-0.10143240093262572</v>
      </c>
    </row>
    <row r="92" spans="1:6" ht="15.75" x14ac:dyDescent="0.25">
      <c r="A92" s="130">
        <v>9</v>
      </c>
      <c r="B92" s="122" t="s">
        <v>121</v>
      </c>
      <c r="C92" s="119">
        <f t="shared" si="11"/>
        <v>824761</v>
      </c>
      <c r="D92" s="119">
        <f t="shared" si="11"/>
        <v>860565</v>
      </c>
      <c r="E92" s="119">
        <f t="shared" si="12"/>
        <v>35804</v>
      </c>
      <c r="F92" s="120">
        <f t="shared" si="13"/>
        <v>4.3411364019394709E-2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81071</v>
      </c>
      <c r="D94" s="119">
        <f t="shared" si="11"/>
        <v>91700</v>
      </c>
      <c r="E94" s="119">
        <f t="shared" si="12"/>
        <v>10629</v>
      </c>
      <c r="F94" s="120">
        <f t="shared" si="13"/>
        <v>0.13110730100775864</v>
      </c>
    </row>
    <row r="95" spans="1:6" ht="18.75" customHeight="1" thickBot="1" x14ac:dyDescent="0.3">
      <c r="A95" s="131"/>
      <c r="B95" s="132" t="s">
        <v>134</v>
      </c>
      <c r="C95" s="128">
        <f>SUM(C84:C94)</f>
        <v>293740682</v>
      </c>
      <c r="D95" s="128">
        <f>SUM(D84:D94)</f>
        <v>343205604</v>
      </c>
      <c r="E95" s="128">
        <f t="shared" si="12"/>
        <v>49464922</v>
      </c>
      <c r="F95" s="129">
        <f t="shared" si="13"/>
        <v>0.16839656551216151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3051</v>
      </c>
      <c r="D100" s="133">
        <v>3177</v>
      </c>
      <c r="E100" s="133">
        <f t="shared" ref="E100:E111" si="14">D100-C100</f>
        <v>126</v>
      </c>
      <c r="F100" s="114">
        <f t="shared" ref="F100:F111" si="15">IF(C100=0,0,E100/C100)</f>
        <v>4.1297935103244837E-2</v>
      </c>
    </row>
    <row r="101" spans="1:6" x14ac:dyDescent="0.2">
      <c r="A101" s="115">
        <v>2</v>
      </c>
      <c r="B101" s="116" t="s">
        <v>114</v>
      </c>
      <c r="C101" s="133">
        <v>795</v>
      </c>
      <c r="D101" s="133">
        <v>819</v>
      </c>
      <c r="E101" s="133">
        <f t="shared" si="14"/>
        <v>24</v>
      </c>
      <c r="F101" s="114">
        <f t="shared" si="15"/>
        <v>3.0188679245283019E-2</v>
      </c>
    </row>
    <row r="102" spans="1:6" x14ac:dyDescent="0.2">
      <c r="A102" s="115">
        <v>3</v>
      </c>
      <c r="B102" s="116" t="s">
        <v>115</v>
      </c>
      <c r="C102" s="133">
        <v>2272</v>
      </c>
      <c r="D102" s="133">
        <v>2300</v>
      </c>
      <c r="E102" s="133">
        <f t="shared" si="14"/>
        <v>28</v>
      </c>
      <c r="F102" s="114">
        <f t="shared" si="15"/>
        <v>1.232394366197183E-2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38</v>
      </c>
      <c r="D104" s="133">
        <v>43</v>
      </c>
      <c r="E104" s="133">
        <f t="shared" si="14"/>
        <v>5</v>
      </c>
      <c r="F104" s="114">
        <f t="shared" si="15"/>
        <v>0.13157894736842105</v>
      </c>
    </row>
    <row r="105" spans="1:6" x14ac:dyDescent="0.2">
      <c r="A105" s="115">
        <v>6</v>
      </c>
      <c r="B105" s="116" t="s">
        <v>118</v>
      </c>
      <c r="C105" s="133">
        <v>16</v>
      </c>
      <c r="D105" s="133">
        <v>12</v>
      </c>
      <c r="E105" s="133">
        <f t="shared" si="14"/>
        <v>-4</v>
      </c>
      <c r="F105" s="114">
        <f t="shared" si="15"/>
        <v>-0.25</v>
      </c>
    </row>
    <row r="106" spans="1:6" x14ac:dyDescent="0.2">
      <c r="A106" s="115">
        <v>7</v>
      </c>
      <c r="B106" s="116" t="s">
        <v>119</v>
      </c>
      <c r="C106" s="133">
        <v>2393</v>
      </c>
      <c r="D106" s="133">
        <v>2432</v>
      </c>
      <c r="E106" s="133">
        <f t="shared" si="14"/>
        <v>39</v>
      </c>
      <c r="F106" s="114">
        <f t="shared" si="15"/>
        <v>1.62975344755537E-2</v>
      </c>
    </row>
    <row r="107" spans="1:6" x14ac:dyDescent="0.2">
      <c r="A107" s="115">
        <v>8</v>
      </c>
      <c r="B107" s="116" t="s">
        <v>120</v>
      </c>
      <c r="C107" s="133">
        <v>54</v>
      </c>
      <c r="D107" s="133">
        <v>30</v>
      </c>
      <c r="E107" s="133">
        <f t="shared" si="14"/>
        <v>-24</v>
      </c>
      <c r="F107" s="114">
        <f t="shared" si="15"/>
        <v>-0.44444444444444442</v>
      </c>
    </row>
    <row r="108" spans="1:6" x14ac:dyDescent="0.2">
      <c r="A108" s="115">
        <v>9</v>
      </c>
      <c r="B108" s="116" t="s">
        <v>121</v>
      </c>
      <c r="C108" s="133">
        <v>45</v>
      </c>
      <c r="D108" s="133">
        <v>21</v>
      </c>
      <c r="E108" s="133">
        <f t="shared" si="14"/>
        <v>-24</v>
      </c>
      <c r="F108" s="114">
        <f t="shared" si="15"/>
        <v>-0.53333333333333333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5</v>
      </c>
      <c r="D110" s="133">
        <v>12</v>
      </c>
      <c r="E110" s="133">
        <f t="shared" si="14"/>
        <v>7</v>
      </c>
      <c r="F110" s="114">
        <f t="shared" si="15"/>
        <v>1.4</v>
      </c>
    </row>
    <row r="111" spans="1:6" ht="15.75" x14ac:dyDescent="0.25">
      <c r="A111" s="117"/>
      <c r="B111" s="118" t="s">
        <v>138</v>
      </c>
      <c r="C111" s="134">
        <f>SUM(C100:C110)</f>
        <v>8669</v>
      </c>
      <c r="D111" s="134">
        <f>SUM(D100:D110)</f>
        <v>8846</v>
      </c>
      <c r="E111" s="134">
        <f t="shared" si="14"/>
        <v>177</v>
      </c>
      <c r="F111" s="120">
        <f t="shared" si="15"/>
        <v>2.041757988233937E-2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15522</v>
      </c>
      <c r="D113" s="133">
        <v>15483</v>
      </c>
      <c r="E113" s="133">
        <f t="shared" ref="E113:E124" si="16">D113-C113</f>
        <v>-39</v>
      </c>
      <c r="F113" s="114">
        <f t="shared" ref="F113:F124" si="17">IF(C113=0,0,E113/C113)</f>
        <v>-2.5125628140703518E-3</v>
      </c>
    </row>
    <row r="114" spans="1:6" x14ac:dyDescent="0.2">
      <c r="A114" s="115">
        <v>2</v>
      </c>
      <c r="B114" s="116" t="s">
        <v>114</v>
      </c>
      <c r="C114" s="133">
        <v>3928</v>
      </c>
      <c r="D114" s="133">
        <v>3747</v>
      </c>
      <c r="E114" s="133">
        <f t="shared" si="16"/>
        <v>-181</v>
      </c>
      <c r="F114" s="114">
        <f t="shared" si="17"/>
        <v>-4.6079429735234219E-2</v>
      </c>
    </row>
    <row r="115" spans="1:6" x14ac:dyDescent="0.2">
      <c r="A115" s="115">
        <v>3</v>
      </c>
      <c r="B115" s="116" t="s">
        <v>115</v>
      </c>
      <c r="C115" s="133">
        <v>9677</v>
      </c>
      <c r="D115" s="133">
        <v>9594</v>
      </c>
      <c r="E115" s="133">
        <f t="shared" si="16"/>
        <v>-83</v>
      </c>
      <c r="F115" s="114">
        <f t="shared" si="17"/>
        <v>-8.5770383383279945E-3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121</v>
      </c>
      <c r="D117" s="133">
        <v>154</v>
      </c>
      <c r="E117" s="133">
        <f t="shared" si="16"/>
        <v>33</v>
      </c>
      <c r="F117" s="114">
        <f t="shared" si="17"/>
        <v>0.27272727272727271</v>
      </c>
    </row>
    <row r="118" spans="1:6" x14ac:dyDescent="0.2">
      <c r="A118" s="115">
        <v>6</v>
      </c>
      <c r="B118" s="116" t="s">
        <v>118</v>
      </c>
      <c r="C118" s="133">
        <v>100</v>
      </c>
      <c r="D118" s="133">
        <v>49</v>
      </c>
      <c r="E118" s="133">
        <f t="shared" si="16"/>
        <v>-51</v>
      </c>
      <c r="F118" s="114">
        <f t="shared" si="17"/>
        <v>-0.51</v>
      </c>
    </row>
    <row r="119" spans="1:6" x14ac:dyDescent="0.2">
      <c r="A119" s="115">
        <v>7</v>
      </c>
      <c r="B119" s="116" t="s">
        <v>119</v>
      </c>
      <c r="C119" s="133">
        <v>9045</v>
      </c>
      <c r="D119" s="133">
        <v>9166</v>
      </c>
      <c r="E119" s="133">
        <f t="shared" si="16"/>
        <v>121</v>
      </c>
      <c r="F119" s="114">
        <f t="shared" si="17"/>
        <v>1.337755666113875E-2</v>
      </c>
    </row>
    <row r="120" spans="1:6" x14ac:dyDescent="0.2">
      <c r="A120" s="115">
        <v>8</v>
      </c>
      <c r="B120" s="116" t="s">
        <v>120</v>
      </c>
      <c r="C120" s="133">
        <v>152</v>
      </c>
      <c r="D120" s="133">
        <v>58</v>
      </c>
      <c r="E120" s="133">
        <f t="shared" si="16"/>
        <v>-94</v>
      </c>
      <c r="F120" s="114">
        <f t="shared" si="17"/>
        <v>-0.61842105263157898</v>
      </c>
    </row>
    <row r="121" spans="1:6" x14ac:dyDescent="0.2">
      <c r="A121" s="115">
        <v>9</v>
      </c>
      <c r="B121" s="116" t="s">
        <v>121</v>
      </c>
      <c r="C121" s="133">
        <v>163</v>
      </c>
      <c r="D121" s="133">
        <v>93</v>
      </c>
      <c r="E121" s="133">
        <f t="shared" si="16"/>
        <v>-70</v>
      </c>
      <c r="F121" s="114">
        <f t="shared" si="17"/>
        <v>-0.42944785276073622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15</v>
      </c>
      <c r="D123" s="133">
        <v>40</v>
      </c>
      <c r="E123" s="133">
        <f t="shared" si="16"/>
        <v>25</v>
      </c>
      <c r="F123" s="114">
        <f t="shared" si="17"/>
        <v>1.6666666666666667</v>
      </c>
    </row>
    <row r="124" spans="1:6" ht="15.75" x14ac:dyDescent="0.25">
      <c r="A124" s="117"/>
      <c r="B124" s="118" t="s">
        <v>140</v>
      </c>
      <c r="C124" s="134">
        <f>SUM(C113:C123)</f>
        <v>38723</v>
      </c>
      <c r="D124" s="134">
        <f>SUM(D113:D123)</f>
        <v>38384</v>
      </c>
      <c r="E124" s="134">
        <f t="shared" si="16"/>
        <v>-339</v>
      </c>
      <c r="F124" s="120">
        <f t="shared" si="17"/>
        <v>-8.7544869973917305E-3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94091</v>
      </c>
      <c r="D126" s="133">
        <v>93536</v>
      </c>
      <c r="E126" s="133">
        <f t="shared" ref="E126:E137" si="18">D126-C126</f>
        <v>-555</v>
      </c>
      <c r="F126" s="114">
        <f t="shared" ref="F126:F137" si="19">IF(C126=0,0,E126/C126)</f>
        <v>-5.8985450255603618E-3</v>
      </c>
    </row>
    <row r="127" spans="1:6" x14ac:dyDescent="0.2">
      <c r="A127" s="115">
        <v>2</v>
      </c>
      <c r="B127" s="116" t="s">
        <v>114</v>
      </c>
      <c r="C127" s="133">
        <v>24474</v>
      </c>
      <c r="D127" s="133">
        <v>26705</v>
      </c>
      <c r="E127" s="133">
        <f t="shared" si="18"/>
        <v>2231</v>
      </c>
      <c r="F127" s="114">
        <f t="shared" si="19"/>
        <v>9.1157963553158458E-2</v>
      </c>
    </row>
    <row r="128" spans="1:6" x14ac:dyDescent="0.2">
      <c r="A128" s="115">
        <v>3</v>
      </c>
      <c r="B128" s="116" t="s">
        <v>115</v>
      </c>
      <c r="C128" s="133">
        <v>75764</v>
      </c>
      <c r="D128" s="133">
        <v>82249</v>
      </c>
      <c r="E128" s="133">
        <f t="shared" si="18"/>
        <v>6485</v>
      </c>
      <c r="F128" s="114">
        <f t="shared" si="19"/>
        <v>8.5594741565915206E-2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1917</v>
      </c>
      <c r="D130" s="133">
        <v>2096</v>
      </c>
      <c r="E130" s="133">
        <f t="shared" si="18"/>
        <v>179</v>
      </c>
      <c r="F130" s="114">
        <f t="shared" si="19"/>
        <v>9.3375065206051128E-2</v>
      </c>
    </row>
    <row r="131" spans="1:6" x14ac:dyDescent="0.2">
      <c r="A131" s="115">
        <v>6</v>
      </c>
      <c r="B131" s="116" t="s">
        <v>118</v>
      </c>
      <c r="C131" s="133">
        <v>855</v>
      </c>
      <c r="D131" s="133">
        <v>758</v>
      </c>
      <c r="E131" s="133">
        <f t="shared" si="18"/>
        <v>-97</v>
      </c>
      <c r="F131" s="114">
        <f t="shared" si="19"/>
        <v>-0.11345029239766082</v>
      </c>
    </row>
    <row r="132" spans="1:6" x14ac:dyDescent="0.2">
      <c r="A132" s="115">
        <v>7</v>
      </c>
      <c r="B132" s="116" t="s">
        <v>119</v>
      </c>
      <c r="C132" s="133">
        <v>158485</v>
      </c>
      <c r="D132" s="133">
        <v>151672</v>
      </c>
      <c r="E132" s="133">
        <f t="shared" si="18"/>
        <v>-6813</v>
      </c>
      <c r="F132" s="114">
        <f t="shared" si="19"/>
        <v>-4.2988295422279714E-2</v>
      </c>
    </row>
    <row r="133" spans="1:6" x14ac:dyDescent="0.2">
      <c r="A133" s="115">
        <v>8</v>
      </c>
      <c r="B133" s="116" t="s">
        <v>120</v>
      </c>
      <c r="C133" s="133">
        <v>2076</v>
      </c>
      <c r="D133" s="133">
        <v>2130</v>
      </c>
      <c r="E133" s="133">
        <f t="shared" si="18"/>
        <v>54</v>
      </c>
      <c r="F133" s="114">
        <f t="shared" si="19"/>
        <v>2.6011560693641619E-2</v>
      </c>
    </row>
    <row r="134" spans="1:6" x14ac:dyDescent="0.2">
      <c r="A134" s="115">
        <v>9</v>
      </c>
      <c r="B134" s="116" t="s">
        <v>121</v>
      </c>
      <c r="C134" s="133">
        <v>5161</v>
      </c>
      <c r="D134" s="133">
        <v>4079</v>
      </c>
      <c r="E134" s="133">
        <f t="shared" si="18"/>
        <v>-1082</v>
      </c>
      <c r="F134" s="114">
        <f t="shared" si="19"/>
        <v>-0.20964929277271846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554</v>
      </c>
      <c r="D136" s="133">
        <v>899</v>
      </c>
      <c r="E136" s="133">
        <f t="shared" si="18"/>
        <v>345</v>
      </c>
      <c r="F136" s="114">
        <f t="shared" si="19"/>
        <v>0.62274368231046928</v>
      </c>
    </row>
    <row r="137" spans="1:6" ht="15.75" x14ac:dyDescent="0.25">
      <c r="A137" s="117"/>
      <c r="B137" s="118" t="s">
        <v>142</v>
      </c>
      <c r="C137" s="134">
        <f>SUM(C126:C136)</f>
        <v>363377</v>
      </c>
      <c r="D137" s="134">
        <f>SUM(D126:D136)</f>
        <v>364124</v>
      </c>
      <c r="E137" s="134">
        <f t="shared" si="18"/>
        <v>747</v>
      </c>
      <c r="F137" s="120">
        <f t="shared" si="19"/>
        <v>2.0557162396079003E-3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11104658</v>
      </c>
      <c r="D142" s="113">
        <v>12731194</v>
      </c>
      <c r="E142" s="113">
        <f t="shared" ref="E142:E153" si="20">D142-C142</f>
        <v>1626536</v>
      </c>
      <c r="F142" s="114">
        <f t="shared" ref="F142:F153" si="21">IF(C142=0,0,E142/C142)</f>
        <v>0.14647330876826645</v>
      </c>
    </row>
    <row r="143" spans="1:6" x14ac:dyDescent="0.2">
      <c r="A143" s="115">
        <v>2</v>
      </c>
      <c r="B143" s="116" t="s">
        <v>114</v>
      </c>
      <c r="C143" s="113">
        <v>2892187</v>
      </c>
      <c r="D143" s="113">
        <v>3563942</v>
      </c>
      <c r="E143" s="113">
        <f t="shared" si="20"/>
        <v>671755</v>
      </c>
      <c r="F143" s="114">
        <f t="shared" si="21"/>
        <v>0.232265410224166</v>
      </c>
    </row>
    <row r="144" spans="1:6" x14ac:dyDescent="0.2">
      <c r="A144" s="115">
        <v>3</v>
      </c>
      <c r="B144" s="116" t="s">
        <v>115</v>
      </c>
      <c r="C144" s="113">
        <v>12128721</v>
      </c>
      <c r="D144" s="113">
        <v>13710835</v>
      </c>
      <c r="E144" s="113">
        <f t="shared" si="20"/>
        <v>1582114</v>
      </c>
      <c r="F144" s="114">
        <f t="shared" si="21"/>
        <v>0.13044359747412773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152989</v>
      </c>
      <c r="D146" s="113">
        <v>212162</v>
      </c>
      <c r="E146" s="113">
        <f t="shared" si="20"/>
        <v>59173</v>
      </c>
      <c r="F146" s="114">
        <f t="shared" si="21"/>
        <v>0.38677944165920425</v>
      </c>
    </row>
    <row r="147" spans="1:6" x14ac:dyDescent="0.2">
      <c r="A147" s="115">
        <v>6</v>
      </c>
      <c r="B147" s="116" t="s">
        <v>118</v>
      </c>
      <c r="C147" s="113">
        <v>254420</v>
      </c>
      <c r="D147" s="113">
        <v>224315</v>
      </c>
      <c r="E147" s="113">
        <f t="shared" si="20"/>
        <v>-30105</v>
      </c>
      <c r="F147" s="114">
        <f t="shared" si="21"/>
        <v>-0.11832796163823599</v>
      </c>
    </row>
    <row r="148" spans="1:6" x14ac:dyDescent="0.2">
      <c r="A148" s="115">
        <v>7</v>
      </c>
      <c r="B148" s="116" t="s">
        <v>119</v>
      </c>
      <c r="C148" s="113">
        <v>19103070</v>
      </c>
      <c r="D148" s="113">
        <v>20309240</v>
      </c>
      <c r="E148" s="113">
        <f t="shared" si="20"/>
        <v>1206170</v>
      </c>
      <c r="F148" s="114">
        <f t="shared" si="21"/>
        <v>6.3140113081300547E-2</v>
      </c>
    </row>
    <row r="149" spans="1:6" x14ac:dyDescent="0.2">
      <c r="A149" s="115">
        <v>8</v>
      </c>
      <c r="B149" s="116" t="s">
        <v>120</v>
      </c>
      <c r="C149" s="113">
        <v>857240</v>
      </c>
      <c r="D149" s="113">
        <v>941858</v>
      </c>
      <c r="E149" s="113">
        <f t="shared" si="20"/>
        <v>84618</v>
      </c>
      <c r="F149" s="114">
        <f t="shared" si="21"/>
        <v>9.8709812887872714E-2</v>
      </c>
    </row>
    <row r="150" spans="1:6" x14ac:dyDescent="0.2">
      <c r="A150" s="115">
        <v>9</v>
      </c>
      <c r="B150" s="116" t="s">
        <v>121</v>
      </c>
      <c r="C150" s="113">
        <v>1533213</v>
      </c>
      <c r="D150" s="113">
        <v>1450217</v>
      </c>
      <c r="E150" s="113">
        <f t="shared" si="20"/>
        <v>-82996</v>
      </c>
      <c r="F150" s="114">
        <f t="shared" si="21"/>
        <v>-5.4132074278003123E-2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155413</v>
      </c>
      <c r="D152" s="113">
        <v>144543</v>
      </c>
      <c r="E152" s="113">
        <f t="shared" si="20"/>
        <v>-10870</v>
      </c>
      <c r="F152" s="114">
        <f t="shared" si="21"/>
        <v>-6.9942668888703E-2</v>
      </c>
    </row>
    <row r="153" spans="1:6" ht="33.75" customHeight="1" x14ac:dyDescent="0.25">
      <c r="A153" s="117"/>
      <c r="B153" s="118" t="s">
        <v>146</v>
      </c>
      <c r="C153" s="119">
        <f>SUM(C142:C152)</f>
        <v>48181911</v>
      </c>
      <c r="D153" s="119">
        <f>SUM(D142:D152)</f>
        <v>53288306</v>
      </c>
      <c r="E153" s="119">
        <f t="shared" si="20"/>
        <v>5106395</v>
      </c>
      <c r="F153" s="120">
        <f t="shared" si="21"/>
        <v>0.10598157885435469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2742622</v>
      </c>
      <c r="D155" s="113">
        <v>2938150</v>
      </c>
      <c r="E155" s="113">
        <f t="shared" ref="E155:E166" si="22">D155-C155</f>
        <v>195528</v>
      </c>
      <c r="F155" s="114">
        <f t="shared" ref="F155:F166" si="23">IF(C155=0,0,E155/C155)</f>
        <v>7.1292361834769793E-2</v>
      </c>
    </row>
    <row r="156" spans="1:6" x14ac:dyDescent="0.2">
      <c r="A156" s="115">
        <v>2</v>
      </c>
      <c r="B156" s="116" t="s">
        <v>114</v>
      </c>
      <c r="C156" s="113">
        <v>699844</v>
      </c>
      <c r="D156" s="113">
        <v>784741</v>
      </c>
      <c r="E156" s="113">
        <f t="shared" si="22"/>
        <v>84897</v>
      </c>
      <c r="F156" s="114">
        <f t="shared" si="23"/>
        <v>0.12130846302890358</v>
      </c>
    </row>
    <row r="157" spans="1:6" x14ac:dyDescent="0.2">
      <c r="A157" s="115">
        <v>3</v>
      </c>
      <c r="B157" s="116" t="s">
        <v>115</v>
      </c>
      <c r="C157" s="113">
        <v>2382304</v>
      </c>
      <c r="D157" s="113">
        <v>2522742</v>
      </c>
      <c r="E157" s="113">
        <f t="shared" si="22"/>
        <v>140438</v>
      </c>
      <c r="F157" s="114">
        <f t="shared" si="23"/>
        <v>5.8950494983008049E-2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34892</v>
      </c>
      <c r="D159" s="113">
        <v>43868</v>
      </c>
      <c r="E159" s="113">
        <f t="shared" si="22"/>
        <v>8976</v>
      </c>
      <c r="F159" s="114">
        <f t="shared" si="23"/>
        <v>0.25725094577553592</v>
      </c>
    </row>
    <row r="160" spans="1:6" x14ac:dyDescent="0.2">
      <c r="A160" s="115">
        <v>6</v>
      </c>
      <c r="B160" s="116" t="s">
        <v>118</v>
      </c>
      <c r="C160" s="113">
        <v>120761</v>
      </c>
      <c r="D160" s="113">
        <v>108589</v>
      </c>
      <c r="E160" s="113">
        <f t="shared" si="22"/>
        <v>-12172</v>
      </c>
      <c r="F160" s="114">
        <f t="shared" si="23"/>
        <v>-0.10079413055539455</v>
      </c>
    </row>
    <row r="161" spans="1:6" x14ac:dyDescent="0.2">
      <c r="A161" s="115">
        <v>7</v>
      </c>
      <c r="B161" s="116" t="s">
        <v>119</v>
      </c>
      <c r="C161" s="113">
        <v>8932587</v>
      </c>
      <c r="D161" s="113">
        <v>9285062</v>
      </c>
      <c r="E161" s="113">
        <f t="shared" si="22"/>
        <v>352475</v>
      </c>
      <c r="F161" s="114">
        <f t="shared" si="23"/>
        <v>3.9459453347613631E-2</v>
      </c>
    </row>
    <row r="162" spans="1:6" x14ac:dyDescent="0.2">
      <c r="A162" s="115">
        <v>8</v>
      </c>
      <c r="B162" s="116" t="s">
        <v>120</v>
      </c>
      <c r="C162" s="113">
        <v>643041</v>
      </c>
      <c r="D162" s="113">
        <v>606390</v>
      </c>
      <c r="E162" s="113">
        <f t="shared" si="22"/>
        <v>-36651</v>
      </c>
      <c r="F162" s="114">
        <f t="shared" si="23"/>
        <v>-5.6996365706074727E-2</v>
      </c>
    </row>
    <row r="163" spans="1:6" x14ac:dyDescent="0.2">
      <c r="A163" s="115">
        <v>9</v>
      </c>
      <c r="B163" s="116" t="s">
        <v>121</v>
      </c>
      <c r="C163" s="113">
        <v>129713</v>
      </c>
      <c r="D163" s="113">
        <v>121996</v>
      </c>
      <c r="E163" s="113">
        <f t="shared" si="22"/>
        <v>-7717</v>
      </c>
      <c r="F163" s="114">
        <f t="shared" si="23"/>
        <v>-5.9492880436039564E-2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23507</v>
      </c>
      <c r="D165" s="113">
        <v>3851</v>
      </c>
      <c r="E165" s="113">
        <f t="shared" si="22"/>
        <v>-19656</v>
      </c>
      <c r="F165" s="114">
        <f t="shared" si="23"/>
        <v>-0.83617645807631769</v>
      </c>
    </row>
    <row r="166" spans="1:6" ht="33.75" customHeight="1" x14ac:dyDescent="0.25">
      <c r="A166" s="117"/>
      <c r="B166" s="118" t="s">
        <v>148</v>
      </c>
      <c r="C166" s="119">
        <f>SUM(C155:C165)</f>
        <v>15709271</v>
      </c>
      <c r="D166" s="119">
        <f>SUM(D155:D165)</f>
        <v>16415389</v>
      </c>
      <c r="E166" s="119">
        <f t="shared" si="22"/>
        <v>706118</v>
      </c>
      <c r="F166" s="120">
        <f t="shared" si="23"/>
        <v>4.4949125901513828E-2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4821</v>
      </c>
      <c r="D168" s="133">
        <v>5063</v>
      </c>
      <c r="E168" s="133">
        <f t="shared" ref="E168:E179" si="24">D168-C168</f>
        <v>242</v>
      </c>
      <c r="F168" s="114">
        <f t="shared" ref="F168:F179" si="25">IF(C168=0,0,E168/C168)</f>
        <v>5.0197054552997306E-2</v>
      </c>
    </row>
    <row r="169" spans="1:6" x14ac:dyDescent="0.2">
      <c r="A169" s="115">
        <v>2</v>
      </c>
      <c r="B169" s="116" t="s">
        <v>114</v>
      </c>
      <c r="C169" s="133">
        <v>1282</v>
      </c>
      <c r="D169" s="133">
        <v>1458</v>
      </c>
      <c r="E169" s="133">
        <f t="shared" si="24"/>
        <v>176</v>
      </c>
      <c r="F169" s="114">
        <f t="shared" si="25"/>
        <v>0.13728549141965679</v>
      </c>
    </row>
    <row r="170" spans="1:6" x14ac:dyDescent="0.2">
      <c r="A170" s="115">
        <v>3</v>
      </c>
      <c r="B170" s="116" t="s">
        <v>115</v>
      </c>
      <c r="C170" s="133">
        <v>6929</v>
      </c>
      <c r="D170" s="133">
        <v>7464</v>
      </c>
      <c r="E170" s="133">
        <f t="shared" si="24"/>
        <v>535</v>
      </c>
      <c r="F170" s="114">
        <f t="shared" si="25"/>
        <v>7.7211718862750758E-2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91</v>
      </c>
      <c r="D172" s="133">
        <v>124</v>
      </c>
      <c r="E172" s="133">
        <f t="shared" si="24"/>
        <v>33</v>
      </c>
      <c r="F172" s="114">
        <f t="shared" si="25"/>
        <v>0.36263736263736263</v>
      </c>
    </row>
    <row r="173" spans="1:6" x14ac:dyDescent="0.2">
      <c r="A173" s="115">
        <v>6</v>
      </c>
      <c r="B173" s="116" t="s">
        <v>118</v>
      </c>
      <c r="C173" s="133">
        <v>126</v>
      </c>
      <c r="D173" s="133">
        <v>114</v>
      </c>
      <c r="E173" s="133">
        <f t="shared" si="24"/>
        <v>-12</v>
      </c>
      <c r="F173" s="114">
        <f t="shared" si="25"/>
        <v>-9.5238095238095233E-2</v>
      </c>
    </row>
    <row r="174" spans="1:6" x14ac:dyDescent="0.2">
      <c r="A174" s="115">
        <v>7</v>
      </c>
      <c r="B174" s="116" t="s">
        <v>119</v>
      </c>
      <c r="C174" s="133">
        <v>9574</v>
      </c>
      <c r="D174" s="133">
        <v>9647</v>
      </c>
      <c r="E174" s="133">
        <f t="shared" si="24"/>
        <v>73</v>
      </c>
      <c r="F174" s="114">
        <f t="shared" si="25"/>
        <v>7.6248172132859825E-3</v>
      </c>
    </row>
    <row r="175" spans="1:6" x14ac:dyDescent="0.2">
      <c r="A175" s="115">
        <v>8</v>
      </c>
      <c r="B175" s="116" t="s">
        <v>120</v>
      </c>
      <c r="C175" s="133">
        <v>583</v>
      </c>
      <c r="D175" s="133">
        <v>608</v>
      </c>
      <c r="E175" s="133">
        <f t="shared" si="24"/>
        <v>25</v>
      </c>
      <c r="F175" s="114">
        <f t="shared" si="25"/>
        <v>4.2881646655231559E-2</v>
      </c>
    </row>
    <row r="176" spans="1:6" x14ac:dyDescent="0.2">
      <c r="A176" s="115">
        <v>9</v>
      </c>
      <c r="B176" s="116" t="s">
        <v>121</v>
      </c>
      <c r="C176" s="133">
        <v>901</v>
      </c>
      <c r="D176" s="133">
        <v>804</v>
      </c>
      <c r="E176" s="133">
        <f t="shared" si="24"/>
        <v>-97</v>
      </c>
      <c r="F176" s="114">
        <f t="shared" si="25"/>
        <v>-0.1076581576026637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83</v>
      </c>
      <c r="D178" s="133">
        <v>88</v>
      </c>
      <c r="E178" s="133">
        <f t="shared" si="24"/>
        <v>5</v>
      </c>
      <c r="F178" s="114">
        <f t="shared" si="25"/>
        <v>6.0240963855421686E-2</v>
      </c>
    </row>
    <row r="179" spans="1:6" ht="33.75" customHeight="1" x14ac:dyDescent="0.25">
      <c r="A179" s="117"/>
      <c r="B179" s="118" t="s">
        <v>150</v>
      </c>
      <c r="C179" s="134">
        <f>SUM(C168:C178)</f>
        <v>24390</v>
      </c>
      <c r="D179" s="134">
        <f>SUM(D168:D178)</f>
        <v>25370</v>
      </c>
      <c r="E179" s="134">
        <f t="shared" si="24"/>
        <v>980</v>
      </c>
      <c r="F179" s="120">
        <f t="shared" si="25"/>
        <v>4.0180401804018037E-2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FILING&amp;RJOHN DEMPSEY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36895430</v>
      </c>
      <c r="D15" s="157">
        <v>35825105</v>
      </c>
      <c r="E15" s="157">
        <f>+D15-C15</f>
        <v>-1070325</v>
      </c>
      <c r="F15" s="161">
        <f>IF(C15=0,0,E15/C15)</f>
        <v>-2.9009690360025618E-2</v>
      </c>
    </row>
    <row r="16" spans="1:6" ht="15" customHeight="1" x14ac:dyDescent="0.2">
      <c r="A16" s="147">
        <v>2</v>
      </c>
      <c r="B16" s="160" t="s">
        <v>157</v>
      </c>
      <c r="C16" s="157">
        <v>2571218</v>
      </c>
      <c r="D16" s="157">
        <v>3099619</v>
      </c>
      <c r="E16" s="157">
        <f>+D16-C16</f>
        <v>528401</v>
      </c>
      <c r="F16" s="161">
        <f>IF(C16=0,0,E16/C16)</f>
        <v>0.20550610644449441</v>
      </c>
    </row>
    <row r="17" spans="1:6" ht="15" customHeight="1" x14ac:dyDescent="0.2">
      <c r="A17" s="147">
        <v>3</v>
      </c>
      <c r="B17" s="160" t="s">
        <v>158</v>
      </c>
      <c r="C17" s="157">
        <v>65156560</v>
      </c>
      <c r="D17" s="157">
        <v>68386128</v>
      </c>
      <c r="E17" s="157">
        <f>+D17-C17</f>
        <v>3229568</v>
      </c>
      <c r="F17" s="161">
        <f>IF(C17=0,0,E17/C17)</f>
        <v>4.9566275444866949E-2</v>
      </c>
    </row>
    <row r="18" spans="1:6" ht="15.75" customHeight="1" x14ac:dyDescent="0.25">
      <c r="A18" s="147"/>
      <c r="B18" s="162" t="s">
        <v>159</v>
      </c>
      <c r="C18" s="158">
        <f>SUM(C15:C17)</f>
        <v>104623208</v>
      </c>
      <c r="D18" s="158">
        <f>SUM(D15:D17)</f>
        <v>107310852</v>
      </c>
      <c r="E18" s="158">
        <f>+D18-C18</f>
        <v>2687644</v>
      </c>
      <c r="F18" s="159">
        <f>IF(C18=0,0,E18/C18)</f>
        <v>2.5688793637449924E-2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19514370</v>
      </c>
      <c r="D21" s="157">
        <v>19135000</v>
      </c>
      <c r="E21" s="157">
        <f>+D21-C21</f>
        <v>-379370</v>
      </c>
      <c r="F21" s="161">
        <f>IF(C21=0,0,E21/C21)</f>
        <v>-1.9440545608185148E-2</v>
      </c>
    </row>
    <row r="22" spans="1:6" ht="15" customHeight="1" x14ac:dyDescent="0.2">
      <c r="A22" s="147">
        <v>2</v>
      </c>
      <c r="B22" s="160" t="s">
        <v>162</v>
      </c>
      <c r="C22" s="157">
        <v>618052</v>
      </c>
      <c r="D22" s="157">
        <v>756287</v>
      </c>
      <c r="E22" s="157">
        <f>+D22-C22</f>
        <v>138235</v>
      </c>
      <c r="F22" s="161">
        <f>IF(C22=0,0,E22/C22)</f>
        <v>0.22366241028262995</v>
      </c>
    </row>
    <row r="23" spans="1:6" ht="15" customHeight="1" x14ac:dyDescent="0.2">
      <c r="A23" s="147">
        <v>3</v>
      </c>
      <c r="B23" s="160" t="s">
        <v>163</v>
      </c>
      <c r="C23" s="157">
        <v>35596592</v>
      </c>
      <c r="D23" s="157">
        <v>37538515</v>
      </c>
      <c r="E23" s="157">
        <f>+D23-C23</f>
        <v>1941923</v>
      </c>
      <c r="F23" s="161">
        <f>IF(C23=0,0,E23/C23)</f>
        <v>5.4553621312961646E-2</v>
      </c>
    </row>
    <row r="24" spans="1:6" ht="15.75" customHeight="1" x14ac:dyDescent="0.25">
      <c r="A24" s="147"/>
      <c r="B24" s="162" t="s">
        <v>164</v>
      </c>
      <c r="C24" s="158">
        <f>SUM(C21:C23)</f>
        <v>55729014</v>
      </c>
      <c r="D24" s="158">
        <f>SUM(D21:D23)</f>
        <v>57429802</v>
      </c>
      <c r="E24" s="158">
        <f>+D24-C24</f>
        <v>1700788</v>
      </c>
      <c r="F24" s="159">
        <f>IF(C24=0,0,E24/C24)</f>
        <v>3.0518896314942878E-2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6560914</v>
      </c>
      <c r="D27" s="157">
        <v>5288836</v>
      </c>
      <c r="E27" s="157">
        <f>+D27-C27</f>
        <v>-1272078</v>
      </c>
      <c r="F27" s="161">
        <f>IF(C27=0,0,E27/C27)</f>
        <v>-0.19388731509054988</v>
      </c>
    </row>
    <row r="28" spans="1:6" ht="15" customHeight="1" x14ac:dyDescent="0.2">
      <c r="A28" s="147">
        <v>2</v>
      </c>
      <c r="B28" s="160" t="s">
        <v>167</v>
      </c>
      <c r="C28" s="157">
        <v>20183070</v>
      </c>
      <c r="D28" s="157">
        <v>23033317</v>
      </c>
      <c r="E28" s="157">
        <f>+D28-C28</f>
        <v>2850247</v>
      </c>
      <c r="F28" s="161">
        <f>IF(C28=0,0,E28/C28)</f>
        <v>0.14121969551708438</v>
      </c>
    </row>
    <row r="29" spans="1:6" ht="15" customHeight="1" x14ac:dyDescent="0.2">
      <c r="A29" s="147">
        <v>3</v>
      </c>
      <c r="B29" s="160" t="s">
        <v>168</v>
      </c>
      <c r="C29" s="157">
        <v>31563361</v>
      </c>
      <c r="D29" s="157">
        <v>33147976</v>
      </c>
      <c r="E29" s="157">
        <f>+D29-C29</f>
        <v>1584615</v>
      </c>
      <c r="F29" s="161">
        <f>IF(C29=0,0,E29/C29)</f>
        <v>5.0204254230086585E-2</v>
      </c>
    </row>
    <row r="30" spans="1:6" ht="15.75" customHeight="1" x14ac:dyDescent="0.25">
      <c r="A30" s="147"/>
      <c r="B30" s="162" t="s">
        <v>169</v>
      </c>
      <c r="C30" s="158">
        <f>SUM(C27:C29)</f>
        <v>58307345</v>
      </c>
      <c r="D30" s="158">
        <f>SUM(D27:D29)</f>
        <v>61470129</v>
      </c>
      <c r="E30" s="158">
        <f>+D30-C30</f>
        <v>3162784</v>
      </c>
      <c r="F30" s="159">
        <f>IF(C30=0,0,E30/C30)</f>
        <v>5.424332045988374E-2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34236259</v>
      </c>
      <c r="D33" s="157">
        <v>37582816</v>
      </c>
      <c r="E33" s="157">
        <f>+D33-C33</f>
        <v>3346557</v>
      </c>
      <c r="F33" s="161">
        <f>IF(C33=0,0,E33/C33)</f>
        <v>9.7748910007953854E-2</v>
      </c>
    </row>
    <row r="34" spans="1:6" ht="15" customHeight="1" x14ac:dyDescent="0.2">
      <c r="A34" s="147">
        <v>2</v>
      </c>
      <c r="B34" s="160" t="s">
        <v>173</v>
      </c>
      <c r="C34" s="157">
        <v>20209268</v>
      </c>
      <c r="D34" s="157">
        <v>21195328</v>
      </c>
      <c r="E34" s="157">
        <f>+D34-C34</f>
        <v>986060</v>
      </c>
      <c r="F34" s="161">
        <f>IF(C34=0,0,E34/C34)</f>
        <v>4.8792464922529602E-2</v>
      </c>
    </row>
    <row r="35" spans="1:6" ht="15.75" customHeight="1" x14ac:dyDescent="0.25">
      <c r="A35" s="147"/>
      <c r="B35" s="162" t="s">
        <v>174</v>
      </c>
      <c r="C35" s="158">
        <f>SUM(C33:C34)</f>
        <v>54445527</v>
      </c>
      <c r="D35" s="158">
        <f>SUM(D33:D34)</f>
        <v>58778144</v>
      </c>
      <c r="E35" s="158">
        <f>+D35-C35</f>
        <v>4332617</v>
      </c>
      <c r="F35" s="159">
        <f>IF(C35=0,0,E35/C35)</f>
        <v>7.9577097306818251E-2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2342805</v>
      </c>
      <c r="D38" s="157">
        <v>2223625</v>
      </c>
      <c r="E38" s="157">
        <f>+D38-C38</f>
        <v>-119180</v>
      </c>
      <c r="F38" s="161">
        <f>IF(C38=0,0,E38/C38)</f>
        <v>-5.0870644377146196E-2</v>
      </c>
    </row>
    <row r="39" spans="1:6" ht="15" customHeight="1" x14ac:dyDescent="0.2">
      <c r="A39" s="147">
        <v>2</v>
      </c>
      <c r="B39" s="160" t="s">
        <v>178</v>
      </c>
      <c r="C39" s="157">
        <v>6563950</v>
      </c>
      <c r="D39" s="157">
        <v>5655419</v>
      </c>
      <c r="E39" s="157">
        <f>+D39-C39</f>
        <v>-908531</v>
      </c>
      <c r="F39" s="161">
        <f>IF(C39=0,0,E39/C39)</f>
        <v>-0.13841223653440382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8906755</v>
      </c>
      <c r="D41" s="158">
        <f>SUM(D38:D40)</f>
        <v>7879044</v>
      </c>
      <c r="E41" s="158">
        <f>+D41-C41</f>
        <v>-1027711</v>
      </c>
      <c r="F41" s="159">
        <f>IF(C41=0,0,E41/C41)</f>
        <v>-0.115385569716468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0</v>
      </c>
      <c r="D47" s="157">
        <v>0</v>
      </c>
      <c r="E47" s="157">
        <f>+D47-C47</f>
        <v>0</v>
      </c>
      <c r="F47" s="161">
        <f>IF(C47=0,0,E47/C47)</f>
        <v>0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3128114</v>
      </c>
      <c r="D50" s="157">
        <v>3128114</v>
      </c>
      <c r="E50" s="157">
        <f>+D50-C50</f>
        <v>0</v>
      </c>
      <c r="F50" s="161">
        <f>IF(C50=0,0,E50/C50)</f>
        <v>0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78878</v>
      </c>
      <c r="D53" s="157">
        <v>46862</v>
      </c>
      <c r="E53" s="157">
        <f t="shared" ref="E53:E59" si="0">+D53-C53</f>
        <v>-32016</v>
      </c>
      <c r="F53" s="161">
        <f t="shared" ref="F53:F59" si="1">IF(C53=0,0,E53/C53)</f>
        <v>-0.40589264433682398</v>
      </c>
    </row>
    <row r="54" spans="1:6" ht="15" customHeight="1" x14ac:dyDescent="0.2">
      <c r="A54" s="147">
        <v>2</v>
      </c>
      <c r="B54" s="160" t="s">
        <v>189</v>
      </c>
      <c r="C54" s="157">
        <v>316717</v>
      </c>
      <c r="D54" s="157">
        <v>338217</v>
      </c>
      <c r="E54" s="157">
        <f t="shared" si="0"/>
        <v>21500</v>
      </c>
      <c r="F54" s="161">
        <f t="shared" si="1"/>
        <v>6.7883946867392658E-2</v>
      </c>
    </row>
    <row r="55" spans="1:6" ht="15" customHeight="1" x14ac:dyDescent="0.2">
      <c r="A55" s="147">
        <v>3</v>
      </c>
      <c r="B55" s="160" t="s">
        <v>190</v>
      </c>
      <c r="C55" s="157">
        <v>0</v>
      </c>
      <c r="D55" s="157">
        <v>113107</v>
      </c>
      <c r="E55" s="157">
        <f t="shared" si="0"/>
        <v>113107</v>
      </c>
      <c r="F55" s="161">
        <f t="shared" si="1"/>
        <v>0</v>
      </c>
    </row>
    <row r="56" spans="1:6" ht="15" customHeight="1" x14ac:dyDescent="0.2">
      <c r="A56" s="147">
        <v>4</v>
      </c>
      <c r="B56" s="160" t="s">
        <v>191</v>
      </c>
      <c r="C56" s="157">
        <v>1587450</v>
      </c>
      <c r="D56" s="157">
        <v>1623345</v>
      </c>
      <c r="E56" s="157">
        <f t="shared" si="0"/>
        <v>35895</v>
      </c>
      <c r="F56" s="161">
        <f t="shared" si="1"/>
        <v>2.2611735802702447E-2</v>
      </c>
    </row>
    <row r="57" spans="1:6" ht="15" customHeight="1" x14ac:dyDescent="0.2">
      <c r="A57" s="147">
        <v>5</v>
      </c>
      <c r="B57" s="160" t="s">
        <v>192</v>
      </c>
      <c r="C57" s="157">
        <v>659841</v>
      </c>
      <c r="D57" s="157">
        <v>1054651</v>
      </c>
      <c r="E57" s="157">
        <f t="shared" si="0"/>
        <v>394810</v>
      </c>
      <c r="F57" s="161">
        <f t="shared" si="1"/>
        <v>0.59834111551116098</v>
      </c>
    </row>
    <row r="58" spans="1:6" ht="15" customHeight="1" x14ac:dyDescent="0.2">
      <c r="A58" s="147">
        <v>6</v>
      </c>
      <c r="B58" s="160" t="s">
        <v>193</v>
      </c>
      <c r="C58" s="157">
        <v>67619</v>
      </c>
      <c r="D58" s="157">
        <v>58011</v>
      </c>
      <c r="E58" s="157">
        <f t="shared" si="0"/>
        <v>-9608</v>
      </c>
      <c r="F58" s="161">
        <f t="shared" si="1"/>
        <v>-0.14209024090862035</v>
      </c>
    </row>
    <row r="59" spans="1:6" ht="15.75" customHeight="1" x14ac:dyDescent="0.25">
      <c r="A59" s="147"/>
      <c r="B59" s="162" t="s">
        <v>194</v>
      </c>
      <c r="C59" s="158">
        <f>SUM(C53:C58)</f>
        <v>2710505</v>
      </c>
      <c r="D59" s="158">
        <f>SUM(D53:D58)</f>
        <v>3234193</v>
      </c>
      <c r="E59" s="158">
        <f t="shared" si="0"/>
        <v>523688</v>
      </c>
      <c r="F59" s="159">
        <f t="shared" si="1"/>
        <v>0.19320680094668705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88311</v>
      </c>
      <c r="D62" s="157">
        <v>76480</v>
      </c>
      <c r="E62" s="157">
        <f t="shared" ref="E62:E90" si="2">+D62-C62</f>
        <v>-11831</v>
      </c>
      <c r="F62" s="161">
        <f t="shared" ref="F62:F90" si="3">IF(C62=0,0,E62/C62)</f>
        <v>-0.1339697206463521</v>
      </c>
    </row>
    <row r="63" spans="1:6" ht="15" customHeight="1" x14ac:dyDescent="0.2">
      <c r="A63" s="147">
        <v>2</v>
      </c>
      <c r="B63" s="160" t="s">
        <v>198</v>
      </c>
      <c r="C63" s="157">
        <v>239757</v>
      </c>
      <c r="D63" s="157">
        <v>350268</v>
      </c>
      <c r="E63" s="157">
        <f t="shared" si="2"/>
        <v>110511</v>
      </c>
      <c r="F63" s="161">
        <f t="shared" si="3"/>
        <v>0.46092919080569078</v>
      </c>
    </row>
    <row r="64" spans="1:6" ht="15" customHeight="1" x14ac:dyDescent="0.2">
      <c r="A64" s="147">
        <v>3</v>
      </c>
      <c r="B64" s="160" t="s">
        <v>199</v>
      </c>
      <c r="C64" s="157">
        <v>0</v>
      </c>
      <c r="D64" s="157">
        <v>0</v>
      </c>
      <c r="E64" s="157">
        <f t="shared" si="2"/>
        <v>0</v>
      </c>
      <c r="F64" s="161">
        <f t="shared" si="3"/>
        <v>0</v>
      </c>
    </row>
    <row r="65" spans="1:6" ht="15" customHeight="1" x14ac:dyDescent="0.2">
      <c r="A65" s="147">
        <v>4</v>
      </c>
      <c r="B65" s="160" t="s">
        <v>200</v>
      </c>
      <c r="C65" s="157">
        <v>575073</v>
      </c>
      <c r="D65" s="157">
        <v>462667</v>
      </c>
      <c r="E65" s="157">
        <f t="shared" si="2"/>
        <v>-112406</v>
      </c>
      <c r="F65" s="161">
        <f t="shared" si="3"/>
        <v>-0.19546388023781328</v>
      </c>
    </row>
    <row r="66" spans="1:6" ht="15" customHeight="1" x14ac:dyDescent="0.2">
      <c r="A66" s="147">
        <v>5</v>
      </c>
      <c r="B66" s="160" t="s">
        <v>201</v>
      </c>
      <c r="C66" s="157">
        <v>1970045</v>
      </c>
      <c r="D66" s="157">
        <v>2668173</v>
      </c>
      <c r="E66" s="157">
        <f t="shared" si="2"/>
        <v>698128</v>
      </c>
      <c r="F66" s="161">
        <f t="shared" si="3"/>
        <v>0.35437160064871615</v>
      </c>
    </row>
    <row r="67" spans="1:6" ht="15" customHeight="1" x14ac:dyDescent="0.2">
      <c r="A67" s="147">
        <v>6</v>
      </c>
      <c r="B67" s="160" t="s">
        <v>202</v>
      </c>
      <c r="C67" s="157">
        <v>0</v>
      </c>
      <c r="D67" s="157">
        <v>0</v>
      </c>
      <c r="E67" s="157">
        <f t="shared" si="2"/>
        <v>0</v>
      </c>
      <c r="F67" s="161">
        <f t="shared" si="3"/>
        <v>0</v>
      </c>
    </row>
    <row r="68" spans="1:6" ht="15" customHeight="1" x14ac:dyDescent="0.2">
      <c r="A68" s="147">
        <v>7</v>
      </c>
      <c r="B68" s="160" t="s">
        <v>203</v>
      </c>
      <c r="C68" s="157">
        <v>7117856</v>
      </c>
      <c r="D68" s="157">
        <v>7729172</v>
      </c>
      <c r="E68" s="157">
        <f t="shared" si="2"/>
        <v>611316</v>
      </c>
      <c r="F68" s="161">
        <f t="shared" si="3"/>
        <v>8.5884850719092937E-2</v>
      </c>
    </row>
    <row r="69" spans="1:6" ht="15" customHeight="1" x14ac:dyDescent="0.2">
      <c r="A69" s="147">
        <v>8</v>
      </c>
      <c r="B69" s="160" t="s">
        <v>204</v>
      </c>
      <c r="C69" s="157">
        <v>316351</v>
      </c>
      <c r="D69" s="157">
        <v>262652</v>
      </c>
      <c r="E69" s="157">
        <f t="shared" si="2"/>
        <v>-53699</v>
      </c>
      <c r="F69" s="161">
        <f t="shared" si="3"/>
        <v>-0.16974499843528232</v>
      </c>
    </row>
    <row r="70" spans="1:6" ht="15" customHeight="1" x14ac:dyDescent="0.2">
      <c r="A70" s="147">
        <v>9</v>
      </c>
      <c r="B70" s="160" t="s">
        <v>205</v>
      </c>
      <c r="C70" s="157">
        <v>134671</v>
      </c>
      <c r="D70" s="157">
        <v>125110</v>
      </c>
      <c r="E70" s="157">
        <f t="shared" si="2"/>
        <v>-9561</v>
      </c>
      <c r="F70" s="161">
        <f t="shared" si="3"/>
        <v>-7.0995240252170105E-2</v>
      </c>
    </row>
    <row r="71" spans="1:6" ht="15" customHeight="1" x14ac:dyDescent="0.2">
      <c r="A71" s="147">
        <v>10</v>
      </c>
      <c r="B71" s="160" t="s">
        <v>206</v>
      </c>
      <c r="C71" s="157">
        <v>0</v>
      </c>
      <c r="D71" s="157">
        <v>0</v>
      </c>
      <c r="E71" s="157">
        <f t="shared" si="2"/>
        <v>0</v>
      </c>
      <c r="F71" s="161">
        <f t="shared" si="3"/>
        <v>0</v>
      </c>
    </row>
    <row r="72" spans="1:6" ht="15" customHeight="1" x14ac:dyDescent="0.2">
      <c r="A72" s="147">
        <v>11</v>
      </c>
      <c r="B72" s="160" t="s">
        <v>207</v>
      </c>
      <c r="C72" s="157">
        <v>0</v>
      </c>
      <c r="D72" s="157">
        <v>0</v>
      </c>
      <c r="E72" s="157">
        <f t="shared" si="2"/>
        <v>0</v>
      </c>
      <c r="F72" s="161">
        <f t="shared" si="3"/>
        <v>0</v>
      </c>
    </row>
    <row r="73" spans="1:6" ht="15" customHeight="1" x14ac:dyDescent="0.2">
      <c r="A73" s="147">
        <v>12</v>
      </c>
      <c r="B73" s="160" t="s">
        <v>208</v>
      </c>
      <c r="C73" s="157">
        <v>0</v>
      </c>
      <c r="D73" s="157">
        <v>0</v>
      </c>
      <c r="E73" s="157">
        <f t="shared" si="2"/>
        <v>0</v>
      </c>
      <c r="F73" s="161">
        <f t="shared" si="3"/>
        <v>0</v>
      </c>
    </row>
    <row r="74" spans="1:6" ht="15" customHeight="1" x14ac:dyDescent="0.2">
      <c r="A74" s="147">
        <v>13</v>
      </c>
      <c r="B74" s="160" t="s">
        <v>209</v>
      </c>
      <c r="C74" s="157">
        <v>320971</v>
      </c>
      <c r="D74" s="157">
        <v>322651</v>
      </c>
      <c r="E74" s="157">
        <f t="shared" si="2"/>
        <v>1680</v>
      </c>
      <c r="F74" s="161">
        <f t="shared" si="3"/>
        <v>5.2341177240311431E-3</v>
      </c>
    </row>
    <row r="75" spans="1:6" ht="15" customHeight="1" x14ac:dyDescent="0.2">
      <c r="A75" s="147">
        <v>14</v>
      </c>
      <c r="B75" s="160" t="s">
        <v>210</v>
      </c>
      <c r="C75" s="157">
        <v>202019</v>
      </c>
      <c r="D75" s="157">
        <v>226430</v>
      </c>
      <c r="E75" s="157">
        <f t="shared" si="2"/>
        <v>24411</v>
      </c>
      <c r="F75" s="161">
        <f t="shared" si="3"/>
        <v>0.12083516896925536</v>
      </c>
    </row>
    <row r="76" spans="1:6" ht="15" customHeight="1" x14ac:dyDescent="0.2">
      <c r="A76" s="147">
        <v>15</v>
      </c>
      <c r="B76" s="160" t="s">
        <v>211</v>
      </c>
      <c r="C76" s="157">
        <v>1203130</v>
      </c>
      <c r="D76" s="157">
        <v>890824</v>
      </c>
      <c r="E76" s="157">
        <f t="shared" si="2"/>
        <v>-312306</v>
      </c>
      <c r="F76" s="161">
        <f t="shared" si="3"/>
        <v>-0.25957793422157205</v>
      </c>
    </row>
    <row r="77" spans="1:6" ht="15" customHeight="1" x14ac:dyDescent="0.2">
      <c r="A77" s="147">
        <v>16</v>
      </c>
      <c r="B77" s="160" t="s">
        <v>212</v>
      </c>
      <c r="C77" s="157">
        <v>219968</v>
      </c>
      <c r="D77" s="157">
        <v>242267</v>
      </c>
      <c r="E77" s="157">
        <f t="shared" si="2"/>
        <v>22299</v>
      </c>
      <c r="F77" s="161">
        <f t="shared" si="3"/>
        <v>0.10137383619435554</v>
      </c>
    </row>
    <row r="78" spans="1:6" ht="15" customHeight="1" x14ac:dyDescent="0.2">
      <c r="A78" s="147">
        <v>17</v>
      </c>
      <c r="B78" s="160" t="s">
        <v>213</v>
      </c>
      <c r="C78" s="157">
        <v>3570765</v>
      </c>
      <c r="D78" s="157">
        <v>3450470</v>
      </c>
      <c r="E78" s="157">
        <f t="shared" si="2"/>
        <v>-120295</v>
      </c>
      <c r="F78" s="161">
        <f t="shared" si="3"/>
        <v>-3.3688859390074676E-2</v>
      </c>
    </row>
    <row r="79" spans="1:6" ht="15" customHeight="1" x14ac:dyDescent="0.2">
      <c r="A79" s="147">
        <v>18</v>
      </c>
      <c r="B79" s="160" t="s">
        <v>214</v>
      </c>
      <c r="C79" s="157">
        <v>94573</v>
      </c>
      <c r="D79" s="157">
        <v>80219</v>
      </c>
      <c r="E79" s="157">
        <f t="shared" si="2"/>
        <v>-14354</v>
      </c>
      <c r="F79" s="161">
        <f t="shared" si="3"/>
        <v>-0.15177693422012625</v>
      </c>
    </row>
    <row r="80" spans="1:6" ht="15" customHeight="1" x14ac:dyDescent="0.2">
      <c r="A80" s="147">
        <v>19</v>
      </c>
      <c r="B80" s="160" t="s">
        <v>215</v>
      </c>
      <c r="C80" s="157">
        <v>4660808</v>
      </c>
      <c r="D80" s="157">
        <v>4700724</v>
      </c>
      <c r="E80" s="157">
        <f t="shared" si="2"/>
        <v>39916</v>
      </c>
      <c r="F80" s="161">
        <f t="shared" si="3"/>
        <v>8.5641802880530582E-3</v>
      </c>
    </row>
    <row r="81" spans="1:6" ht="15" customHeight="1" x14ac:dyDescent="0.2">
      <c r="A81" s="147">
        <v>20</v>
      </c>
      <c r="B81" s="160" t="s">
        <v>216</v>
      </c>
      <c r="C81" s="157">
        <v>1673044</v>
      </c>
      <c r="D81" s="157">
        <v>1291648</v>
      </c>
      <c r="E81" s="157">
        <f t="shared" si="2"/>
        <v>-381396</v>
      </c>
      <c r="F81" s="161">
        <f t="shared" si="3"/>
        <v>-0.2279653135243305</v>
      </c>
    </row>
    <row r="82" spans="1:6" ht="15" customHeight="1" x14ac:dyDescent="0.2">
      <c r="A82" s="147">
        <v>21</v>
      </c>
      <c r="B82" s="160" t="s">
        <v>217</v>
      </c>
      <c r="C82" s="157">
        <v>281706</v>
      </c>
      <c r="D82" s="157">
        <v>449780</v>
      </c>
      <c r="E82" s="157">
        <f t="shared" si="2"/>
        <v>168074</v>
      </c>
      <c r="F82" s="161">
        <f t="shared" si="3"/>
        <v>0.59662910978111927</v>
      </c>
    </row>
    <row r="83" spans="1:6" ht="15" customHeight="1" x14ac:dyDescent="0.2">
      <c r="A83" s="147">
        <v>22</v>
      </c>
      <c r="B83" s="160" t="s">
        <v>218</v>
      </c>
      <c r="C83" s="157">
        <v>12330</v>
      </c>
      <c r="D83" s="157">
        <v>0</v>
      </c>
      <c r="E83" s="157">
        <f t="shared" si="2"/>
        <v>-12330</v>
      </c>
      <c r="F83" s="161">
        <f t="shared" si="3"/>
        <v>-1</v>
      </c>
    </row>
    <row r="84" spans="1:6" ht="15" customHeight="1" x14ac:dyDescent="0.2">
      <c r="A84" s="147">
        <v>23</v>
      </c>
      <c r="B84" s="160" t="s">
        <v>219</v>
      </c>
      <c r="C84" s="157">
        <v>885673</v>
      </c>
      <c r="D84" s="157">
        <v>758112</v>
      </c>
      <c r="E84" s="157">
        <f t="shared" si="2"/>
        <v>-127561</v>
      </c>
      <c r="F84" s="161">
        <f t="shared" si="3"/>
        <v>-0.14402719739678188</v>
      </c>
    </row>
    <row r="85" spans="1:6" ht="15" customHeight="1" x14ac:dyDescent="0.2">
      <c r="A85" s="147">
        <v>24</v>
      </c>
      <c r="B85" s="160" t="s">
        <v>220</v>
      </c>
      <c r="C85" s="157">
        <v>1129514</v>
      </c>
      <c r="D85" s="157">
        <v>1010397</v>
      </c>
      <c r="E85" s="157">
        <f t="shared" si="2"/>
        <v>-119117</v>
      </c>
      <c r="F85" s="161">
        <f t="shared" si="3"/>
        <v>-0.10545863088018387</v>
      </c>
    </row>
    <row r="86" spans="1:6" ht="15" customHeight="1" x14ac:dyDescent="0.2">
      <c r="A86" s="147">
        <v>25</v>
      </c>
      <c r="B86" s="160" t="s">
        <v>221</v>
      </c>
      <c r="C86" s="157">
        <v>1474</v>
      </c>
      <c r="D86" s="157">
        <v>1991</v>
      </c>
      <c r="E86" s="157">
        <f t="shared" si="2"/>
        <v>517</v>
      </c>
      <c r="F86" s="161">
        <f t="shared" si="3"/>
        <v>0.35074626865671643</v>
      </c>
    </row>
    <row r="87" spans="1:6" ht="15" customHeight="1" x14ac:dyDescent="0.2">
      <c r="A87" s="147">
        <v>26</v>
      </c>
      <c r="B87" s="160" t="s">
        <v>222</v>
      </c>
      <c r="C87" s="157">
        <v>3756792</v>
      </c>
      <c r="D87" s="157">
        <v>3447736</v>
      </c>
      <c r="E87" s="157">
        <f t="shared" si="2"/>
        <v>-309056</v>
      </c>
      <c r="F87" s="161">
        <f t="shared" si="3"/>
        <v>-8.2265933274985673E-2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0</v>
      </c>
      <c r="E88" s="157">
        <f t="shared" si="2"/>
        <v>0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6968107</v>
      </c>
      <c r="D89" s="157">
        <v>10908470</v>
      </c>
      <c r="E89" s="157">
        <f t="shared" si="2"/>
        <v>3940363</v>
      </c>
      <c r="F89" s="161">
        <f t="shared" si="3"/>
        <v>0.56548543241371008</v>
      </c>
    </row>
    <row r="90" spans="1:6" ht="15.75" customHeight="1" x14ac:dyDescent="0.25">
      <c r="A90" s="147"/>
      <c r="B90" s="162" t="s">
        <v>225</v>
      </c>
      <c r="C90" s="158">
        <f>SUM(C62:C89)</f>
        <v>35422938</v>
      </c>
      <c r="D90" s="158">
        <f>SUM(D62:D89)</f>
        <v>39456241</v>
      </c>
      <c r="E90" s="158">
        <f t="shared" si="2"/>
        <v>4033303</v>
      </c>
      <c r="F90" s="159">
        <f t="shared" si="3"/>
        <v>0.113861334709165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3299235</v>
      </c>
      <c r="D93" s="157">
        <v>2092739</v>
      </c>
      <c r="E93" s="157">
        <f>+D93-C93</f>
        <v>-1206496</v>
      </c>
      <c r="F93" s="161">
        <f>IF(C93=0,0,E93/C93)</f>
        <v>-0.36568962198812754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326572641</v>
      </c>
      <c r="D95" s="158">
        <f>+D93+D90+D59+D50+D47+D44+D41+D35+D30+D24+D18</f>
        <v>340779258</v>
      </c>
      <c r="E95" s="158">
        <f>+D95-C95</f>
        <v>14206617</v>
      </c>
      <c r="F95" s="159">
        <f>IF(C95=0,0,E95/C95)</f>
        <v>4.3502165265583287E-2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10957864</v>
      </c>
      <c r="D103" s="157">
        <v>12376984</v>
      </c>
      <c r="E103" s="157">
        <f t="shared" ref="E103:E121" si="4">D103-C103</f>
        <v>1419120</v>
      </c>
      <c r="F103" s="161">
        <f t="shared" ref="F103:F121" si="5">IF(C103=0,0,E103/C103)</f>
        <v>0.12950699150856407</v>
      </c>
    </row>
    <row r="104" spans="1:6" ht="15" customHeight="1" x14ac:dyDescent="0.2">
      <c r="A104" s="147">
        <v>2</v>
      </c>
      <c r="B104" s="169" t="s">
        <v>234</v>
      </c>
      <c r="C104" s="157">
        <v>314858</v>
      </c>
      <c r="D104" s="157">
        <v>194858</v>
      </c>
      <c r="E104" s="157">
        <f t="shared" si="4"/>
        <v>-120000</v>
      </c>
      <c r="F104" s="161">
        <f t="shared" si="5"/>
        <v>-0.38112418931708897</v>
      </c>
    </row>
    <row r="105" spans="1:6" ht="15" customHeight="1" x14ac:dyDescent="0.2">
      <c r="A105" s="147">
        <v>3</v>
      </c>
      <c r="B105" s="169" t="s">
        <v>235</v>
      </c>
      <c r="C105" s="157">
        <v>6262156</v>
      </c>
      <c r="D105" s="157">
        <v>6126699</v>
      </c>
      <c r="E105" s="157">
        <f t="shared" si="4"/>
        <v>-135457</v>
      </c>
      <c r="F105" s="161">
        <f t="shared" si="5"/>
        <v>-2.1631048475956205E-2</v>
      </c>
    </row>
    <row r="106" spans="1:6" ht="15" customHeight="1" x14ac:dyDescent="0.2">
      <c r="A106" s="147">
        <v>4</v>
      </c>
      <c r="B106" s="169" t="s">
        <v>236</v>
      </c>
      <c r="C106" s="157">
        <v>1819755</v>
      </c>
      <c r="D106" s="157">
        <v>1992558</v>
      </c>
      <c r="E106" s="157">
        <f t="shared" si="4"/>
        <v>172803</v>
      </c>
      <c r="F106" s="161">
        <f t="shared" si="5"/>
        <v>9.4959486304475052E-2</v>
      </c>
    </row>
    <row r="107" spans="1:6" ht="15" customHeight="1" x14ac:dyDescent="0.2">
      <c r="A107" s="147">
        <v>5</v>
      </c>
      <c r="B107" s="169" t="s">
        <v>237</v>
      </c>
      <c r="C107" s="157">
        <v>4051534</v>
      </c>
      <c r="D107" s="157">
        <v>3692885</v>
      </c>
      <c r="E107" s="157">
        <f t="shared" si="4"/>
        <v>-358649</v>
      </c>
      <c r="F107" s="161">
        <f t="shared" si="5"/>
        <v>-8.8521779651855328E-2</v>
      </c>
    </row>
    <row r="108" spans="1:6" ht="15" customHeight="1" x14ac:dyDescent="0.2">
      <c r="A108" s="147">
        <v>6</v>
      </c>
      <c r="B108" s="169" t="s">
        <v>238</v>
      </c>
      <c r="C108" s="157">
        <v>393047</v>
      </c>
      <c r="D108" s="157">
        <v>419035</v>
      </c>
      <c r="E108" s="157">
        <f t="shared" si="4"/>
        <v>25988</v>
      </c>
      <c r="F108" s="161">
        <f t="shared" si="5"/>
        <v>6.6119319063623436E-2</v>
      </c>
    </row>
    <row r="109" spans="1:6" ht="15" customHeight="1" x14ac:dyDescent="0.2">
      <c r="A109" s="147">
        <v>7</v>
      </c>
      <c r="B109" s="169" t="s">
        <v>239</v>
      </c>
      <c r="C109" s="157">
        <v>157356</v>
      </c>
      <c r="D109" s="157">
        <v>0</v>
      </c>
      <c r="E109" s="157">
        <f t="shared" si="4"/>
        <v>-157356</v>
      </c>
      <c r="F109" s="161">
        <f t="shared" si="5"/>
        <v>-1</v>
      </c>
    </row>
    <row r="110" spans="1:6" ht="15" customHeight="1" x14ac:dyDescent="0.2">
      <c r="A110" s="147">
        <v>8</v>
      </c>
      <c r="B110" s="169" t="s">
        <v>240</v>
      </c>
      <c r="C110" s="157">
        <v>631890</v>
      </c>
      <c r="D110" s="157">
        <v>667710</v>
      </c>
      <c r="E110" s="157">
        <f t="shared" si="4"/>
        <v>35820</v>
      </c>
      <c r="F110" s="161">
        <f t="shared" si="5"/>
        <v>5.6687081612305942E-2</v>
      </c>
    </row>
    <row r="111" spans="1:6" ht="15" customHeight="1" x14ac:dyDescent="0.2">
      <c r="A111" s="147">
        <v>9</v>
      </c>
      <c r="B111" s="169" t="s">
        <v>241</v>
      </c>
      <c r="C111" s="157">
        <v>0</v>
      </c>
      <c r="D111" s="157">
        <v>0</v>
      </c>
      <c r="E111" s="157">
        <f t="shared" si="4"/>
        <v>0</v>
      </c>
      <c r="F111" s="161">
        <f t="shared" si="5"/>
        <v>0</v>
      </c>
    </row>
    <row r="112" spans="1:6" ht="15" customHeight="1" x14ac:dyDescent="0.2">
      <c r="A112" s="147">
        <v>10</v>
      </c>
      <c r="B112" s="169" t="s">
        <v>242</v>
      </c>
      <c r="C112" s="157">
        <v>4848809</v>
      </c>
      <c r="D112" s="157">
        <v>5000367</v>
      </c>
      <c r="E112" s="157">
        <f t="shared" si="4"/>
        <v>151558</v>
      </c>
      <c r="F112" s="161">
        <f t="shared" si="5"/>
        <v>3.1256747791055493E-2</v>
      </c>
    </row>
    <row r="113" spans="1:6" ht="15" customHeight="1" x14ac:dyDescent="0.2">
      <c r="A113" s="147">
        <v>11</v>
      </c>
      <c r="B113" s="169" t="s">
        <v>243</v>
      </c>
      <c r="C113" s="157">
        <v>4828184</v>
      </c>
      <c r="D113" s="157">
        <v>4813875</v>
      </c>
      <c r="E113" s="157">
        <f t="shared" si="4"/>
        <v>-14309</v>
      </c>
      <c r="F113" s="161">
        <f t="shared" si="5"/>
        <v>-2.96364015952996E-3</v>
      </c>
    </row>
    <row r="114" spans="1:6" ht="15" customHeight="1" x14ac:dyDescent="0.2">
      <c r="A114" s="147">
        <v>12</v>
      </c>
      <c r="B114" s="169" t="s">
        <v>244</v>
      </c>
      <c r="C114" s="157">
        <v>938771</v>
      </c>
      <c r="D114" s="157">
        <v>885147</v>
      </c>
      <c r="E114" s="157">
        <f t="shared" si="4"/>
        <v>-53624</v>
      </c>
      <c r="F114" s="161">
        <f t="shared" si="5"/>
        <v>-5.7121491822819406E-2</v>
      </c>
    </row>
    <row r="115" spans="1:6" ht="15" customHeight="1" x14ac:dyDescent="0.2">
      <c r="A115" s="147">
        <v>13</v>
      </c>
      <c r="B115" s="169" t="s">
        <v>245</v>
      </c>
      <c r="C115" s="157">
        <v>4159364</v>
      </c>
      <c r="D115" s="157">
        <v>4088074</v>
      </c>
      <c r="E115" s="157">
        <f t="shared" si="4"/>
        <v>-71290</v>
      </c>
      <c r="F115" s="161">
        <f t="shared" si="5"/>
        <v>-1.7139639617980058E-2</v>
      </c>
    </row>
    <row r="116" spans="1:6" ht="15" customHeight="1" x14ac:dyDescent="0.2">
      <c r="A116" s="147">
        <v>14</v>
      </c>
      <c r="B116" s="169" t="s">
        <v>246</v>
      </c>
      <c r="C116" s="157">
        <v>0</v>
      </c>
      <c r="D116" s="157">
        <v>0</v>
      </c>
      <c r="E116" s="157">
        <f t="shared" si="4"/>
        <v>0</v>
      </c>
      <c r="F116" s="161">
        <f t="shared" si="5"/>
        <v>0</v>
      </c>
    </row>
    <row r="117" spans="1:6" ht="15" customHeight="1" x14ac:dyDescent="0.2">
      <c r="A117" s="147">
        <v>15</v>
      </c>
      <c r="B117" s="169" t="s">
        <v>203</v>
      </c>
      <c r="C117" s="157">
        <v>4216797</v>
      </c>
      <c r="D117" s="157">
        <v>4425932</v>
      </c>
      <c r="E117" s="157">
        <f t="shared" si="4"/>
        <v>209135</v>
      </c>
      <c r="F117" s="161">
        <f t="shared" si="5"/>
        <v>4.9595700243573501E-2</v>
      </c>
    </row>
    <row r="118" spans="1:6" ht="15" customHeight="1" x14ac:dyDescent="0.2">
      <c r="A118" s="147">
        <v>16</v>
      </c>
      <c r="B118" s="169" t="s">
        <v>247</v>
      </c>
      <c r="C118" s="157">
        <v>2333642</v>
      </c>
      <c r="D118" s="157">
        <v>2830950</v>
      </c>
      <c r="E118" s="157">
        <f t="shared" si="4"/>
        <v>497308</v>
      </c>
      <c r="F118" s="161">
        <f t="shared" si="5"/>
        <v>0.21310380941035514</v>
      </c>
    </row>
    <row r="119" spans="1:6" ht="15" customHeight="1" x14ac:dyDescent="0.2">
      <c r="A119" s="147">
        <v>17</v>
      </c>
      <c r="B119" s="169" t="s">
        <v>248</v>
      </c>
      <c r="C119" s="157">
        <v>25328387</v>
      </c>
      <c r="D119" s="157">
        <v>26976495</v>
      </c>
      <c r="E119" s="157">
        <f t="shared" si="4"/>
        <v>1648108</v>
      </c>
      <c r="F119" s="161">
        <f t="shared" si="5"/>
        <v>6.5069599576159348E-2</v>
      </c>
    </row>
    <row r="120" spans="1:6" ht="15" customHeight="1" x14ac:dyDescent="0.2">
      <c r="A120" s="147">
        <v>18</v>
      </c>
      <c r="B120" s="169" t="s">
        <v>249</v>
      </c>
      <c r="C120" s="157">
        <v>16238262</v>
      </c>
      <c r="D120" s="157">
        <v>21842093</v>
      </c>
      <c r="E120" s="157">
        <f t="shared" si="4"/>
        <v>5603831</v>
      </c>
      <c r="F120" s="161">
        <f t="shared" si="5"/>
        <v>0.34510041776638412</v>
      </c>
    </row>
    <row r="121" spans="1:6" ht="15.75" customHeight="1" x14ac:dyDescent="0.25">
      <c r="A121" s="147"/>
      <c r="B121" s="165" t="s">
        <v>250</v>
      </c>
      <c r="C121" s="158">
        <f>SUM(C103:C120)</f>
        <v>87480676</v>
      </c>
      <c r="D121" s="158">
        <f>SUM(D103:D120)</f>
        <v>96333662</v>
      </c>
      <c r="E121" s="158">
        <f t="shared" si="4"/>
        <v>8852986</v>
      </c>
      <c r="F121" s="159">
        <f t="shared" si="5"/>
        <v>0.101199332295969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563456</v>
      </c>
      <c r="D124" s="157">
        <v>0</v>
      </c>
      <c r="E124" s="157">
        <f t="shared" ref="E124:E130" si="6">D124-C124</f>
        <v>-563456</v>
      </c>
      <c r="F124" s="161">
        <f t="shared" ref="F124:F130" si="7">IF(C124=0,0,E124/C124)</f>
        <v>-1</v>
      </c>
    </row>
    <row r="125" spans="1:6" ht="15" customHeight="1" x14ac:dyDescent="0.2">
      <c r="A125" s="147">
        <v>2</v>
      </c>
      <c r="B125" s="169" t="s">
        <v>253</v>
      </c>
      <c r="C125" s="157">
        <v>21694747</v>
      </c>
      <c r="D125" s="157">
        <v>24243483</v>
      </c>
      <c r="E125" s="157">
        <f t="shared" si="6"/>
        <v>2548736</v>
      </c>
      <c r="F125" s="161">
        <f t="shared" si="7"/>
        <v>0.11748171112573934</v>
      </c>
    </row>
    <row r="126" spans="1:6" ht="15" customHeight="1" x14ac:dyDescent="0.2">
      <c r="A126" s="147">
        <v>3</v>
      </c>
      <c r="B126" s="169" t="s">
        <v>254</v>
      </c>
      <c r="C126" s="157">
        <v>6038077</v>
      </c>
      <c r="D126" s="157">
        <v>6710269</v>
      </c>
      <c r="E126" s="157">
        <f t="shared" si="6"/>
        <v>672192</v>
      </c>
      <c r="F126" s="161">
        <f t="shared" si="7"/>
        <v>0.1113255097608063</v>
      </c>
    </row>
    <row r="127" spans="1:6" ht="15" customHeight="1" x14ac:dyDescent="0.2">
      <c r="A127" s="147">
        <v>4</v>
      </c>
      <c r="B127" s="169" t="s">
        <v>255</v>
      </c>
      <c r="C127" s="157">
        <v>8211572</v>
      </c>
      <c r="D127" s="157">
        <v>8487684</v>
      </c>
      <c r="E127" s="157">
        <f t="shared" si="6"/>
        <v>276112</v>
      </c>
      <c r="F127" s="161">
        <f t="shared" si="7"/>
        <v>3.3624743228215015E-2</v>
      </c>
    </row>
    <row r="128" spans="1:6" ht="15" customHeight="1" x14ac:dyDescent="0.2">
      <c r="A128" s="147">
        <v>5</v>
      </c>
      <c r="B128" s="169" t="s">
        <v>256</v>
      </c>
      <c r="C128" s="157">
        <v>871741</v>
      </c>
      <c r="D128" s="157">
        <v>731516</v>
      </c>
      <c r="E128" s="157">
        <f t="shared" si="6"/>
        <v>-140225</v>
      </c>
      <c r="F128" s="161">
        <f t="shared" si="7"/>
        <v>-0.16085626350028276</v>
      </c>
    </row>
    <row r="129" spans="1:6" ht="15" customHeight="1" x14ac:dyDescent="0.2">
      <c r="A129" s="147">
        <v>6</v>
      </c>
      <c r="B129" s="169" t="s">
        <v>257</v>
      </c>
      <c r="C129" s="157">
        <v>3477598</v>
      </c>
      <c r="D129" s="157">
        <v>0</v>
      </c>
      <c r="E129" s="157">
        <f t="shared" si="6"/>
        <v>-3477598</v>
      </c>
      <c r="F129" s="161">
        <f t="shared" si="7"/>
        <v>-1</v>
      </c>
    </row>
    <row r="130" spans="1:6" ht="15.75" customHeight="1" x14ac:dyDescent="0.25">
      <c r="A130" s="147"/>
      <c r="B130" s="165" t="s">
        <v>258</v>
      </c>
      <c r="C130" s="158">
        <f>SUM(C124:C129)</f>
        <v>40857191</v>
      </c>
      <c r="D130" s="158">
        <f>SUM(D124:D129)</f>
        <v>40172952</v>
      </c>
      <c r="E130" s="158">
        <f t="shared" si="6"/>
        <v>-684239</v>
      </c>
      <c r="F130" s="159">
        <f t="shared" si="7"/>
        <v>-1.6747088658150777E-2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26466014</v>
      </c>
      <c r="D133" s="157">
        <v>28986986</v>
      </c>
      <c r="E133" s="157">
        <f t="shared" ref="E133:E167" si="8">D133-C133</f>
        <v>2520972</v>
      </c>
      <c r="F133" s="161">
        <f t="shared" ref="F133:F167" si="9">IF(C133=0,0,E133/C133)</f>
        <v>9.5253180172881341E-2</v>
      </c>
    </row>
    <row r="134" spans="1:6" ht="15" customHeight="1" x14ac:dyDescent="0.2">
      <c r="A134" s="147">
        <v>2</v>
      </c>
      <c r="B134" s="169" t="s">
        <v>261</v>
      </c>
      <c r="C134" s="157">
        <v>3867483</v>
      </c>
      <c r="D134" s="157">
        <v>3802189</v>
      </c>
      <c r="E134" s="157">
        <f t="shared" si="8"/>
        <v>-65294</v>
      </c>
      <c r="F134" s="161">
        <f t="shared" si="9"/>
        <v>-1.688281499879896E-2</v>
      </c>
    </row>
    <row r="135" spans="1:6" ht="15" customHeight="1" x14ac:dyDescent="0.2">
      <c r="A135" s="147">
        <v>3</v>
      </c>
      <c r="B135" s="169" t="s">
        <v>262</v>
      </c>
      <c r="C135" s="157">
        <v>4264812</v>
      </c>
      <c r="D135" s="157">
        <v>3853375</v>
      </c>
      <c r="E135" s="157">
        <f t="shared" si="8"/>
        <v>-411437</v>
      </c>
      <c r="F135" s="161">
        <f t="shared" si="9"/>
        <v>-9.6472482257131148E-2</v>
      </c>
    </row>
    <row r="136" spans="1:6" ht="15" customHeight="1" x14ac:dyDescent="0.2">
      <c r="A136" s="147">
        <v>4</v>
      </c>
      <c r="B136" s="169" t="s">
        <v>263</v>
      </c>
      <c r="C136" s="157">
        <v>3160214</v>
      </c>
      <c r="D136" s="157">
        <v>3163829</v>
      </c>
      <c r="E136" s="157">
        <f t="shared" si="8"/>
        <v>3615</v>
      </c>
      <c r="F136" s="161">
        <f t="shared" si="9"/>
        <v>1.143909874457869E-3</v>
      </c>
    </row>
    <row r="137" spans="1:6" ht="15" customHeight="1" x14ac:dyDescent="0.2">
      <c r="A137" s="147">
        <v>5</v>
      </c>
      <c r="B137" s="169" t="s">
        <v>264</v>
      </c>
      <c r="C137" s="157">
        <v>9366425</v>
      </c>
      <c r="D137" s="157">
        <v>8796055</v>
      </c>
      <c r="E137" s="157">
        <f t="shared" si="8"/>
        <v>-570370</v>
      </c>
      <c r="F137" s="161">
        <f t="shared" si="9"/>
        <v>-6.0895165444660046E-2</v>
      </c>
    </row>
    <row r="138" spans="1:6" ht="15" customHeight="1" x14ac:dyDescent="0.2">
      <c r="A138" s="147">
        <v>6</v>
      </c>
      <c r="B138" s="169" t="s">
        <v>265</v>
      </c>
      <c r="C138" s="157">
        <v>655499</v>
      </c>
      <c r="D138" s="157">
        <v>884424</v>
      </c>
      <c r="E138" s="157">
        <f t="shared" si="8"/>
        <v>228925</v>
      </c>
      <c r="F138" s="161">
        <f t="shared" si="9"/>
        <v>0.34923775627422771</v>
      </c>
    </row>
    <row r="139" spans="1:6" ht="15" customHeight="1" x14ac:dyDescent="0.2">
      <c r="A139" s="147">
        <v>7</v>
      </c>
      <c r="B139" s="169" t="s">
        <v>266</v>
      </c>
      <c r="C139" s="157">
        <v>2082508</v>
      </c>
      <c r="D139" s="157">
        <v>2723407</v>
      </c>
      <c r="E139" s="157">
        <f t="shared" si="8"/>
        <v>640899</v>
      </c>
      <c r="F139" s="161">
        <f t="shared" si="9"/>
        <v>0.30775343960263296</v>
      </c>
    </row>
    <row r="140" spans="1:6" ht="15" customHeight="1" x14ac:dyDescent="0.2">
      <c r="A140" s="147">
        <v>8</v>
      </c>
      <c r="B140" s="169" t="s">
        <v>267</v>
      </c>
      <c r="C140" s="157">
        <v>1259083</v>
      </c>
      <c r="D140" s="157">
        <v>1486032</v>
      </c>
      <c r="E140" s="157">
        <f t="shared" si="8"/>
        <v>226949</v>
      </c>
      <c r="F140" s="161">
        <f t="shared" si="9"/>
        <v>0.18024943550186923</v>
      </c>
    </row>
    <row r="141" spans="1:6" ht="15" customHeight="1" x14ac:dyDescent="0.2">
      <c r="A141" s="147">
        <v>9</v>
      </c>
      <c r="B141" s="169" t="s">
        <v>268</v>
      </c>
      <c r="C141" s="157">
        <v>692459</v>
      </c>
      <c r="D141" s="157">
        <v>1045618</v>
      </c>
      <c r="E141" s="157">
        <f t="shared" si="8"/>
        <v>353159</v>
      </c>
      <c r="F141" s="161">
        <f t="shared" si="9"/>
        <v>0.51000709067251637</v>
      </c>
    </row>
    <row r="142" spans="1:6" ht="15" customHeight="1" x14ac:dyDescent="0.2">
      <c r="A142" s="147">
        <v>10</v>
      </c>
      <c r="B142" s="169" t="s">
        <v>269</v>
      </c>
      <c r="C142" s="157">
        <v>17599747</v>
      </c>
      <c r="D142" s="157">
        <v>17683557</v>
      </c>
      <c r="E142" s="157">
        <f t="shared" si="8"/>
        <v>83810</v>
      </c>
      <c r="F142" s="161">
        <f t="shared" si="9"/>
        <v>4.7620002719357271E-3</v>
      </c>
    </row>
    <row r="143" spans="1:6" ht="15" customHeight="1" x14ac:dyDescent="0.2">
      <c r="A143" s="147">
        <v>11</v>
      </c>
      <c r="B143" s="169" t="s">
        <v>270</v>
      </c>
      <c r="C143" s="157">
        <v>2797463</v>
      </c>
      <c r="D143" s="157">
        <v>2391001</v>
      </c>
      <c r="E143" s="157">
        <f t="shared" si="8"/>
        <v>-406462</v>
      </c>
      <c r="F143" s="161">
        <f t="shared" si="9"/>
        <v>-0.14529664914245516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4220458</v>
      </c>
      <c r="D145" s="157">
        <v>4318161</v>
      </c>
      <c r="E145" s="157">
        <f t="shared" si="8"/>
        <v>97703</v>
      </c>
      <c r="F145" s="161">
        <f t="shared" si="9"/>
        <v>2.3149857195593464E-2</v>
      </c>
    </row>
    <row r="146" spans="1:6" ht="15" customHeight="1" x14ac:dyDescent="0.2">
      <c r="A146" s="147">
        <v>14</v>
      </c>
      <c r="B146" s="169" t="s">
        <v>273</v>
      </c>
      <c r="C146" s="157">
        <v>391899</v>
      </c>
      <c r="D146" s="157">
        <v>664684</v>
      </c>
      <c r="E146" s="157">
        <f t="shared" si="8"/>
        <v>272785</v>
      </c>
      <c r="F146" s="161">
        <f t="shared" si="9"/>
        <v>0.6960594438873281</v>
      </c>
    </row>
    <row r="147" spans="1:6" ht="15" customHeight="1" x14ac:dyDescent="0.2">
      <c r="A147" s="147">
        <v>15</v>
      </c>
      <c r="B147" s="169" t="s">
        <v>274</v>
      </c>
      <c r="C147" s="157">
        <v>1757</v>
      </c>
      <c r="D147" s="157">
        <v>0</v>
      </c>
      <c r="E147" s="157">
        <f t="shared" si="8"/>
        <v>-1757</v>
      </c>
      <c r="F147" s="161">
        <f t="shared" si="9"/>
        <v>-1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3867588</v>
      </c>
      <c r="D150" s="157">
        <v>3929648</v>
      </c>
      <c r="E150" s="157">
        <f t="shared" si="8"/>
        <v>62060</v>
      </c>
      <c r="F150" s="161">
        <f t="shared" si="9"/>
        <v>1.6046176583441669E-2</v>
      </c>
    </row>
    <row r="151" spans="1:6" ht="15" customHeight="1" x14ac:dyDescent="0.2">
      <c r="A151" s="147">
        <v>19</v>
      </c>
      <c r="B151" s="169" t="s">
        <v>278</v>
      </c>
      <c r="C151" s="157">
        <v>562014</v>
      </c>
      <c r="D151" s="157">
        <v>624609</v>
      </c>
      <c r="E151" s="157">
        <f t="shared" si="8"/>
        <v>62595</v>
      </c>
      <c r="F151" s="161">
        <f t="shared" si="9"/>
        <v>0.11137622906190948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246914</v>
      </c>
      <c r="D153" s="157">
        <v>234304</v>
      </c>
      <c r="E153" s="157">
        <f t="shared" si="8"/>
        <v>-12610</v>
      </c>
      <c r="F153" s="161">
        <f t="shared" si="9"/>
        <v>-5.1070413180297591E-2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586389</v>
      </c>
      <c r="D155" s="157">
        <v>0</v>
      </c>
      <c r="E155" s="157">
        <f t="shared" si="8"/>
        <v>-586389</v>
      </c>
      <c r="F155" s="161">
        <f t="shared" si="9"/>
        <v>-1</v>
      </c>
    </row>
    <row r="156" spans="1:6" ht="15" customHeight="1" x14ac:dyDescent="0.2">
      <c r="A156" s="147">
        <v>24</v>
      </c>
      <c r="B156" s="169" t="s">
        <v>283</v>
      </c>
      <c r="C156" s="157">
        <v>11535755</v>
      </c>
      <c r="D156" s="157">
        <v>11715416</v>
      </c>
      <c r="E156" s="157">
        <f t="shared" si="8"/>
        <v>179661</v>
      </c>
      <c r="F156" s="161">
        <f t="shared" si="9"/>
        <v>1.5574273205351536E-2</v>
      </c>
    </row>
    <row r="157" spans="1:6" ht="15" customHeight="1" x14ac:dyDescent="0.2">
      <c r="A157" s="147">
        <v>25</v>
      </c>
      <c r="B157" s="169" t="s">
        <v>284</v>
      </c>
      <c r="C157" s="157">
        <v>1049573</v>
      </c>
      <c r="D157" s="157">
        <v>1292523</v>
      </c>
      <c r="E157" s="157">
        <f t="shared" si="8"/>
        <v>242950</v>
      </c>
      <c r="F157" s="161">
        <f t="shared" si="9"/>
        <v>0.23147508558242258</v>
      </c>
    </row>
    <row r="158" spans="1:6" ht="15" customHeight="1" x14ac:dyDescent="0.2">
      <c r="A158" s="147">
        <v>26</v>
      </c>
      <c r="B158" s="169" t="s">
        <v>285</v>
      </c>
      <c r="C158" s="157">
        <v>414169</v>
      </c>
      <c r="D158" s="157">
        <v>284686</v>
      </c>
      <c r="E158" s="157">
        <f t="shared" si="8"/>
        <v>-129483</v>
      </c>
      <c r="F158" s="161">
        <f t="shared" si="9"/>
        <v>-0.31263324874628473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0</v>
      </c>
      <c r="D160" s="157">
        <v>0</v>
      </c>
      <c r="E160" s="157">
        <f t="shared" si="8"/>
        <v>0</v>
      </c>
      <c r="F160" s="161">
        <f t="shared" si="9"/>
        <v>0</v>
      </c>
    </row>
    <row r="161" spans="1:6" ht="15" customHeight="1" x14ac:dyDescent="0.2">
      <c r="A161" s="147">
        <v>29</v>
      </c>
      <c r="B161" s="169" t="s">
        <v>288</v>
      </c>
      <c r="C161" s="157">
        <v>919623</v>
      </c>
      <c r="D161" s="157">
        <v>933925</v>
      </c>
      <c r="E161" s="157">
        <f t="shared" si="8"/>
        <v>14302</v>
      </c>
      <c r="F161" s="161">
        <f t="shared" si="9"/>
        <v>1.5552025123338585E-2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6426816</v>
      </c>
      <c r="D163" s="157">
        <v>6927297</v>
      </c>
      <c r="E163" s="157">
        <f t="shared" si="8"/>
        <v>500481</v>
      </c>
      <c r="F163" s="161">
        <f t="shared" si="9"/>
        <v>7.7873864756669561E-2</v>
      </c>
    </row>
    <row r="164" spans="1:6" ht="15" customHeight="1" x14ac:dyDescent="0.2">
      <c r="A164" s="147">
        <v>32</v>
      </c>
      <c r="B164" s="169" t="s">
        <v>291</v>
      </c>
      <c r="C164" s="157">
        <v>0</v>
      </c>
      <c r="D164" s="157">
        <v>911324</v>
      </c>
      <c r="E164" s="157">
        <f t="shared" si="8"/>
        <v>911324</v>
      </c>
      <c r="F164" s="161">
        <f t="shared" si="9"/>
        <v>0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3247774</v>
      </c>
      <c r="D166" s="157">
        <v>1932214</v>
      </c>
      <c r="E166" s="157">
        <f t="shared" si="8"/>
        <v>-1315560</v>
      </c>
      <c r="F166" s="161">
        <f t="shared" si="9"/>
        <v>-0.40506513076340905</v>
      </c>
    </row>
    <row r="167" spans="1:6" ht="15.75" customHeight="1" x14ac:dyDescent="0.25">
      <c r="A167" s="147"/>
      <c r="B167" s="165" t="s">
        <v>294</v>
      </c>
      <c r="C167" s="158">
        <f>SUM(C133:C166)</f>
        <v>105682436</v>
      </c>
      <c r="D167" s="158">
        <f>SUM(D133:D166)</f>
        <v>108585264</v>
      </c>
      <c r="E167" s="158">
        <f t="shared" si="8"/>
        <v>2902828</v>
      </c>
      <c r="F167" s="159">
        <f t="shared" si="9"/>
        <v>2.7467459209588999E-2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33903261</v>
      </c>
      <c r="D170" s="157">
        <v>32938393</v>
      </c>
      <c r="E170" s="157">
        <f t="shared" ref="E170:E183" si="10">D170-C170</f>
        <v>-964868</v>
      </c>
      <c r="F170" s="161">
        <f t="shared" ref="F170:F183" si="11">IF(C170=0,0,E170/C170)</f>
        <v>-2.8459445243335147E-2</v>
      </c>
    </row>
    <row r="171" spans="1:6" ht="15" customHeight="1" x14ac:dyDescent="0.2">
      <c r="A171" s="147">
        <v>2</v>
      </c>
      <c r="B171" s="169" t="s">
        <v>297</v>
      </c>
      <c r="C171" s="157">
        <v>8232461</v>
      </c>
      <c r="D171" s="157">
        <v>7837011</v>
      </c>
      <c r="E171" s="157">
        <f t="shared" si="10"/>
        <v>-395450</v>
      </c>
      <c r="F171" s="161">
        <f t="shared" si="11"/>
        <v>-4.8035453796865843E-2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6728014</v>
      </c>
      <c r="D173" s="157">
        <v>6277492</v>
      </c>
      <c r="E173" s="157">
        <f t="shared" si="10"/>
        <v>-450522</v>
      </c>
      <c r="F173" s="161">
        <f t="shared" si="11"/>
        <v>-6.6962107986101096E-2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0</v>
      </c>
      <c r="D175" s="157">
        <v>0</v>
      </c>
      <c r="E175" s="157">
        <f t="shared" si="10"/>
        <v>0</v>
      </c>
      <c r="F175" s="161">
        <f t="shared" si="11"/>
        <v>0</v>
      </c>
    </row>
    <row r="176" spans="1:6" ht="15" customHeight="1" x14ac:dyDescent="0.2">
      <c r="A176" s="147">
        <v>7</v>
      </c>
      <c r="B176" s="169" t="s">
        <v>302</v>
      </c>
      <c r="C176" s="157">
        <v>1042827</v>
      </c>
      <c r="D176" s="157">
        <v>0</v>
      </c>
      <c r="E176" s="157">
        <f t="shared" si="10"/>
        <v>-1042827</v>
      </c>
      <c r="F176" s="161">
        <f t="shared" si="11"/>
        <v>-1</v>
      </c>
    </row>
    <row r="177" spans="1:6" ht="15" customHeight="1" x14ac:dyDescent="0.2">
      <c r="A177" s="147">
        <v>8</v>
      </c>
      <c r="B177" s="169" t="s">
        <v>303</v>
      </c>
      <c r="C177" s="157">
        <v>13869127</v>
      </c>
      <c r="D177" s="157">
        <v>13473746</v>
      </c>
      <c r="E177" s="157">
        <f t="shared" si="10"/>
        <v>-395381</v>
      </c>
      <c r="F177" s="161">
        <f t="shared" si="11"/>
        <v>-2.8507994771408467E-2</v>
      </c>
    </row>
    <row r="178" spans="1:6" ht="15" customHeight="1" x14ac:dyDescent="0.2">
      <c r="A178" s="147">
        <v>9</v>
      </c>
      <c r="B178" s="169" t="s">
        <v>304</v>
      </c>
      <c r="C178" s="157">
        <v>4155529</v>
      </c>
      <c r="D178" s="157">
        <v>3756367</v>
      </c>
      <c r="E178" s="157">
        <f t="shared" si="10"/>
        <v>-399162</v>
      </c>
      <c r="F178" s="161">
        <f t="shared" si="11"/>
        <v>-9.6055640569467804E-2</v>
      </c>
    </row>
    <row r="179" spans="1:6" ht="15" customHeight="1" x14ac:dyDescent="0.2">
      <c r="A179" s="147">
        <v>10</v>
      </c>
      <c r="B179" s="169" t="s">
        <v>305</v>
      </c>
      <c r="C179" s="157">
        <v>9001460</v>
      </c>
      <c r="D179" s="157">
        <v>9428433</v>
      </c>
      <c r="E179" s="157">
        <f t="shared" si="10"/>
        <v>426973</v>
      </c>
      <c r="F179" s="161">
        <f t="shared" si="11"/>
        <v>4.7433749636170135E-2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15619659</v>
      </c>
      <c r="D181" s="157">
        <v>21975938</v>
      </c>
      <c r="E181" s="157">
        <f t="shared" si="10"/>
        <v>6356279</v>
      </c>
      <c r="F181" s="161">
        <f t="shared" si="11"/>
        <v>0.406940958186091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92552338</v>
      </c>
      <c r="D183" s="158">
        <f>SUM(D170:D182)</f>
        <v>95687380</v>
      </c>
      <c r="E183" s="158">
        <f t="shared" si="10"/>
        <v>3135042</v>
      </c>
      <c r="F183" s="159">
        <f t="shared" si="11"/>
        <v>3.3873179951434615E-2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326572641</v>
      </c>
      <c r="D188" s="158">
        <f>+D186+D183+D167+D130+D121</f>
        <v>340779258</v>
      </c>
      <c r="E188" s="158">
        <f>D188-C188</f>
        <v>14206617</v>
      </c>
      <c r="F188" s="159">
        <f>IF(C188=0,0,E188/C188)</f>
        <v>4.3502165265583287E-2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FILING&amp;RJOHN DEMPSEY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281412882</v>
      </c>
      <c r="D11" s="183">
        <v>286757590</v>
      </c>
      <c r="E11" s="76">
        <v>337300171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23634474</v>
      </c>
      <c r="D12" s="185">
        <v>21955590</v>
      </c>
      <c r="E12" s="185">
        <v>22995416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305047356</v>
      </c>
      <c r="D13" s="76">
        <f>+D11+D12</f>
        <v>308713180</v>
      </c>
      <c r="E13" s="76">
        <f>+E11+E12</f>
        <v>360295587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309096761</v>
      </c>
      <c r="D14" s="185">
        <v>326572641</v>
      </c>
      <c r="E14" s="185">
        <v>340779258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-4049405</v>
      </c>
      <c r="D15" s="76">
        <f>+D13-D14</f>
        <v>-17859461</v>
      </c>
      <c r="E15" s="76">
        <f>+E13-E14</f>
        <v>19516329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15682598</v>
      </c>
      <c r="D16" s="185">
        <v>9539892</v>
      </c>
      <c r="E16" s="185">
        <v>8202084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11633193</v>
      </c>
      <c r="D17" s="76">
        <f>D15+D16</f>
        <v>-8319569</v>
      </c>
      <c r="E17" s="76">
        <f>E15+E16</f>
        <v>27718413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-1.262559031202929E-2</v>
      </c>
      <c r="D20" s="189">
        <f>IF(+D27=0,0,+D24/+D27)</f>
        <v>-5.6117167660835653E-2</v>
      </c>
      <c r="E20" s="189">
        <f>IF(+E27=0,0,+E24/+E27)</f>
        <v>5.2961878828265377E-2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4.889658045472111E-2</v>
      </c>
      <c r="D21" s="189">
        <f>IF(D27=0,0,+D26/D27)</f>
        <v>2.9975804915403928E-2</v>
      </c>
      <c r="E21" s="189">
        <f>IF(E27=0,0,+E26/E27)</f>
        <v>2.2258170527216167E-2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3.627099014269182E-2</v>
      </c>
      <c r="D22" s="189">
        <f>IF(D27=0,0,+D28/D27)</f>
        <v>-2.6141362745431725E-2</v>
      </c>
      <c r="E22" s="189">
        <f>IF(E27=0,0,+E28/E27)</f>
        <v>7.5220049355481544E-2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-4049405</v>
      </c>
      <c r="D24" s="76">
        <f>+D15</f>
        <v>-17859461</v>
      </c>
      <c r="E24" s="76">
        <f>+E15</f>
        <v>19516329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305047356</v>
      </c>
      <c r="D25" s="76">
        <f>+D13</f>
        <v>308713180</v>
      </c>
      <c r="E25" s="76">
        <f>+E13</f>
        <v>360295587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15682598</v>
      </c>
      <c r="D26" s="76">
        <f>+D16</f>
        <v>9539892</v>
      </c>
      <c r="E26" s="76">
        <f>+E16</f>
        <v>8202084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320729954</v>
      </c>
      <c r="D27" s="76">
        <f>+D25+D26</f>
        <v>318253072</v>
      </c>
      <c r="E27" s="76">
        <f>+E25+E26</f>
        <v>368497671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11633193</v>
      </c>
      <c r="D28" s="76">
        <f>+D17</f>
        <v>-8319569</v>
      </c>
      <c r="E28" s="76">
        <f>+E17</f>
        <v>27718413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79674598</v>
      </c>
      <c r="D31" s="76">
        <v>71355029</v>
      </c>
      <c r="E31" s="76">
        <v>-39597512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79674598</v>
      </c>
      <c r="D32" s="76">
        <v>71355029</v>
      </c>
      <c r="E32" s="76">
        <v>-39597512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11633193</v>
      </c>
      <c r="D33" s="76">
        <f>+D32-C32</f>
        <v>-8319569</v>
      </c>
      <c r="E33" s="76">
        <f>+E32-D32</f>
        <v>-110952541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1.1709000000000001</v>
      </c>
      <c r="D34" s="193">
        <f>IF(C32=0,0,+D33/C32)</f>
        <v>-0.10441934077910252</v>
      </c>
      <c r="E34" s="193">
        <f>IF(D32=0,0,+E33/D32)</f>
        <v>-1.5549365273189084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0.49516381601213383</v>
      </c>
      <c r="D38" s="195">
        <f>IF((D40+D41)=0,0,+D39/(D40+D41))</f>
        <v>0.47377001303967536</v>
      </c>
      <c r="E38" s="195">
        <f>IF((E40+E41)=0,0,+E39/(E40+E41))</f>
        <v>0.43293762691328075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309096761</v>
      </c>
      <c r="D39" s="76">
        <v>326572641</v>
      </c>
      <c r="E39" s="196">
        <v>340779258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600821647</v>
      </c>
      <c r="D40" s="76">
        <v>667350681</v>
      </c>
      <c r="E40" s="196">
        <v>764177041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23409670</v>
      </c>
      <c r="D41" s="76">
        <v>21955590</v>
      </c>
      <c r="E41" s="196">
        <v>22955416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1.1191167392223647</v>
      </c>
      <c r="D43" s="197">
        <f>IF(D38=0,0,IF((D46-D47)=0,0,((+D44-D45)/(D46-D47)/D38)))</f>
        <v>1.0973844218885738</v>
      </c>
      <c r="E43" s="197">
        <f>IF(E38=0,0,IF((E46-E47)=0,0,((+E44-E45)/(E46-E47)/E38)))</f>
        <v>1.2813241947679521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126249614</v>
      </c>
      <c r="D44" s="76">
        <v>126170158</v>
      </c>
      <c r="E44" s="196">
        <v>153377857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1280198</v>
      </c>
      <c r="D45" s="76">
        <v>824761</v>
      </c>
      <c r="E45" s="196">
        <v>860565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229968793</v>
      </c>
      <c r="D46" s="76">
        <v>245063674</v>
      </c>
      <c r="E46" s="196">
        <v>278276241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4451709</v>
      </c>
      <c r="D47" s="76">
        <v>3972101</v>
      </c>
      <c r="E47" s="76">
        <v>3338268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0.89846423990696533</v>
      </c>
      <c r="D49" s="198">
        <f>IF(D38=0,0,IF(D51=0,0,(D50/D51)/D38))</f>
        <v>0.88017826264598453</v>
      </c>
      <c r="E49" s="198">
        <f>IF(E38=0,0,IF(E51=0,0,(E50/E51)/E38))</f>
        <v>0.94410604451147162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107173523</v>
      </c>
      <c r="D50" s="199">
        <v>114480474</v>
      </c>
      <c r="E50" s="199">
        <v>124790720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240900560</v>
      </c>
      <c r="D51" s="199">
        <v>274532150</v>
      </c>
      <c r="E51" s="199">
        <v>305306591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0.74772564094008698</v>
      </c>
      <c r="D53" s="198">
        <f>IF(D38=0,0,IF(D55=0,0,(D54/D55)/D38))</f>
        <v>0.75817002394327537</v>
      </c>
      <c r="E53" s="198">
        <f>IF(E38=0,0,IF(E55=0,0,(E54/E55)/E38))</f>
        <v>0.83388644694136826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47102099</v>
      </c>
      <c r="D54" s="199">
        <v>51867164</v>
      </c>
      <c r="E54" s="199">
        <v>63586763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127218153</v>
      </c>
      <c r="D55" s="199">
        <v>144397051</v>
      </c>
      <c r="E55" s="199">
        <v>176130460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1161134.8855214692</v>
      </c>
      <c r="D57" s="88">
        <f>+D60*D38</f>
        <v>3071552.8550890191</v>
      </c>
      <c r="E57" s="88">
        <f>+E60*E38</f>
        <v>4763043.8288850645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823539</v>
      </c>
      <c r="D58" s="199">
        <v>583681</v>
      </c>
      <c r="E58" s="199">
        <v>379861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1521412</v>
      </c>
      <c r="D59" s="199">
        <v>5899534</v>
      </c>
      <c r="E59" s="199">
        <v>10621825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2344951</v>
      </c>
      <c r="D60" s="76">
        <v>6483215</v>
      </c>
      <c r="E60" s="201">
        <v>11001686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3.7565417436434059E-3</v>
      </c>
      <c r="D62" s="202">
        <f>IF(D63=0,0,+D57/D63)</f>
        <v>9.405420018295467E-3</v>
      </c>
      <c r="E62" s="202">
        <f>IF(E63=0,0,+E57/E63)</f>
        <v>1.3976918245667007E-2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309096761</v>
      </c>
      <c r="D63" s="199">
        <v>326572641</v>
      </c>
      <c r="E63" s="199">
        <v>340779258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1.3886534327352962</v>
      </c>
      <c r="D67" s="203">
        <f>IF(D69=0,0,D68/D69)</f>
        <v>1.3788890643928777</v>
      </c>
      <c r="E67" s="203">
        <f>IF(E69=0,0,E68/E69)</f>
        <v>2.0871038932248207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54534538</v>
      </c>
      <c r="D68" s="204">
        <v>67323525</v>
      </c>
      <c r="E68" s="204">
        <v>89221836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39271525</v>
      </c>
      <c r="D69" s="204">
        <v>48824468</v>
      </c>
      <c r="E69" s="204">
        <v>42749111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0</v>
      </c>
      <c r="D71" s="203">
        <f>IF((D77/365)=0,0,+D74/(D77/365))</f>
        <v>0</v>
      </c>
      <c r="E71" s="203">
        <f>IF((E77/365)=0,0,+E74/(E77/365))</f>
        <v>26.648688786964854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0</v>
      </c>
      <c r="D72" s="183">
        <v>0</v>
      </c>
      <c r="E72" s="183">
        <v>24305080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0</v>
      </c>
      <c r="D74" s="204">
        <f>+D72+D73</f>
        <v>0</v>
      </c>
      <c r="E74" s="204">
        <f>+E72+E73</f>
        <v>24305080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309096761</v>
      </c>
      <c r="D75" s="204">
        <f>+D14</f>
        <v>326572641</v>
      </c>
      <c r="E75" s="204">
        <f>+E14</f>
        <v>340779258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9500967</v>
      </c>
      <c r="D76" s="204">
        <v>8906755</v>
      </c>
      <c r="E76" s="204">
        <v>7879044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299595794</v>
      </c>
      <c r="D77" s="204">
        <f>+D75-D76</f>
        <v>317665886</v>
      </c>
      <c r="E77" s="204">
        <f>+E75-E76</f>
        <v>332900214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44.492873126540097</v>
      </c>
      <c r="D79" s="203">
        <f>IF((D84/365)=0,0,+D83/(D84/365))</f>
        <v>36.851016968722604</v>
      </c>
      <c r="E79" s="203">
        <f>IF((E84/365)=0,0,+E83/(E84/365))</f>
        <v>23.342349565544691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37017707</v>
      </c>
      <c r="D80" s="212">
        <v>33443105</v>
      </c>
      <c r="E80" s="212">
        <v>38296752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2713960</v>
      </c>
      <c r="D82" s="212">
        <v>4491574</v>
      </c>
      <c r="E82" s="212">
        <v>16725852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34303747</v>
      </c>
      <c r="D83" s="212">
        <f>+D80+D81-D82</f>
        <v>28951531</v>
      </c>
      <c r="E83" s="212">
        <f>+E80+E81-E82</f>
        <v>21570900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281412882</v>
      </c>
      <c r="D84" s="204">
        <f>+D11</f>
        <v>286757590</v>
      </c>
      <c r="E84" s="204">
        <f>+E11</f>
        <v>337300171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47.844819293424393</v>
      </c>
      <c r="D86" s="203">
        <f>IF((D90/365)=0,0,+D87/(D90/365))</f>
        <v>56.099605294098211</v>
      </c>
      <c r="E86" s="203">
        <f>IF((E90/365)=0,0,+E87/(E90/365))</f>
        <v>46.871178986385395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39271525</v>
      </c>
      <c r="D87" s="76">
        <f>+D69</f>
        <v>48824468</v>
      </c>
      <c r="E87" s="76">
        <f>+E69</f>
        <v>42749111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309096761</v>
      </c>
      <c r="D88" s="76">
        <f t="shared" si="0"/>
        <v>326572641</v>
      </c>
      <c r="E88" s="76">
        <f t="shared" si="0"/>
        <v>340779258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9500967</v>
      </c>
      <c r="D89" s="201">
        <f t="shared" si="0"/>
        <v>8906755</v>
      </c>
      <c r="E89" s="201">
        <f t="shared" si="0"/>
        <v>7879044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299595794</v>
      </c>
      <c r="D90" s="76">
        <f>+D88-D89</f>
        <v>317665886</v>
      </c>
      <c r="E90" s="76">
        <f>+E88-E89</f>
        <v>332900214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62.408511343527728</v>
      </c>
      <c r="D94" s="214">
        <f>IF(D96=0,0,(D95/D96)*100)</f>
        <v>55.429974577573546</v>
      </c>
      <c r="E94" s="214">
        <f>IF(E96=0,0,(E95/E96)*100)</f>
        <v>-23.918175467825719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79674598</v>
      </c>
      <c r="D95" s="76">
        <f>+D32</f>
        <v>71355029</v>
      </c>
      <c r="E95" s="76">
        <f>+E32</f>
        <v>-39597512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127666237</v>
      </c>
      <c r="D96" s="76">
        <v>128730041</v>
      </c>
      <c r="E96" s="76">
        <v>165554066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53.815480809568761</v>
      </c>
      <c r="D98" s="214">
        <f>IF(D104=0,0,(D101/D104)*100)</f>
        <v>1.2026470006800689</v>
      </c>
      <c r="E98" s="214">
        <f>IF(E104=0,0,(E101/E104)*100)</f>
        <v>83.270636902835236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11633193</v>
      </c>
      <c r="D99" s="76">
        <f>+D28</f>
        <v>-8319569</v>
      </c>
      <c r="E99" s="76">
        <f>+E28</f>
        <v>27718413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9500967</v>
      </c>
      <c r="D100" s="201">
        <f>+D76</f>
        <v>8906755</v>
      </c>
      <c r="E100" s="201">
        <f>+E76</f>
        <v>7879044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21134160</v>
      </c>
      <c r="D101" s="76">
        <f>+D99+D100</f>
        <v>587186</v>
      </c>
      <c r="E101" s="76">
        <f>+E99+E100</f>
        <v>35597457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39271525</v>
      </c>
      <c r="D102" s="204">
        <f>+D69</f>
        <v>48824468</v>
      </c>
      <c r="E102" s="204">
        <f>+E69</f>
        <v>42749111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0</v>
      </c>
      <c r="D103" s="216">
        <v>0</v>
      </c>
      <c r="E103" s="216">
        <v>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39271525</v>
      </c>
      <c r="D104" s="204">
        <f>+D102+D103</f>
        <v>48824468</v>
      </c>
      <c r="E104" s="204">
        <f>+E102+E103</f>
        <v>42749111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0</v>
      </c>
      <c r="D106" s="214">
        <f>IF(D109=0,0,(D107/D109)*100)</f>
        <v>0</v>
      </c>
      <c r="E106" s="214">
        <f>IF(E109=0,0,(E107/E109)*100)</f>
        <v>0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0</v>
      </c>
      <c r="D107" s="204">
        <f>+D103</f>
        <v>0</v>
      </c>
      <c r="E107" s="204">
        <f>+E103</f>
        <v>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79674598</v>
      </c>
      <c r="D108" s="204">
        <f>+D32</f>
        <v>71355029</v>
      </c>
      <c r="E108" s="204">
        <f>+E32</f>
        <v>-39597512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79674598</v>
      </c>
      <c r="D109" s="204">
        <f>+D107+D108</f>
        <v>71355029</v>
      </c>
      <c r="E109" s="204">
        <f>+E107+E108</f>
        <v>-39597512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23.824412679803398</v>
      </c>
      <c r="D111" s="214">
        <f>IF((+D113+D115)=0,0,((+D112+D113+D114)/(+D113+D115)))</f>
        <v>587186</v>
      </c>
      <c r="E111" s="214">
        <f>IF((+E113+E115)=0,0,((+E112+E113+E114)/(+E113+E115)))</f>
        <v>35597457</v>
      </c>
    </row>
    <row r="112" spans="1:6" ht="24" customHeight="1" x14ac:dyDescent="0.2">
      <c r="A112" s="85">
        <v>16</v>
      </c>
      <c r="B112" s="75" t="s">
        <v>373</v>
      </c>
      <c r="C112" s="218">
        <f>+C17</f>
        <v>11633193</v>
      </c>
      <c r="D112" s="76">
        <f>+D17</f>
        <v>-8319569</v>
      </c>
      <c r="E112" s="76">
        <f>+E17</f>
        <v>27718413</v>
      </c>
    </row>
    <row r="113" spans="1:8" ht="24" customHeight="1" x14ac:dyDescent="0.2">
      <c r="A113" s="85">
        <v>17</v>
      </c>
      <c r="B113" s="75" t="s">
        <v>88</v>
      </c>
      <c r="C113" s="218">
        <v>0</v>
      </c>
      <c r="D113" s="76">
        <v>0</v>
      </c>
      <c r="E113" s="76">
        <v>0</v>
      </c>
    </row>
    <row r="114" spans="1:8" ht="24" customHeight="1" x14ac:dyDescent="0.2">
      <c r="A114" s="85">
        <v>18</v>
      </c>
      <c r="B114" s="75" t="s">
        <v>374</v>
      </c>
      <c r="C114" s="218">
        <v>9500967</v>
      </c>
      <c r="D114" s="76">
        <v>8906755</v>
      </c>
      <c r="E114" s="76">
        <v>7879044</v>
      </c>
    </row>
    <row r="115" spans="1:8" ht="24" customHeight="1" x14ac:dyDescent="0.2">
      <c r="A115" s="85">
        <v>19</v>
      </c>
      <c r="B115" s="75" t="s">
        <v>104</v>
      </c>
      <c r="C115" s="218">
        <v>887080</v>
      </c>
      <c r="D115" s="76">
        <v>1</v>
      </c>
      <c r="E115" s="76">
        <v>1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16.182934221327155</v>
      </c>
      <c r="D119" s="214">
        <f>IF(+D121=0,0,(+D120)/(+D121))</f>
        <v>15.629903932464742</v>
      </c>
      <c r="E119" s="214">
        <f>IF(+E121=0,0,(+E120)/(+E121))</f>
        <v>18.158722936437467</v>
      </c>
    </row>
    <row r="120" spans="1:8" ht="24" customHeight="1" x14ac:dyDescent="0.2">
      <c r="A120" s="85">
        <v>21</v>
      </c>
      <c r="B120" s="75" t="s">
        <v>378</v>
      </c>
      <c r="C120" s="218">
        <v>153753524</v>
      </c>
      <c r="D120" s="218">
        <v>139211725</v>
      </c>
      <c r="E120" s="218">
        <v>143073377</v>
      </c>
    </row>
    <row r="121" spans="1:8" ht="24" customHeight="1" x14ac:dyDescent="0.2">
      <c r="A121" s="85">
        <v>22</v>
      </c>
      <c r="B121" s="75" t="s">
        <v>374</v>
      </c>
      <c r="C121" s="218">
        <v>9500967</v>
      </c>
      <c r="D121" s="218">
        <v>8906755</v>
      </c>
      <c r="E121" s="218">
        <v>7879044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40704</v>
      </c>
      <c r="D124" s="218">
        <v>38723</v>
      </c>
      <c r="E124" s="218">
        <v>38384</v>
      </c>
    </row>
    <row r="125" spans="1:8" ht="24" customHeight="1" x14ac:dyDescent="0.2">
      <c r="A125" s="85">
        <v>2</v>
      </c>
      <c r="B125" s="75" t="s">
        <v>381</v>
      </c>
      <c r="C125" s="218">
        <v>8578</v>
      </c>
      <c r="D125" s="218">
        <v>8669</v>
      </c>
      <c r="E125" s="218">
        <v>8846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4.7451620424341341</v>
      </c>
      <c r="D126" s="219">
        <f>IF(D125=0,0,D124/D125)</f>
        <v>4.4668358518860307</v>
      </c>
      <c r="E126" s="219">
        <f>IF(E125=0,0,E124/E125)</f>
        <v>4.3391363328057881</v>
      </c>
    </row>
    <row r="127" spans="1:8" ht="24" customHeight="1" x14ac:dyDescent="0.2">
      <c r="A127" s="85">
        <v>4</v>
      </c>
      <c r="B127" s="75" t="s">
        <v>383</v>
      </c>
      <c r="C127" s="218">
        <v>184</v>
      </c>
      <c r="D127" s="218">
        <v>184</v>
      </c>
      <c r="E127" s="218">
        <v>175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234</v>
      </c>
      <c r="E128" s="218">
        <v>234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234</v>
      </c>
      <c r="D129" s="218">
        <v>234</v>
      </c>
      <c r="E129" s="218">
        <v>234</v>
      </c>
    </row>
    <row r="130" spans="1:7" ht="24" customHeight="1" x14ac:dyDescent="0.2">
      <c r="A130" s="85">
        <v>7</v>
      </c>
      <c r="B130" s="75" t="s">
        <v>386</v>
      </c>
      <c r="C130" s="193">
        <v>0.60599999999999998</v>
      </c>
      <c r="D130" s="193">
        <v>0.57650000000000001</v>
      </c>
      <c r="E130" s="193">
        <v>0.60089999999999999</v>
      </c>
    </row>
    <row r="131" spans="1:7" ht="24" customHeight="1" x14ac:dyDescent="0.2">
      <c r="A131" s="85">
        <v>8</v>
      </c>
      <c r="B131" s="75" t="s">
        <v>387</v>
      </c>
      <c r="C131" s="193">
        <v>0.47649999999999998</v>
      </c>
      <c r="D131" s="193">
        <v>0.45329999999999998</v>
      </c>
      <c r="E131" s="193">
        <v>0.44940000000000002</v>
      </c>
    </row>
    <row r="132" spans="1:7" ht="24" customHeight="1" x14ac:dyDescent="0.2">
      <c r="A132" s="85">
        <v>9</v>
      </c>
      <c r="B132" s="75" t="s">
        <v>388</v>
      </c>
      <c r="C132" s="219">
        <v>1592.7</v>
      </c>
      <c r="D132" s="219">
        <v>1303.8</v>
      </c>
      <c r="E132" s="219">
        <v>1283.8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0.37534780100890741</v>
      </c>
      <c r="D135" s="227">
        <f>IF(D149=0,0,D143/D149)</f>
        <v>0.36126669210666468</v>
      </c>
      <c r="E135" s="227">
        <f>IF(E149=0,0,E143/E149)</f>
        <v>0.35978308461114838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0.40095186517139586</v>
      </c>
      <c r="D136" s="227">
        <f>IF(D149=0,0,D144/D149)</f>
        <v>0.41137614423143143</v>
      </c>
      <c r="E136" s="227">
        <f>IF(E149=0,0,E144/E149)</f>
        <v>0.39952337563096196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0.21174029536921796</v>
      </c>
      <c r="D137" s="227">
        <f>IF(D149=0,0,D145/D149)</f>
        <v>0.21637357256251905</v>
      </c>
      <c r="E137" s="227">
        <f>IF(E149=0,0,E145/E149)</f>
        <v>0.23048384150551834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3.2154800174834578E-4</v>
      </c>
      <c r="D138" s="227">
        <f>IF(D149=0,0,D146/D149)</f>
        <v>3.6323031788439879E-4</v>
      </c>
      <c r="E138" s="227">
        <f>IF(E149=0,0,E146/E149)</f>
        <v>6.5184633046310011E-4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7.4093685243001904E-3</v>
      </c>
      <c r="D139" s="227">
        <f>IF(D149=0,0,D147/D149)</f>
        <v>5.9520445742978125E-3</v>
      </c>
      <c r="E139" s="227">
        <f>IF(E149=0,0,E147/E149)</f>
        <v>4.3684484365449552E-3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4.229121924430263E-3</v>
      </c>
      <c r="D140" s="227">
        <f>IF(D149=0,0,D148/D149)</f>
        <v>4.6683162072026115E-3</v>
      </c>
      <c r="E140" s="227">
        <f>IF(E149=0,0,E148/E149)</f>
        <v>5.1894034853632821E-3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225517084</v>
      </c>
      <c r="D143" s="229">
        <f>+D46-D147</f>
        <v>241091573</v>
      </c>
      <c r="E143" s="229">
        <f>+E46-E147</f>
        <v>274937973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240900560</v>
      </c>
      <c r="D144" s="229">
        <f>+D51</f>
        <v>274532150</v>
      </c>
      <c r="E144" s="229">
        <f>+E51</f>
        <v>305306591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127218153</v>
      </c>
      <c r="D145" s="229">
        <f>+D55</f>
        <v>144397051</v>
      </c>
      <c r="E145" s="229">
        <f>+E55</f>
        <v>176130460</v>
      </c>
    </row>
    <row r="146" spans="1:7" ht="20.100000000000001" customHeight="1" x14ac:dyDescent="0.2">
      <c r="A146" s="226">
        <v>11</v>
      </c>
      <c r="B146" s="224" t="s">
        <v>400</v>
      </c>
      <c r="C146" s="228">
        <v>193193</v>
      </c>
      <c r="D146" s="229">
        <v>242402</v>
      </c>
      <c r="E146" s="229">
        <v>498126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4451709</v>
      </c>
      <c r="D147" s="229">
        <f>+D47</f>
        <v>3972101</v>
      </c>
      <c r="E147" s="229">
        <f>+E47</f>
        <v>3338268</v>
      </c>
    </row>
    <row r="148" spans="1:7" ht="20.100000000000001" customHeight="1" x14ac:dyDescent="0.2">
      <c r="A148" s="226">
        <v>13</v>
      </c>
      <c r="B148" s="224" t="s">
        <v>402</v>
      </c>
      <c r="C148" s="230">
        <v>2540948</v>
      </c>
      <c r="D148" s="229">
        <v>3115404</v>
      </c>
      <c r="E148" s="229">
        <v>3965623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600821647</v>
      </c>
      <c r="D149" s="229">
        <f>SUM(D143:D148)</f>
        <v>667350681</v>
      </c>
      <c r="E149" s="229">
        <f>SUM(E143:E148)</f>
        <v>764177041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0.44376331214041426</v>
      </c>
      <c r="D152" s="227">
        <f>IF(D166=0,0,D160/D166)</f>
        <v>0.42672127042995017</v>
      </c>
      <c r="E152" s="227">
        <f>IF(E166=0,0,E160/E166)</f>
        <v>0.44439044765714258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0.38057053527590196</v>
      </c>
      <c r="D153" s="227">
        <f>IF(D166=0,0,D161/D166)</f>
        <v>0.38973312521961123</v>
      </c>
      <c r="E153" s="227">
        <f>IF(E166=0,0,E161/E166)</f>
        <v>0.36360338684912613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0.16725839113312088</v>
      </c>
      <c r="D154" s="227">
        <f>IF(D166=0,0,D162/D166)</f>
        <v>0.17657467003498004</v>
      </c>
      <c r="E154" s="227">
        <f>IF(E166=0,0,E162/E166)</f>
        <v>0.18527309070396181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3.8266020258008823E-4</v>
      </c>
      <c r="D155" s="227">
        <f>IF(D166=0,0,D163/D166)</f>
        <v>2.7599513777938324E-4</v>
      </c>
      <c r="E155" s="227">
        <f>IF(E166=0,0,E163/E166)</f>
        <v>2.6718677938603822E-4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4.5459515044507697E-3</v>
      </c>
      <c r="D156" s="227">
        <f>IF(D166=0,0,D164/D166)</f>
        <v>2.807786086640869E-3</v>
      </c>
      <c r="E156" s="227">
        <f>IF(E166=0,0,E164/E166)</f>
        <v>2.5074328331771644E-3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3.4791497435320501E-3</v>
      </c>
      <c r="D157" s="227">
        <f>IF(D166=0,0,D165/D166)</f>
        <v>3.8871530910383058E-3</v>
      </c>
      <c r="E157" s="227">
        <f>IF(E166=0,0,E165/E166)</f>
        <v>3.9584551772062554E-3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124969416</v>
      </c>
      <c r="D160" s="229">
        <f>+D44-D164</f>
        <v>125345397</v>
      </c>
      <c r="E160" s="229">
        <f>+E44-E164</f>
        <v>152517292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107173523</v>
      </c>
      <c r="D161" s="229">
        <f>+D50</f>
        <v>114480474</v>
      </c>
      <c r="E161" s="229">
        <f>+E50</f>
        <v>124790720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47102099</v>
      </c>
      <c r="D162" s="229">
        <f>+D54</f>
        <v>51867164</v>
      </c>
      <c r="E162" s="229">
        <f>+E54</f>
        <v>63586763</v>
      </c>
    </row>
    <row r="163" spans="1:6" ht="20.100000000000001" customHeight="1" x14ac:dyDescent="0.2">
      <c r="A163" s="226">
        <v>11</v>
      </c>
      <c r="B163" s="224" t="s">
        <v>415</v>
      </c>
      <c r="C163" s="228">
        <v>107762</v>
      </c>
      <c r="D163" s="229">
        <v>81071</v>
      </c>
      <c r="E163" s="229">
        <v>91700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1280198</v>
      </c>
      <c r="D164" s="229">
        <f>+D45</f>
        <v>824761</v>
      </c>
      <c r="E164" s="229">
        <f>+E45</f>
        <v>860565</v>
      </c>
    </row>
    <row r="165" spans="1:6" ht="20.100000000000001" customHeight="1" x14ac:dyDescent="0.2">
      <c r="A165" s="226">
        <v>13</v>
      </c>
      <c r="B165" s="224" t="s">
        <v>417</v>
      </c>
      <c r="C165" s="230">
        <v>979773</v>
      </c>
      <c r="D165" s="229">
        <v>1141815</v>
      </c>
      <c r="E165" s="229">
        <v>1358564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281612771</v>
      </c>
      <c r="D166" s="229">
        <f>SUM(D160:D165)</f>
        <v>293740682</v>
      </c>
      <c r="E166" s="229">
        <f>SUM(E160:E165)</f>
        <v>343205604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2552</v>
      </c>
      <c r="D169" s="218">
        <v>2508</v>
      </c>
      <c r="E169" s="218">
        <v>2495</v>
      </c>
    </row>
    <row r="170" spans="1:6" ht="20.100000000000001" customHeight="1" x14ac:dyDescent="0.2">
      <c r="A170" s="226">
        <v>2</v>
      </c>
      <c r="B170" s="224" t="s">
        <v>420</v>
      </c>
      <c r="C170" s="218">
        <v>3822</v>
      </c>
      <c r="D170" s="218">
        <v>3846</v>
      </c>
      <c r="E170" s="218">
        <v>3996</v>
      </c>
    </row>
    <row r="171" spans="1:6" ht="20.100000000000001" customHeight="1" x14ac:dyDescent="0.2">
      <c r="A171" s="226">
        <v>3</v>
      </c>
      <c r="B171" s="224" t="s">
        <v>421</v>
      </c>
      <c r="C171" s="218">
        <v>2169</v>
      </c>
      <c r="D171" s="218">
        <v>2277</v>
      </c>
      <c r="E171" s="218">
        <v>2312</v>
      </c>
    </row>
    <row r="172" spans="1:6" ht="20.100000000000001" customHeight="1" x14ac:dyDescent="0.2">
      <c r="A172" s="226">
        <v>4</v>
      </c>
      <c r="B172" s="224" t="s">
        <v>422</v>
      </c>
      <c r="C172" s="218">
        <v>2162</v>
      </c>
      <c r="D172" s="218">
        <v>2272</v>
      </c>
      <c r="E172" s="218">
        <v>2300</v>
      </c>
    </row>
    <row r="173" spans="1:6" ht="20.100000000000001" customHeight="1" x14ac:dyDescent="0.2">
      <c r="A173" s="226">
        <v>5</v>
      </c>
      <c r="B173" s="224" t="s">
        <v>423</v>
      </c>
      <c r="C173" s="218">
        <v>7</v>
      </c>
      <c r="D173" s="218">
        <v>5</v>
      </c>
      <c r="E173" s="218">
        <v>12</v>
      </c>
    </row>
    <row r="174" spans="1:6" ht="20.100000000000001" customHeight="1" x14ac:dyDescent="0.2">
      <c r="A174" s="226">
        <v>6</v>
      </c>
      <c r="B174" s="224" t="s">
        <v>424</v>
      </c>
      <c r="C174" s="218">
        <v>35</v>
      </c>
      <c r="D174" s="218">
        <v>38</v>
      </c>
      <c r="E174" s="218">
        <v>43</v>
      </c>
    </row>
    <row r="175" spans="1:6" ht="20.100000000000001" customHeight="1" x14ac:dyDescent="0.2">
      <c r="A175" s="226">
        <v>7</v>
      </c>
      <c r="B175" s="224" t="s">
        <v>425</v>
      </c>
      <c r="C175" s="218">
        <v>35</v>
      </c>
      <c r="D175" s="218">
        <v>45</v>
      </c>
      <c r="E175" s="218">
        <v>21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8578</v>
      </c>
      <c r="D176" s="218">
        <f>+D169+D170+D171+D174</f>
        <v>8669</v>
      </c>
      <c r="E176" s="218">
        <f>+E169+E170+E171+E174</f>
        <v>8846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1.3512</v>
      </c>
      <c r="D179" s="231">
        <v>1.3150999999999999</v>
      </c>
      <c r="E179" s="231">
        <v>1.3859999999999999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1.583</v>
      </c>
      <c r="D180" s="231">
        <v>1.6133999999999999</v>
      </c>
      <c r="E180" s="231">
        <v>1.6297999999999999</v>
      </c>
    </row>
    <row r="181" spans="1:6" ht="20.100000000000001" customHeight="1" x14ac:dyDescent="0.2">
      <c r="A181" s="226">
        <v>3</v>
      </c>
      <c r="B181" s="224" t="s">
        <v>421</v>
      </c>
      <c r="C181" s="231">
        <v>1.378047</v>
      </c>
      <c r="D181" s="231">
        <v>1.37588</v>
      </c>
      <c r="E181" s="231">
        <v>1.4320539999999999</v>
      </c>
    </row>
    <row r="182" spans="1:6" ht="20.100000000000001" customHeight="1" x14ac:dyDescent="0.2">
      <c r="A182" s="226">
        <v>4</v>
      </c>
      <c r="B182" s="224" t="s">
        <v>422</v>
      </c>
      <c r="C182" s="231">
        <v>1.3789</v>
      </c>
      <c r="D182" s="231">
        <v>1.3765000000000001</v>
      </c>
      <c r="E182" s="231">
        <v>1.4349000000000001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1.1148</v>
      </c>
      <c r="D183" s="231">
        <v>1.0943000000000001</v>
      </c>
      <c r="E183" s="231">
        <v>0.88660000000000005</v>
      </c>
    </row>
    <row r="184" spans="1:6" ht="20.100000000000001" customHeight="1" x14ac:dyDescent="0.2">
      <c r="A184" s="226">
        <v>6</v>
      </c>
      <c r="B184" s="224" t="s">
        <v>424</v>
      </c>
      <c r="C184" s="231">
        <v>1.0742</v>
      </c>
      <c r="D184" s="231">
        <v>1.5103</v>
      </c>
      <c r="E184" s="231">
        <v>1.1761999999999999</v>
      </c>
    </row>
    <row r="185" spans="1:6" ht="20.100000000000001" customHeight="1" x14ac:dyDescent="0.2">
      <c r="A185" s="226">
        <v>7</v>
      </c>
      <c r="B185" s="224" t="s">
        <v>425</v>
      </c>
      <c r="C185" s="231">
        <v>0.93859999999999999</v>
      </c>
      <c r="D185" s="231">
        <v>1.0604</v>
      </c>
      <c r="E185" s="231">
        <v>1.2554000000000001</v>
      </c>
    </row>
    <row r="186" spans="1:6" ht="20.100000000000001" customHeight="1" x14ac:dyDescent="0.2">
      <c r="A186" s="226">
        <v>8</v>
      </c>
      <c r="B186" s="224" t="s">
        <v>429</v>
      </c>
      <c r="C186" s="231">
        <v>1.4601379999999999</v>
      </c>
      <c r="D186" s="231">
        <v>1.4642599999999999</v>
      </c>
      <c r="E186" s="231">
        <v>1.5071479999999999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5131</v>
      </c>
      <c r="D189" s="218">
        <v>5251</v>
      </c>
      <c r="E189" s="218">
        <v>5450</v>
      </c>
    </row>
    <row r="190" spans="1:6" ht="20.100000000000001" customHeight="1" x14ac:dyDescent="0.2">
      <c r="A190" s="226">
        <v>2</v>
      </c>
      <c r="B190" s="224" t="s">
        <v>433</v>
      </c>
      <c r="C190" s="218">
        <v>23640</v>
      </c>
      <c r="D190" s="218">
        <v>24390</v>
      </c>
      <c r="E190" s="218">
        <v>25370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28771</v>
      </c>
      <c r="D191" s="218">
        <f>+D190+D189</f>
        <v>29641</v>
      </c>
      <c r="E191" s="218">
        <f>+E190+E189</f>
        <v>30820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FILING&amp;RJOHN DEMPSEY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6" t="s">
        <v>0</v>
      </c>
      <c r="B2" s="786"/>
      <c r="C2" s="786"/>
      <c r="D2" s="786"/>
      <c r="E2" s="786"/>
      <c r="F2" s="786"/>
    </row>
    <row r="3" spans="1:7" ht="20.25" customHeight="1" x14ac:dyDescent="0.3">
      <c r="A3" s="786" t="s">
        <v>1</v>
      </c>
      <c r="B3" s="786"/>
      <c r="C3" s="786"/>
      <c r="D3" s="786"/>
      <c r="E3" s="786"/>
      <c r="F3" s="786"/>
    </row>
    <row r="4" spans="1:7" ht="20.25" customHeight="1" x14ac:dyDescent="0.3">
      <c r="A4" s="786" t="s">
        <v>2</v>
      </c>
      <c r="B4" s="786"/>
      <c r="C4" s="786"/>
      <c r="D4" s="786"/>
      <c r="E4" s="786"/>
      <c r="F4" s="786"/>
    </row>
    <row r="5" spans="1:7" ht="20.25" customHeight="1" x14ac:dyDescent="0.3">
      <c r="A5" s="786" t="s">
        <v>435</v>
      </c>
      <c r="B5" s="786"/>
      <c r="C5" s="786"/>
      <c r="D5" s="786"/>
      <c r="E5" s="786"/>
      <c r="F5" s="786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7"/>
      <c r="D9" s="788"/>
      <c r="E9" s="788"/>
      <c r="F9" s="789"/>
      <c r="G9" s="245"/>
    </row>
    <row r="10" spans="1:7" ht="20.25" customHeight="1" x14ac:dyDescent="0.3">
      <c r="A10" s="790" t="s">
        <v>12</v>
      </c>
      <c r="B10" s="792" t="s">
        <v>114</v>
      </c>
      <c r="C10" s="794"/>
      <c r="D10" s="795"/>
      <c r="E10" s="795"/>
      <c r="F10" s="796"/>
    </row>
    <row r="11" spans="1:7" ht="20.25" customHeight="1" x14ac:dyDescent="0.3">
      <c r="A11" s="791"/>
      <c r="B11" s="793"/>
      <c r="C11" s="797"/>
      <c r="D11" s="798"/>
      <c r="E11" s="798"/>
      <c r="F11" s="799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1735784</v>
      </c>
      <c r="D14" s="258">
        <v>1659139</v>
      </c>
      <c r="E14" s="258">
        <f t="shared" ref="E14:E24" si="0">D14-C14</f>
        <v>-76645</v>
      </c>
      <c r="F14" s="259">
        <f t="shared" ref="F14:F24" si="1">IF(C14=0,0,E14/C14)</f>
        <v>-4.4155839666686639E-2</v>
      </c>
    </row>
    <row r="15" spans="1:7" ht="20.25" customHeight="1" x14ac:dyDescent="0.3">
      <c r="A15" s="256">
        <v>2</v>
      </c>
      <c r="B15" s="257" t="s">
        <v>442</v>
      </c>
      <c r="C15" s="258">
        <v>739313</v>
      </c>
      <c r="D15" s="258">
        <v>719932</v>
      </c>
      <c r="E15" s="258">
        <f t="shared" si="0"/>
        <v>-19381</v>
      </c>
      <c r="F15" s="259">
        <f t="shared" si="1"/>
        <v>-2.6214877866343484E-2</v>
      </c>
    </row>
    <row r="16" spans="1:7" ht="20.25" customHeight="1" x14ac:dyDescent="0.3">
      <c r="A16" s="256">
        <v>3</v>
      </c>
      <c r="B16" s="257" t="s">
        <v>443</v>
      </c>
      <c r="C16" s="258">
        <v>1242525</v>
      </c>
      <c r="D16" s="258">
        <v>1875305</v>
      </c>
      <c r="E16" s="258">
        <f t="shared" si="0"/>
        <v>632780</v>
      </c>
      <c r="F16" s="259">
        <f t="shared" si="1"/>
        <v>0.50926943119856738</v>
      </c>
    </row>
    <row r="17" spans="1:6" ht="20.25" customHeight="1" x14ac:dyDescent="0.3">
      <c r="A17" s="256">
        <v>4</v>
      </c>
      <c r="B17" s="257" t="s">
        <v>444</v>
      </c>
      <c r="C17" s="258">
        <v>425037</v>
      </c>
      <c r="D17" s="258">
        <v>486776</v>
      </c>
      <c r="E17" s="258">
        <f t="shared" si="0"/>
        <v>61739</v>
      </c>
      <c r="F17" s="259">
        <f t="shared" si="1"/>
        <v>0.14525558951338355</v>
      </c>
    </row>
    <row r="18" spans="1:6" ht="20.25" customHeight="1" x14ac:dyDescent="0.3">
      <c r="A18" s="256">
        <v>5</v>
      </c>
      <c r="B18" s="257" t="s">
        <v>381</v>
      </c>
      <c r="C18" s="260">
        <v>42</v>
      </c>
      <c r="D18" s="260">
        <v>47</v>
      </c>
      <c r="E18" s="260">
        <f t="shared" si="0"/>
        <v>5</v>
      </c>
      <c r="F18" s="259">
        <f t="shared" si="1"/>
        <v>0.11904761904761904</v>
      </c>
    </row>
    <row r="19" spans="1:6" ht="20.25" customHeight="1" x14ac:dyDescent="0.3">
      <c r="A19" s="256">
        <v>6</v>
      </c>
      <c r="B19" s="257" t="s">
        <v>380</v>
      </c>
      <c r="C19" s="260">
        <v>202</v>
      </c>
      <c r="D19" s="260">
        <v>229</v>
      </c>
      <c r="E19" s="260">
        <f t="shared" si="0"/>
        <v>27</v>
      </c>
      <c r="F19" s="259">
        <f t="shared" si="1"/>
        <v>0.13366336633663367</v>
      </c>
    </row>
    <row r="20" spans="1:6" ht="20.25" customHeight="1" x14ac:dyDescent="0.3">
      <c r="A20" s="256">
        <v>7</v>
      </c>
      <c r="B20" s="257" t="s">
        <v>445</v>
      </c>
      <c r="C20" s="260">
        <v>1302</v>
      </c>
      <c r="D20" s="260">
        <v>1713</v>
      </c>
      <c r="E20" s="260">
        <f t="shared" si="0"/>
        <v>411</v>
      </c>
      <c r="F20" s="259">
        <f t="shared" si="1"/>
        <v>0.31566820276497698</v>
      </c>
    </row>
    <row r="21" spans="1:6" ht="20.25" customHeight="1" x14ac:dyDescent="0.3">
      <c r="A21" s="256">
        <v>8</v>
      </c>
      <c r="B21" s="257" t="s">
        <v>446</v>
      </c>
      <c r="C21" s="260">
        <v>70</v>
      </c>
      <c r="D21" s="260">
        <v>106</v>
      </c>
      <c r="E21" s="260">
        <f t="shared" si="0"/>
        <v>36</v>
      </c>
      <c r="F21" s="259">
        <f t="shared" si="1"/>
        <v>0.51428571428571423</v>
      </c>
    </row>
    <row r="22" spans="1:6" ht="20.25" customHeight="1" x14ac:dyDescent="0.3">
      <c r="A22" s="256">
        <v>9</v>
      </c>
      <c r="B22" s="257" t="s">
        <v>447</v>
      </c>
      <c r="C22" s="260">
        <v>33</v>
      </c>
      <c r="D22" s="260">
        <v>26</v>
      </c>
      <c r="E22" s="260">
        <f t="shared" si="0"/>
        <v>-7</v>
      </c>
      <c r="F22" s="259">
        <f t="shared" si="1"/>
        <v>-0.21212121212121213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2978309</v>
      </c>
      <c r="D23" s="263">
        <f>+D14+D16</f>
        <v>3534444</v>
      </c>
      <c r="E23" s="263">
        <f t="shared" si="0"/>
        <v>556135</v>
      </c>
      <c r="F23" s="264">
        <f t="shared" si="1"/>
        <v>0.18672844221334992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1164350</v>
      </c>
      <c r="D24" s="263">
        <f>+D15+D17</f>
        <v>1206708</v>
      </c>
      <c r="E24" s="263">
        <f t="shared" si="0"/>
        <v>42358</v>
      </c>
      <c r="F24" s="264">
        <f t="shared" si="1"/>
        <v>3.6379095632756472E-2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11499698</v>
      </c>
      <c r="D40" s="258">
        <v>9705883</v>
      </c>
      <c r="E40" s="258">
        <f t="shared" ref="E40:E50" si="4">D40-C40</f>
        <v>-1793815</v>
      </c>
      <c r="F40" s="259">
        <f t="shared" ref="F40:F50" si="5">IF(C40=0,0,E40/C40)</f>
        <v>-0.15598800942424748</v>
      </c>
    </row>
    <row r="41" spans="1:6" ht="20.25" customHeight="1" x14ac:dyDescent="0.3">
      <c r="A41" s="256">
        <v>2</v>
      </c>
      <c r="B41" s="257" t="s">
        <v>442</v>
      </c>
      <c r="C41" s="258">
        <v>5694453</v>
      </c>
      <c r="D41" s="258">
        <v>4626404</v>
      </c>
      <c r="E41" s="258">
        <f t="shared" si="4"/>
        <v>-1068049</v>
      </c>
      <c r="F41" s="259">
        <f t="shared" si="5"/>
        <v>-0.18755954259346772</v>
      </c>
    </row>
    <row r="42" spans="1:6" ht="20.25" customHeight="1" x14ac:dyDescent="0.3">
      <c r="A42" s="256">
        <v>3</v>
      </c>
      <c r="B42" s="257" t="s">
        <v>443</v>
      </c>
      <c r="C42" s="258">
        <v>8743564</v>
      </c>
      <c r="D42" s="258">
        <v>11608135</v>
      </c>
      <c r="E42" s="258">
        <f t="shared" si="4"/>
        <v>2864571</v>
      </c>
      <c r="F42" s="259">
        <f t="shared" si="5"/>
        <v>0.32762052179180023</v>
      </c>
    </row>
    <row r="43" spans="1:6" ht="20.25" customHeight="1" x14ac:dyDescent="0.3">
      <c r="A43" s="256">
        <v>4</v>
      </c>
      <c r="B43" s="257" t="s">
        <v>444</v>
      </c>
      <c r="C43" s="258">
        <v>2474614</v>
      </c>
      <c r="D43" s="258">
        <v>3095494</v>
      </c>
      <c r="E43" s="258">
        <f t="shared" si="4"/>
        <v>620880</v>
      </c>
      <c r="F43" s="259">
        <f t="shared" si="5"/>
        <v>0.25089973628210299</v>
      </c>
    </row>
    <row r="44" spans="1:6" ht="20.25" customHeight="1" x14ac:dyDescent="0.3">
      <c r="A44" s="256">
        <v>5</v>
      </c>
      <c r="B44" s="257" t="s">
        <v>381</v>
      </c>
      <c r="C44" s="260">
        <v>254</v>
      </c>
      <c r="D44" s="260">
        <v>240</v>
      </c>
      <c r="E44" s="260">
        <f t="shared" si="4"/>
        <v>-14</v>
      </c>
      <c r="F44" s="259">
        <f t="shared" si="5"/>
        <v>-5.5118110236220472E-2</v>
      </c>
    </row>
    <row r="45" spans="1:6" ht="20.25" customHeight="1" x14ac:dyDescent="0.3">
      <c r="A45" s="256">
        <v>6</v>
      </c>
      <c r="B45" s="257" t="s">
        <v>380</v>
      </c>
      <c r="C45" s="260">
        <v>1283</v>
      </c>
      <c r="D45" s="260">
        <v>1034</v>
      </c>
      <c r="E45" s="260">
        <f t="shared" si="4"/>
        <v>-249</v>
      </c>
      <c r="F45" s="259">
        <f t="shared" si="5"/>
        <v>-0.1940763834762276</v>
      </c>
    </row>
    <row r="46" spans="1:6" ht="20.25" customHeight="1" x14ac:dyDescent="0.3">
      <c r="A46" s="256">
        <v>7</v>
      </c>
      <c r="B46" s="257" t="s">
        <v>445</v>
      </c>
      <c r="C46" s="260">
        <v>7548</v>
      </c>
      <c r="D46" s="260">
        <v>8456</v>
      </c>
      <c r="E46" s="260">
        <f t="shared" si="4"/>
        <v>908</v>
      </c>
      <c r="F46" s="259">
        <f t="shared" si="5"/>
        <v>0.12029676735559089</v>
      </c>
    </row>
    <row r="47" spans="1:6" ht="20.25" customHeight="1" x14ac:dyDescent="0.3">
      <c r="A47" s="256">
        <v>8</v>
      </c>
      <c r="B47" s="257" t="s">
        <v>446</v>
      </c>
      <c r="C47" s="260">
        <v>301</v>
      </c>
      <c r="D47" s="260">
        <v>348</v>
      </c>
      <c r="E47" s="260">
        <f t="shared" si="4"/>
        <v>47</v>
      </c>
      <c r="F47" s="259">
        <f t="shared" si="5"/>
        <v>0.15614617940199335</v>
      </c>
    </row>
    <row r="48" spans="1:6" ht="20.25" customHeight="1" x14ac:dyDescent="0.3">
      <c r="A48" s="256">
        <v>9</v>
      </c>
      <c r="B48" s="257" t="s">
        <v>447</v>
      </c>
      <c r="C48" s="260">
        <v>160</v>
      </c>
      <c r="D48" s="260">
        <v>90</v>
      </c>
      <c r="E48" s="260">
        <f t="shared" si="4"/>
        <v>-70</v>
      </c>
      <c r="F48" s="259">
        <f t="shared" si="5"/>
        <v>-0.4375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20243262</v>
      </c>
      <c r="D49" s="263">
        <f>+D40+D42</f>
        <v>21314018</v>
      </c>
      <c r="E49" s="263">
        <f t="shared" si="4"/>
        <v>1070756</v>
      </c>
      <c r="F49" s="264">
        <f t="shared" si="5"/>
        <v>5.2894439641200122E-2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8169067</v>
      </c>
      <c r="D50" s="263">
        <f>+D41+D43</f>
        <v>7721898</v>
      </c>
      <c r="E50" s="263">
        <f t="shared" si="4"/>
        <v>-447169</v>
      </c>
      <c r="F50" s="264">
        <f t="shared" si="5"/>
        <v>-5.4739298869748529E-2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1386823</v>
      </c>
      <c r="D66" s="258">
        <v>1221247</v>
      </c>
      <c r="E66" s="258">
        <f t="shared" ref="E66:E76" si="8">D66-C66</f>
        <v>-165576</v>
      </c>
      <c r="F66" s="259">
        <f t="shared" ref="F66:F76" si="9">IF(C66=0,0,E66/C66)</f>
        <v>-0.11939230889594418</v>
      </c>
    </row>
    <row r="67" spans="1:6" ht="20.25" customHeight="1" x14ac:dyDescent="0.3">
      <c r="A67" s="256">
        <v>2</v>
      </c>
      <c r="B67" s="257" t="s">
        <v>442</v>
      </c>
      <c r="C67" s="258">
        <v>714034</v>
      </c>
      <c r="D67" s="258">
        <v>553734</v>
      </c>
      <c r="E67" s="258">
        <f t="shared" si="8"/>
        <v>-160300</v>
      </c>
      <c r="F67" s="259">
        <f t="shared" si="9"/>
        <v>-0.22449911348759302</v>
      </c>
    </row>
    <row r="68" spans="1:6" ht="20.25" customHeight="1" x14ac:dyDescent="0.3">
      <c r="A68" s="256">
        <v>3</v>
      </c>
      <c r="B68" s="257" t="s">
        <v>443</v>
      </c>
      <c r="C68" s="258">
        <v>1311046</v>
      </c>
      <c r="D68" s="258">
        <v>1455600</v>
      </c>
      <c r="E68" s="258">
        <f t="shared" si="8"/>
        <v>144554</v>
      </c>
      <c r="F68" s="259">
        <f t="shared" si="9"/>
        <v>0.11025852639800587</v>
      </c>
    </row>
    <row r="69" spans="1:6" ht="20.25" customHeight="1" x14ac:dyDescent="0.3">
      <c r="A69" s="256">
        <v>4</v>
      </c>
      <c r="B69" s="257" t="s">
        <v>444</v>
      </c>
      <c r="C69" s="258">
        <v>351863</v>
      </c>
      <c r="D69" s="258">
        <v>343583</v>
      </c>
      <c r="E69" s="258">
        <f t="shared" si="8"/>
        <v>-8280</v>
      </c>
      <c r="F69" s="259">
        <f t="shared" si="9"/>
        <v>-2.3531885989717588E-2</v>
      </c>
    </row>
    <row r="70" spans="1:6" ht="20.25" customHeight="1" x14ac:dyDescent="0.3">
      <c r="A70" s="256">
        <v>5</v>
      </c>
      <c r="B70" s="257" t="s">
        <v>381</v>
      </c>
      <c r="C70" s="260">
        <v>38</v>
      </c>
      <c r="D70" s="260">
        <v>42</v>
      </c>
      <c r="E70" s="260">
        <f t="shared" si="8"/>
        <v>4</v>
      </c>
      <c r="F70" s="259">
        <f t="shared" si="9"/>
        <v>0.10526315789473684</v>
      </c>
    </row>
    <row r="71" spans="1:6" ht="20.25" customHeight="1" x14ac:dyDescent="0.3">
      <c r="A71" s="256">
        <v>6</v>
      </c>
      <c r="B71" s="257" t="s">
        <v>380</v>
      </c>
      <c r="C71" s="260">
        <v>169</v>
      </c>
      <c r="D71" s="260">
        <v>177</v>
      </c>
      <c r="E71" s="260">
        <f t="shared" si="8"/>
        <v>8</v>
      </c>
      <c r="F71" s="259">
        <f t="shared" si="9"/>
        <v>4.7337278106508875E-2</v>
      </c>
    </row>
    <row r="72" spans="1:6" ht="20.25" customHeight="1" x14ac:dyDescent="0.3">
      <c r="A72" s="256">
        <v>7</v>
      </c>
      <c r="B72" s="257" t="s">
        <v>445</v>
      </c>
      <c r="C72" s="260">
        <v>929</v>
      </c>
      <c r="D72" s="260">
        <v>863</v>
      </c>
      <c r="E72" s="260">
        <f t="shared" si="8"/>
        <v>-66</v>
      </c>
      <c r="F72" s="259">
        <f t="shared" si="9"/>
        <v>-7.1044133476856841E-2</v>
      </c>
    </row>
    <row r="73" spans="1:6" ht="20.25" customHeight="1" x14ac:dyDescent="0.3">
      <c r="A73" s="256">
        <v>8</v>
      </c>
      <c r="B73" s="257" t="s">
        <v>446</v>
      </c>
      <c r="C73" s="260">
        <v>98</v>
      </c>
      <c r="D73" s="260">
        <v>96</v>
      </c>
      <c r="E73" s="260">
        <f t="shared" si="8"/>
        <v>-2</v>
      </c>
      <c r="F73" s="259">
        <f t="shared" si="9"/>
        <v>-2.0408163265306121E-2</v>
      </c>
    </row>
    <row r="74" spans="1:6" ht="20.25" customHeight="1" x14ac:dyDescent="0.3">
      <c r="A74" s="256">
        <v>9</v>
      </c>
      <c r="B74" s="257" t="s">
        <v>447</v>
      </c>
      <c r="C74" s="260">
        <v>27</v>
      </c>
      <c r="D74" s="260">
        <v>8</v>
      </c>
      <c r="E74" s="260">
        <f t="shared" si="8"/>
        <v>-19</v>
      </c>
      <c r="F74" s="259">
        <f t="shared" si="9"/>
        <v>-0.70370370370370372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2697869</v>
      </c>
      <c r="D75" s="263">
        <f>+D66+D68</f>
        <v>2676847</v>
      </c>
      <c r="E75" s="263">
        <f t="shared" si="8"/>
        <v>-21022</v>
      </c>
      <c r="F75" s="264">
        <f t="shared" si="9"/>
        <v>-7.792075893974096E-3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1065897</v>
      </c>
      <c r="D76" s="263">
        <f>+D67+D69</f>
        <v>897317</v>
      </c>
      <c r="E76" s="263">
        <f t="shared" si="8"/>
        <v>-168580</v>
      </c>
      <c r="F76" s="264">
        <f t="shared" si="9"/>
        <v>-0.15815787078864094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11497225</v>
      </c>
      <c r="D92" s="258">
        <v>11396351</v>
      </c>
      <c r="E92" s="258">
        <f t="shared" ref="E92:E102" si="12">D92-C92</f>
        <v>-100874</v>
      </c>
      <c r="F92" s="259">
        <f t="shared" ref="F92:F102" si="13">IF(C92=0,0,E92/C92)</f>
        <v>-8.7737693225974096E-3</v>
      </c>
    </row>
    <row r="93" spans="1:6" ht="20.25" customHeight="1" x14ac:dyDescent="0.3">
      <c r="A93" s="256">
        <v>2</v>
      </c>
      <c r="B93" s="257" t="s">
        <v>442</v>
      </c>
      <c r="C93" s="258">
        <v>5178235</v>
      </c>
      <c r="D93" s="258">
        <v>4772923</v>
      </c>
      <c r="E93" s="258">
        <f t="shared" si="12"/>
        <v>-405312</v>
      </c>
      <c r="F93" s="259">
        <f t="shared" si="13"/>
        <v>-7.8272229823482323E-2</v>
      </c>
    </row>
    <row r="94" spans="1:6" ht="20.25" customHeight="1" x14ac:dyDescent="0.3">
      <c r="A94" s="256">
        <v>3</v>
      </c>
      <c r="B94" s="257" t="s">
        <v>443</v>
      </c>
      <c r="C94" s="258">
        <v>10866424</v>
      </c>
      <c r="D94" s="258">
        <v>12558132</v>
      </c>
      <c r="E94" s="258">
        <f t="shared" si="12"/>
        <v>1691708</v>
      </c>
      <c r="F94" s="259">
        <f t="shared" si="13"/>
        <v>0.15568212688921396</v>
      </c>
    </row>
    <row r="95" spans="1:6" ht="20.25" customHeight="1" x14ac:dyDescent="0.3">
      <c r="A95" s="256">
        <v>4</v>
      </c>
      <c r="B95" s="257" t="s">
        <v>444</v>
      </c>
      <c r="C95" s="258">
        <v>2722071</v>
      </c>
      <c r="D95" s="258">
        <v>3113570</v>
      </c>
      <c r="E95" s="258">
        <f t="shared" si="12"/>
        <v>391499</v>
      </c>
      <c r="F95" s="259">
        <f t="shared" si="13"/>
        <v>0.14382394875078572</v>
      </c>
    </row>
    <row r="96" spans="1:6" ht="20.25" customHeight="1" x14ac:dyDescent="0.3">
      <c r="A96" s="256">
        <v>5</v>
      </c>
      <c r="B96" s="257" t="s">
        <v>381</v>
      </c>
      <c r="C96" s="260">
        <v>300</v>
      </c>
      <c r="D96" s="260">
        <v>292</v>
      </c>
      <c r="E96" s="260">
        <f t="shared" si="12"/>
        <v>-8</v>
      </c>
      <c r="F96" s="259">
        <f t="shared" si="13"/>
        <v>-2.6666666666666668E-2</v>
      </c>
    </row>
    <row r="97" spans="1:6" ht="20.25" customHeight="1" x14ac:dyDescent="0.3">
      <c r="A97" s="256">
        <v>6</v>
      </c>
      <c r="B97" s="257" t="s">
        <v>380</v>
      </c>
      <c r="C97" s="260">
        <v>1421</v>
      </c>
      <c r="D97" s="260">
        <v>1355</v>
      </c>
      <c r="E97" s="260">
        <f t="shared" si="12"/>
        <v>-66</v>
      </c>
      <c r="F97" s="259">
        <f t="shared" si="13"/>
        <v>-4.6446164672765661E-2</v>
      </c>
    </row>
    <row r="98" spans="1:6" ht="20.25" customHeight="1" x14ac:dyDescent="0.3">
      <c r="A98" s="256">
        <v>7</v>
      </c>
      <c r="B98" s="257" t="s">
        <v>445</v>
      </c>
      <c r="C98" s="260">
        <v>8322</v>
      </c>
      <c r="D98" s="260">
        <v>8450</v>
      </c>
      <c r="E98" s="260">
        <f t="shared" si="12"/>
        <v>128</v>
      </c>
      <c r="F98" s="259">
        <f t="shared" si="13"/>
        <v>1.5380918048546022E-2</v>
      </c>
    </row>
    <row r="99" spans="1:6" ht="20.25" customHeight="1" x14ac:dyDescent="0.3">
      <c r="A99" s="256">
        <v>8</v>
      </c>
      <c r="B99" s="257" t="s">
        <v>446</v>
      </c>
      <c r="C99" s="260">
        <v>454</v>
      </c>
      <c r="D99" s="260">
        <v>516</v>
      </c>
      <c r="E99" s="260">
        <f t="shared" si="12"/>
        <v>62</v>
      </c>
      <c r="F99" s="259">
        <f t="shared" si="13"/>
        <v>0.13656387665198239</v>
      </c>
    </row>
    <row r="100" spans="1:6" ht="20.25" customHeight="1" x14ac:dyDescent="0.3">
      <c r="A100" s="256">
        <v>9</v>
      </c>
      <c r="B100" s="257" t="s">
        <v>447</v>
      </c>
      <c r="C100" s="260">
        <v>212</v>
      </c>
      <c r="D100" s="260">
        <v>90</v>
      </c>
      <c r="E100" s="260">
        <f t="shared" si="12"/>
        <v>-122</v>
      </c>
      <c r="F100" s="259">
        <f t="shared" si="13"/>
        <v>-0.57547169811320753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22363649</v>
      </c>
      <c r="D101" s="263">
        <f>+D92+D94</f>
        <v>23954483</v>
      </c>
      <c r="E101" s="263">
        <f t="shared" si="12"/>
        <v>1590834</v>
      </c>
      <c r="F101" s="264">
        <f t="shared" si="13"/>
        <v>7.1134813464475324E-2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7900306</v>
      </c>
      <c r="D102" s="263">
        <f>+D93+D95</f>
        <v>7886493</v>
      </c>
      <c r="E102" s="263">
        <f t="shared" si="12"/>
        <v>-13813</v>
      </c>
      <c r="F102" s="264">
        <f t="shared" si="13"/>
        <v>-1.7484132893080344E-3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600609</v>
      </c>
      <c r="D105" s="258">
        <v>984891</v>
      </c>
      <c r="E105" s="258">
        <f t="shared" ref="E105:E115" si="14">D105-C105</f>
        <v>384282</v>
      </c>
      <c r="F105" s="259">
        <f t="shared" ref="F105:F115" si="15">IF(C105=0,0,E105/C105)</f>
        <v>0.63982058210915915</v>
      </c>
    </row>
    <row r="106" spans="1:6" ht="20.25" customHeight="1" x14ac:dyDescent="0.3">
      <c r="A106" s="256">
        <v>2</v>
      </c>
      <c r="B106" s="257" t="s">
        <v>442</v>
      </c>
      <c r="C106" s="258">
        <v>253690</v>
      </c>
      <c r="D106" s="258">
        <v>469983</v>
      </c>
      <c r="E106" s="258">
        <f t="shared" si="14"/>
        <v>216293</v>
      </c>
      <c r="F106" s="259">
        <f t="shared" si="15"/>
        <v>0.85258780401277146</v>
      </c>
    </row>
    <row r="107" spans="1:6" ht="20.25" customHeight="1" x14ac:dyDescent="0.3">
      <c r="A107" s="256">
        <v>3</v>
      </c>
      <c r="B107" s="257" t="s">
        <v>443</v>
      </c>
      <c r="C107" s="258">
        <v>203511</v>
      </c>
      <c r="D107" s="258">
        <v>276690</v>
      </c>
      <c r="E107" s="258">
        <f t="shared" si="14"/>
        <v>73179</v>
      </c>
      <c r="F107" s="259">
        <f t="shared" si="15"/>
        <v>0.35958252870852192</v>
      </c>
    </row>
    <row r="108" spans="1:6" ht="20.25" customHeight="1" x14ac:dyDescent="0.3">
      <c r="A108" s="256">
        <v>4</v>
      </c>
      <c r="B108" s="257" t="s">
        <v>444</v>
      </c>
      <c r="C108" s="258">
        <v>54774</v>
      </c>
      <c r="D108" s="258">
        <v>75360</v>
      </c>
      <c r="E108" s="258">
        <f t="shared" si="14"/>
        <v>20586</v>
      </c>
      <c r="F108" s="259">
        <f t="shared" si="15"/>
        <v>0.37583525030123782</v>
      </c>
    </row>
    <row r="109" spans="1:6" ht="20.25" customHeight="1" x14ac:dyDescent="0.3">
      <c r="A109" s="256">
        <v>5</v>
      </c>
      <c r="B109" s="257" t="s">
        <v>381</v>
      </c>
      <c r="C109" s="260">
        <v>18</v>
      </c>
      <c r="D109" s="260">
        <v>36</v>
      </c>
      <c r="E109" s="260">
        <f t="shared" si="14"/>
        <v>18</v>
      </c>
      <c r="F109" s="259">
        <f t="shared" si="15"/>
        <v>1</v>
      </c>
    </row>
    <row r="110" spans="1:6" ht="20.25" customHeight="1" x14ac:dyDescent="0.3">
      <c r="A110" s="256">
        <v>6</v>
      </c>
      <c r="B110" s="257" t="s">
        <v>380</v>
      </c>
      <c r="C110" s="260">
        <v>109</v>
      </c>
      <c r="D110" s="260">
        <v>175</v>
      </c>
      <c r="E110" s="260">
        <f t="shared" si="14"/>
        <v>66</v>
      </c>
      <c r="F110" s="259">
        <f t="shared" si="15"/>
        <v>0.60550458715596334</v>
      </c>
    </row>
    <row r="111" spans="1:6" ht="20.25" customHeight="1" x14ac:dyDescent="0.3">
      <c r="A111" s="256">
        <v>7</v>
      </c>
      <c r="B111" s="257" t="s">
        <v>445</v>
      </c>
      <c r="C111" s="260">
        <v>90</v>
      </c>
      <c r="D111" s="260">
        <v>98</v>
      </c>
      <c r="E111" s="260">
        <f t="shared" si="14"/>
        <v>8</v>
      </c>
      <c r="F111" s="259">
        <f t="shared" si="15"/>
        <v>8.8888888888888892E-2</v>
      </c>
    </row>
    <row r="112" spans="1:6" ht="20.25" customHeight="1" x14ac:dyDescent="0.3">
      <c r="A112" s="256">
        <v>8</v>
      </c>
      <c r="B112" s="257" t="s">
        <v>446</v>
      </c>
      <c r="C112" s="260">
        <v>66</v>
      </c>
      <c r="D112" s="260">
        <v>86</v>
      </c>
      <c r="E112" s="260">
        <f t="shared" si="14"/>
        <v>20</v>
      </c>
      <c r="F112" s="259">
        <f t="shared" si="15"/>
        <v>0.30303030303030304</v>
      </c>
    </row>
    <row r="113" spans="1:6" ht="20.25" customHeight="1" x14ac:dyDescent="0.3">
      <c r="A113" s="256">
        <v>9</v>
      </c>
      <c r="B113" s="257" t="s">
        <v>447</v>
      </c>
      <c r="C113" s="260">
        <v>17</v>
      </c>
      <c r="D113" s="260">
        <v>5</v>
      </c>
      <c r="E113" s="260">
        <f t="shared" si="14"/>
        <v>-12</v>
      </c>
      <c r="F113" s="259">
        <f t="shared" si="15"/>
        <v>-0.70588235294117652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804120</v>
      </c>
      <c r="D114" s="263">
        <f>+D105+D107</f>
        <v>1261581</v>
      </c>
      <c r="E114" s="263">
        <f t="shared" si="14"/>
        <v>457461</v>
      </c>
      <c r="F114" s="264">
        <f t="shared" si="15"/>
        <v>0.56889643336815399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308464</v>
      </c>
      <c r="D115" s="263">
        <f>+D106+D108</f>
        <v>545343</v>
      </c>
      <c r="E115" s="263">
        <f t="shared" si="14"/>
        <v>236879</v>
      </c>
      <c r="F115" s="264">
        <f t="shared" si="15"/>
        <v>0.76793077960475131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5777345</v>
      </c>
      <c r="D118" s="258">
        <v>5556082</v>
      </c>
      <c r="E118" s="258">
        <f t="shared" ref="E118:E128" si="16">D118-C118</f>
        <v>-221263</v>
      </c>
      <c r="F118" s="259">
        <f t="shared" ref="F118:F128" si="17">IF(C118=0,0,E118/C118)</f>
        <v>-3.8298387927326483E-2</v>
      </c>
    </row>
    <row r="119" spans="1:6" ht="20.25" customHeight="1" x14ac:dyDescent="0.3">
      <c r="A119" s="256">
        <v>2</v>
      </c>
      <c r="B119" s="257" t="s">
        <v>442</v>
      </c>
      <c r="C119" s="258">
        <v>2729816</v>
      </c>
      <c r="D119" s="258">
        <v>2501433</v>
      </c>
      <c r="E119" s="258">
        <f t="shared" si="16"/>
        <v>-228383</v>
      </c>
      <c r="F119" s="259">
        <f t="shared" si="17"/>
        <v>-8.3662415342279486E-2</v>
      </c>
    </row>
    <row r="120" spans="1:6" ht="20.25" customHeight="1" x14ac:dyDescent="0.3">
      <c r="A120" s="256">
        <v>3</v>
      </c>
      <c r="B120" s="257" t="s">
        <v>443</v>
      </c>
      <c r="C120" s="258">
        <v>5631661</v>
      </c>
      <c r="D120" s="258">
        <v>7135771</v>
      </c>
      <c r="E120" s="258">
        <f t="shared" si="16"/>
        <v>1504110</v>
      </c>
      <c r="F120" s="259">
        <f t="shared" si="17"/>
        <v>0.2670810618749957</v>
      </c>
    </row>
    <row r="121" spans="1:6" ht="20.25" customHeight="1" x14ac:dyDescent="0.3">
      <c r="A121" s="256">
        <v>4</v>
      </c>
      <c r="B121" s="257" t="s">
        <v>444</v>
      </c>
      <c r="C121" s="258">
        <v>1577848</v>
      </c>
      <c r="D121" s="258">
        <v>1863430</v>
      </c>
      <c r="E121" s="258">
        <f t="shared" si="16"/>
        <v>285582</v>
      </c>
      <c r="F121" s="259">
        <f t="shared" si="17"/>
        <v>0.18099462052111484</v>
      </c>
    </row>
    <row r="122" spans="1:6" ht="20.25" customHeight="1" x14ac:dyDescent="0.3">
      <c r="A122" s="256">
        <v>5</v>
      </c>
      <c r="B122" s="257" t="s">
        <v>381</v>
      </c>
      <c r="C122" s="260">
        <v>125</v>
      </c>
      <c r="D122" s="260">
        <v>149</v>
      </c>
      <c r="E122" s="260">
        <f t="shared" si="16"/>
        <v>24</v>
      </c>
      <c r="F122" s="259">
        <f t="shared" si="17"/>
        <v>0.192</v>
      </c>
    </row>
    <row r="123" spans="1:6" ht="20.25" customHeight="1" x14ac:dyDescent="0.3">
      <c r="A123" s="256">
        <v>6</v>
      </c>
      <c r="B123" s="257" t="s">
        <v>380</v>
      </c>
      <c r="C123" s="260">
        <v>686</v>
      </c>
      <c r="D123" s="260">
        <v>715</v>
      </c>
      <c r="E123" s="260">
        <f t="shared" si="16"/>
        <v>29</v>
      </c>
      <c r="F123" s="259">
        <f t="shared" si="17"/>
        <v>4.2274052478134108E-2</v>
      </c>
    </row>
    <row r="124" spans="1:6" ht="20.25" customHeight="1" x14ac:dyDescent="0.3">
      <c r="A124" s="256">
        <v>7</v>
      </c>
      <c r="B124" s="257" t="s">
        <v>445</v>
      </c>
      <c r="C124" s="260">
        <v>4841</v>
      </c>
      <c r="D124" s="260">
        <v>5478</v>
      </c>
      <c r="E124" s="260">
        <f t="shared" si="16"/>
        <v>637</v>
      </c>
      <c r="F124" s="259">
        <f t="shared" si="17"/>
        <v>0.13158438339186118</v>
      </c>
    </row>
    <row r="125" spans="1:6" ht="20.25" customHeight="1" x14ac:dyDescent="0.3">
      <c r="A125" s="256">
        <v>8</v>
      </c>
      <c r="B125" s="257" t="s">
        <v>446</v>
      </c>
      <c r="C125" s="260">
        <v>273</v>
      </c>
      <c r="D125" s="260">
        <v>292</v>
      </c>
      <c r="E125" s="260">
        <f t="shared" si="16"/>
        <v>19</v>
      </c>
      <c r="F125" s="259">
        <f t="shared" si="17"/>
        <v>6.95970695970696E-2</v>
      </c>
    </row>
    <row r="126" spans="1:6" ht="20.25" customHeight="1" x14ac:dyDescent="0.3">
      <c r="A126" s="256">
        <v>9</v>
      </c>
      <c r="B126" s="257" t="s">
        <v>447</v>
      </c>
      <c r="C126" s="260">
        <v>91</v>
      </c>
      <c r="D126" s="260">
        <v>56</v>
      </c>
      <c r="E126" s="260">
        <f t="shared" si="16"/>
        <v>-35</v>
      </c>
      <c r="F126" s="259">
        <f t="shared" si="17"/>
        <v>-0.38461538461538464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11409006</v>
      </c>
      <c r="D127" s="263">
        <f>+D118+D120</f>
        <v>12691853</v>
      </c>
      <c r="E127" s="263">
        <f t="shared" si="16"/>
        <v>1282847</v>
      </c>
      <c r="F127" s="264">
        <f t="shared" si="17"/>
        <v>0.11244160972480863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4307664</v>
      </c>
      <c r="D128" s="263">
        <f>+D119+D121</f>
        <v>4364863</v>
      </c>
      <c r="E128" s="263">
        <f t="shared" si="16"/>
        <v>57199</v>
      </c>
      <c r="F128" s="264">
        <f t="shared" si="17"/>
        <v>1.327842654394586E-2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97018</v>
      </c>
      <c r="D131" s="258">
        <v>43053</v>
      </c>
      <c r="E131" s="258">
        <f t="shared" ref="E131:E141" si="18">D131-C131</f>
        <v>-53965</v>
      </c>
      <c r="F131" s="259">
        <f t="shared" ref="F131:F141" si="19">IF(C131=0,0,E131/C131)</f>
        <v>-0.55623698695087509</v>
      </c>
    </row>
    <row r="132" spans="1:6" ht="20.25" customHeight="1" x14ac:dyDescent="0.3">
      <c r="A132" s="256">
        <v>2</v>
      </c>
      <c r="B132" s="257" t="s">
        <v>442</v>
      </c>
      <c r="C132" s="258">
        <v>65588</v>
      </c>
      <c r="D132" s="258">
        <v>28313</v>
      </c>
      <c r="E132" s="258">
        <f t="shared" si="18"/>
        <v>-37275</v>
      </c>
      <c r="F132" s="259">
        <f t="shared" si="19"/>
        <v>-0.56832042446789044</v>
      </c>
    </row>
    <row r="133" spans="1:6" ht="20.25" customHeight="1" x14ac:dyDescent="0.3">
      <c r="A133" s="256">
        <v>3</v>
      </c>
      <c r="B133" s="257" t="s">
        <v>443</v>
      </c>
      <c r="C133" s="258">
        <v>42251</v>
      </c>
      <c r="D133" s="258">
        <v>39659</v>
      </c>
      <c r="E133" s="258">
        <f t="shared" si="18"/>
        <v>-2592</v>
      </c>
      <c r="F133" s="259">
        <f t="shared" si="19"/>
        <v>-6.1347660410404486E-2</v>
      </c>
    </row>
    <row r="134" spans="1:6" ht="20.25" customHeight="1" x14ac:dyDescent="0.3">
      <c r="A134" s="256">
        <v>4</v>
      </c>
      <c r="B134" s="257" t="s">
        <v>444</v>
      </c>
      <c r="C134" s="258">
        <v>14673</v>
      </c>
      <c r="D134" s="258">
        <v>12487</v>
      </c>
      <c r="E134" s="258">
        <f t="shared" si="18"/>
        <v>-2186</v>
      </c>
      <c r="F134" s="259">
        <f t="shared" si="19"/>
        <v>-0.14898112178831868</v>
      </c>
    </row>
    <row r="135" spans="1:6" ht="20.25" customHeight="1" x14ac:dyDescent="0.3">
      <c r="A135" s="256">
        <v>5</v>
      </c>
      <c r="B135" s="257" t="s">
        <v>381</v>
      </c>
      <c r="C135" s="260">
        <v>5</v>
      </c>
      <c r="D135" s="260">
        <v>1</v>
      </c>
      <c r="E135" s="260">
        <f t="shared" si="18"/>
        <v>-4</v>
      </c>
      <c r="F135" s="259">
        <f t="shared" si="19"/>
        <v>-0.8</v>
      </c>
    </row>
    <row r="136" spans="1:6" ht="20.25" customHeight="1" x14ac:dyDescent="0.3">
      <c r="A136" s="256">
        <v>6</v>
      </c>
      <c r="B136" s="257" t="s">
        <v>380</v>
      </c>
      <c r="C136" s="260">
        <v>17</v>
      </c>
      <c r="D136" s="260">
        <v>2</v>
      </c>
      <c r="E136" s="260">
        <f t="shared" si="18"/>
        <v>-15</v>
      </c>
      <c r="F136" s="259">
        <f t="shared" si="19"/>
        <v>-0.88235294117647056</v>
      </c>
    </row>
    <row r="137" spans="1:6" ht="20.25" customHeight="1" x14ac:dyDescent="0.3">
      <c r="A137" s="256">
        <v>7</v>
      </c>
      <c r="B137" s="257" t="s">
        <v>445</v>
      </c>
      <c r="C137" s="260">
        <v>39</v>
      </c>
      <c r="D137" s="260">
        <v>32</v>
      </c>
      <c r="E137" s="260">
        <f t="shared" si="18"/>
        <v>-7</v>
      </c>
      <c r="F137" s="259">
        <f t="shared" si="19"/>
        <v>-0.17948717948717949</v>
      </c>
    </row>
    <row r="138" spans="1:6" ht="20.25" customHeight="1" x14ac:dyDescent="0.3">
      <c r="A138" s="256">
        <v>8</v>
      </c>
      <c r="B138" s="257" t="s">
        <v>446</v>
      </c>
      <c r="C138" s="260">
        <v>3</v>
      </c>
      <c r="D138" s="260">
        <v>5</v>
      </c>
      <c r="E138" s="260">
        <f t="shared" si="18"/>
        <v>2</v>
      </c>
      <c r="F138" s="259">
        <f t="shared" si="19"/>
        <v>0.66666666666666663</v>
      </c>
    </row>
    <row r="139" spans="1:6" ht="20.25" customHeight="1" x14ac:dyDescent="0.3">
      <c r="A139" s="256">
        <v>9</v>
      </c>
      <c r="B139" s="257" t="s">
        <v>447</v>
      </c>
      <c r="C139" s="260">
        <v>5</v>
      </c>
      <c r="D139" s="260">
        <v>2</v>
      </c>
      <c r="E139" s="260">
        <f t="shared" si="18"/>
        <v>-3</v>
      </c>
      <c r="F139" s="259">
        <f t="shared" si="19"/>
        <v>-0.6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139269</v>
      </c>
      <c r="D140" s="263">
        <f>+D131+D133</f>
        <v>82712</v>
      </c>
      <c r="E140" s="263">
        <f t="shared" si="18"/>
        <v>-56557</v>
      </c>
      <c r="F140" s="264">
        <f t="shared" si="19"/>
        <v>-0.40609898828885105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80261</v>
      </c>
      <c r="D141" s="263">
        <f>+D132+D134</f>
        <v>40800</v>
      </c>
      <c r="E141" s="263">
        <f t="shared" si="18"/>
        <v>-39461</v>
      </c>
      <c r="F141" s="264">
        <f t="shared" si="19"/>
        <v>-0.49165846426035059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298067</v>
      </c>
      <c r="D183" s="258">
        <v>493365</v>
      </c>
      <c r="E183" s="258">
        <f t="shared" ref="E183:E193" si="26">D183-C183</f>
        <v>195298</v>
      </c>
      <c r="F183" s="259">
        <f t="shared" ref="F183:F193" si="27">IF(C183=0,0,E183/C183)</f>
        <v>0.65521510264470739</v>
      </c>
    </row>
    <row r="184" spans="1:6" ht="20.25" customHeight="1" x14ac:dyDescent="0.3">
      <c r="A184" s="256">
        <v>2</v>
      </c>
      <c r="B184" s="257" t="s">
        <v>442</v>
      </c>
      <c r="C184" s="258">
        <v>201948</v>
      </c>
      <c r="D184" s="258">
        <v>186275</v>
      </c>
      <c r="E184" s="258">
        <f t="shared" si="26"/>
        <v>-15673</v>
      </c>
      <c r="F184" s="259">
        <f t="shared" si="27"/>
        <v>-7.760908748786817E-2</v>
      </c>
    </row>
    <row r="185" spans="1:6" ht="20.25" customHeight="1" x14ac:dyDescent="0.3">
      <c r="A185" s="256">
        <v>3</v>
      </c>
      <c r="B185" s="257" t="s">
        <v>443</v>
      </c>
      <c r="C185" s="258">
        <v>183123</v>
      </c>
      <c r="D185" s="258">
        <v>199938</v>
      </c>
      <c r="E185" s="258">
        <f t="shared" si="26"/>
        <v>16815</v>
      </c>
      <c r="F185" s="259">
        <f t="shared" si="27"/>
        <v>9.1823528448092259E-2</v>
      </c>
    </row>
    <row r="186" spans="1:6" ht="20.25" customHeight="1" x14ac:dyDescent="0.3">
      <c r="A186" s="256">
        <v>4</v>
      </c>
      <c r="B186" s="257" t="s">
        <v>444</v>
      </c>
      <c r="C186" s="258">
        <v>46609</v>
      </c>
      <c r="D186" s="258">
        <v>45550</v>
      </c>
      <c r="E186" s="258">
        <f t="shared" si="26"/>
        <v>-1059</v>
      </c>
      <c r="F186" s="259">
        <f t="shared" si="27"/>
        <v>-2.2720933725246199E-2</v>
      </c>
    </row>
    <row r="187" spans="1:6" ht="20.25" customHeight="1" x14ac:dyDescent="0.3">
      <c r="A187" s="256">
        <v>5</v>
      </c>
      <c r="B187" s="257" t="s">
        <v>381</v>
      </c>
      <c r="C187" s="260">
        <v>13</v>
      </c>
      <c r="D187" s="260">
        <v>12</v>
      </c>
      <c r="E187" s="260">
        <f t="shared" si="26"/>
        <v>-1</v>
      </c>
      <c r="F187" s="259">
        <f t="shared" si="27"/>
        <v>-7.6923076923076927E-2</v>
      </c>
    </row>
    <row r="188" spans="1:6" ht="20.25" customHeight="1" x14ac:dyDescent="0.3">
      <c r="A188" s="256">
        <v>6</v>
      </c>
      <c r="B188" s="257" t="s">
        <v>380</v>
      </c>
      <c r="C188" s="260">
        <v>41</v>
      </c>
      <c r="D188" s="260">
        <v>60</v>
      </c>
      <c r="E188" s="260">
        <f t="shared" si="26"/>
        <v>19</v>
      </c>
      <c r="F188" s="259">
        <f t="shared" si="27"/>
        <v>0.46341463414634149</v>
      </c>
    </row>
    <row r="189" spans="1:6" ht="20.25" customHeight="1" x14ac:dyDescent="0.3">
      <c r="A189" s="256">
        <v>7</v>
      </c>
      <c r="B189" s="257" t="s">
        <v>445</v>
      </c>
      <c r="C189" s="260">
        <v>121</v>
      </c>
      <c r="D189" s="260">
        <v>157</v>
      </c>
      <c r="E189" s="260">
        <f t="shared" si="26"/>
        <v>36</v>
      </c>
      <c r="F189" s="259">
        <f t="shared" si="27"/>
        <v>0.2975206611570248</v>
      </c>
    </row>
    <row r="190" spans="1:6" ht="20.25" customHeight="1" x14ac:dyDescent="0.3">
      <c r="A190" s="256">
        <v>8</v>
      </c>
      <c r="B190" s="257" t="s">
        <v>446</v>
      </c>
      <c r="C190" s="260">
        <v>17</v>
      </c>
      <c r="D190" s="260">
        <v>9</v>
      </c>
      <c r="E190" s="260">
        <f t="shared" si="26"/>
        <v>-8</v>
      </c>
      <c r="F190" s="259">
        <f t="shared" si="27"/>
        <v>-0.47058823529411764</v>
      </c>
    </row>
    <row r="191" spans="1:6" ht="20.25" customHeight="1" x14ac:dyDescent="0.3">
      <c r="A191" s="256">
        <v>9</v>
      </c>
      <c r="B191" s="257" t="s">
        <v>447</v>
      </c>
      <c r="C191" s="260">
        <v>12</v>
      </c>
      <c r="D191" s="260">
        <v>10</v>
      </c>
      <c r="E191" s="260">
        <f t="shared" si="26"/>
        <v>-2</v>
      </c>
      <c r="F191" s="259">
        <f t="shared" si="27"/>
        <v>-0.16666666666666666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481190</v>
      </c>
      <c r="D192" s="263">
        <f>+D183+D185</f>
        <v>693303</v>
      </c>
      <c r="E192" s="263">
        <f t="shared" si="26"/>
        <v>212113</v>
      </c>
      <c r="F192" s="264">
        <f t="shared" si="27"/>
        <v>0.44080924374987013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248557</v>
      </c>
      <c r="D193" s="263">
        <f>+D184+D186</f>
        <v>231825</v>
      </c>
      <c r="E193" s="263">
        <f t="shared" si="26"/>
        <v>-16732</v>
      </c>
      <c r="F193" s="264">
        <f t="shared" si="27"/>
        <v>-6.7316551133140487E-2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0" t="s">
        <v>44</v>
      </c>
      <c r="B195" s="801" t="s">
        <v>464</v>
      </c>
      <c r="C195" s="803"/>
      <c r="D195" s="804"/>
      <c r="E195" s="804"/>
      <c r="F195" s="805"/>
      <c r="G195" s="806"/>
      <c r="H195" s="806"/>
      <c r="I195" s="806"/>
    </row>
    <row r="196" spans="1:9" ht="20.25" customHeight="1" x14ac:dyDescent="0.3">
      <c r="A196" s="791"/>
      <c r="B196" s="802"/>
      <c r="C196" s="797"/>
      <c r="D196" s="798"/>
      <c r="E196" s="798"/>
      <c r="F196" s="799"/>
      <c r="G196" s="806"/>
      <c r="H196" s="806"/>
      <c r="I196" s="80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32892569</v>
      </c>
      <c r="D198" s="263">
        <f t="shared" si="28"/>
        <v>31060011</v>
      </c>
      <c r="E198" s="263">
        <f t="shared" ref="E198:E208" si="29">D198-C198</f>
        <v>-1832558</v>
      </c>
      <c r="F198" s="273">
        <f t="shared" ref="F198:F208" si="30">IF(C198=0,0,E198/C198)</f>
        <v>-5.5713434849068801E-2</v>
      </c>
    </row>
    <row r="199" spans="1:9" ht="20.25" customHeight="1" x14ac:dyDescent="0.3">
      <c r="A199" s="271"/>
      <c r="B199" s="272" t="s">
        <v>466</v>
      </c>
      <c r="C199" s="263">
        <f t="shared" si="28"/>
        <v>15577077</v>
      </c>
      <c r="D199" s="263">
        <f t="shared" si="28"/>
        <v>13858997</v>
      </c>
      <c r="E199" s="263">
        <f t="shared" si="29"/>
        <v>-1718080</v>
      </c>
      <c r="F199" s="273">
        <f t="shared" si="30"/>
        <v>-0.11029540394516892</v>
      </c>
    </row>
    <row r="200" spans="1:9" ht="20.25" customHeight="1" x14ac:dyDescent="0.3">
      <c r="A200" s="271"/>
      <c r="B200" s="272" t="s">
        <v>467</v>
      </c>
      <c r="C200" s="263">
        <f t="shared" si="28"/>
        <v>28224105</v>
      </c>
      <c r="D200" s="263">
        <f t="shared" si="28"/>
        <v>35149230</v>
      </c>
      <c r="E200" s="263">
        <f t="shared" si="29"/>
        <v>6925125</v>
      </c>
      <c r="F200" s="273">
        <f t="shared" si="30"/>
        <v>0.24536207614023545</v>
      </c>
    </row>
    <row r="201" spans="1:9" ht="20.25" customHeight="1" x14ac:dyDescent="0.3">
      <c r="A201" s="271"/>
      <c r="B201" s="272" t="s">
        <v>468</v>
      </c>
      <c r="C201" s="263">
        <f t="shared" si="28"/>
        <v>7667489</v>
      </c>
      <c r="D201" s="263">
        <f t="shared" si="28"/>
        <v>9036250</v>
      </c>
      <c r="E201" s="263">
        <f t="shared" si="29"/>
        <v>1368761</v>
      </c>
      <c r="F201" s="273">
        <f t="shared" si="30"/>
        <v>0.17851489581530539</v>
      </c>
    </row>
    <row r="202" spans="1:9" ht="20.25" customHeight="1" x14ac:dyDescent="0.3">
      <c r="A202" s="271"/>
      <c r="B202" s="272" t="s">
        <v>138</v>
      </c>
      <c r="C202" s="274">
        <f t="shared" si="28"/>
        <v>795</v>
      </c>
      <c r="D202" s="274">
        <f t="shared" si="28"/>
        <v>819</v>
      </c>
      <c r="E202" s="274">
        <f t="shared" si="29"/>
        <v>24</v>
      </c>
      <c r="F202" s="273">
        <f t="shared" si="30"/>
        <v>3.0188679245283019E-2</v>
      </c>
    </row>
    <row r="203" spans="1:9" ht="20.25" customHeight="1" x14ac:dyDescent="0.3">
      <c r="A203" s="271"/>
      <c r="B203" s="272" t="s">
        <v>140</v>
      </c>
      <c r="C203" s="274">
        <f t="shared" si="28"/>
        <v>3928</v>
      </c>
      <c r="D203" s="274">
        <f t="shared" si="28"/>
        <v>3747</v>
      </c>
      <c r="E203" s="274">
        <f t="shared" si="29"/>
        <v>-181</v>
      </c>
      <c r="F203" s="273">
        <f t="shared" si="30"/>
        <v>-4.6079429735234219E-2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23192</v>
      </c>
      <c r="D204" s="274">
        <f t="shared" si="28"/>
        <v>25247</v>
      </c>
      <c r="E204" s="274">
        <f t="shared" si="29"/>
        <v>2055</v>
      </c>
      <c r="F204" s="273">
        <f t="shared" si="30"/>
        <v>8.8608140738185584E-2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1282</v>
      </c>
      <c r="D205" s="274">
        <f t="shared" si="28"/>
        <v>1458</v>
      </c>
      <c r="E205" s="274">
        <f t="shared" si="29"/>
        <v>176</v>
      </c>
      <c r="F205" s="273">
        <f t="shared" si="30"/>
        <v>0.13728549141965679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557</v>
      </c>
      <c r="D206" s="274">
        <f t="shared" si="28"/>
        <v>287</v>
      </c>
      <c r="E206" s="274">
        <f t="shared" si="29"/>
        <v>-270</v>
      </c>
      <c r="F206" s="273">
        <f t="shared" si="30"/>
        <v>-0.48473967684021546</v>
      </c>
    </row>
    <row r="207" spans="1:9" ht="20.25" customHeight="1" x14ac:dyDescent="0.3">
      <c r="A207" s="271"/>
      <c r="B207" s="262" t="s">
        <v>471</v>
      </c>
      <c r="C207" s="263">
        <f>+C198+C200</f>
        <v>61116674</v>
      </c>
      <c r="D207" s="263">
        <f>+D198+D200</f>
        <v>66209241</v>
      </c>
      <c r="E207" s="263">
        <f t="shared" si="29"/>
        <v>5092567</v>
      </c>
      <c r="F207" s="273">
        <f t="shared" si="30"/>
        <v>8.3325329516458962E-2</v>
      </c>
    </row>
    <row r="208" spans="1:9" ht="20.25" customHeight="1" x14ac:dyDescent="0.3">
      <c r="A208" s="271"/>
      <c r="B208" s="262" t="s">
        <v>472</v>
      </c>
      <c r="C208" s="263">
        <f>+C199+C201</f>
        <v>23244566</v>
      </c>
      <c r="D208" s="263">
        <f>+D199+D201</f>
        <v>22895247</v>
      </c>
      <c r="E208" s="263">
        <f t="shared" si="29"/>
        <v>-349319</v>
      </c>
      <c r="F208" s="273">
        <f t="shared" si="30"/>
        <v>-1.5027985465506218E-2</v>
      </c>
    </row>
  </sheetData>
  <mergeCells count="12"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  <mergeCell ref="B10:B11"/>
    <mergeCell ref="C10:F11"/>
  </mergeCells>
  <pageMargins left="0.25" right="0.25" top="0.5" bottom="0.5" header="0.25" footer="0.25"/>
  <pageSetup scale="57" fitToHeight="0" orientation="portrait" horizontalDpi="1200" verticalDpi="1200" r:id="rId1"/>
  <headerFooter>
    <oddHeader>&amp;LOFFICE OF HEALTH CARE ACCESS&amp;CTWELVE MONTHS ACTUAL FILING&amp;RJOHN DEMPSEY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6" t="s">
        <v>0</v>
      </c>
      <c r="B2" s="786"/>
      <c r="C2" s="786"/>
      <c r="D2" s="786"/>
      <c r="E2" s="786"/>
      <c r="F2" s="786"/>
    </row>
    <row r="3" spans="1:7" ht="20.25" customHeight="1" x14ac:dyDescent="0.3">
      <c r="A3" s="786" t="s">
        <v>1</v>
      </c>
      <c r="B3" s="786"/>
      <c r="C3" s="786"/>
      <c r="D3" s="786"/>
      <c r="E3" s="786"/>
      <c r="F3" s="786"/>
    </row>
    <row r="4" spans="1:7" ht="20.25" customHeight="1" x14ac:dyDescent="0.3">
      <c r="A4" s="786" t="s">
        <v>314</v>
      </c>
      <c r="B4" s="786"/>
      <c r="C4" s="786"/>
      <c r="D4" s="786"/>
      <c r="E4" s="786"/>
      <c r="F4" s="786"/>
    </row>
    <row r="5" spans="1:7" ht="20.25" customHeight="1" x14ac:dyDescent="0.3">
      <c r="A5" s="786" t="s">
        <v>473</v>
      </c>
      <c r="B5" s="786"/>
      <c r="C5" s="786"/>
      <c r="D5" s="786"/>
      <c r="E5" s="786"/>
      <c r="F5" s="786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0" t="s">
        <v>12</v>
      </c>
      <c r="B10" s="801" t="s">
        <v>116</v>
      </c>
      <c r="C10" s="803"/>
      <c r="D10" s="804"/>
      <c r="E10" s="804"/>
      <c r="F10" s="805"/>
    </row>
    <row r="11" spans="1:7" ht="20.25" customHeight="1" x14ac:dyDescent="0.3">
      <c r="A11" s="791"/>
      <c r="B11" s="802"/>
      <c r="C11" s="797"/>
      <c r="D11" s="798"/>
      <c r="E11" s="798"/>
      <c r="F11" s="799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0" t="s">
        <v>44</v>
      </c>
      <c r="B109" s="801" t="s">
        <v>490</v>
      </c>
      <c r="C109" s="803"/>
      <c r="D109" s="804"/>
      <c r="E109" s="804"/>
      <c r="F109" s="805"/>
      <c r="G109" s="245"/>
    </row>
    <row r="110" spans="1:7" ht="20.25" customHeight="1" x14ac:dyDescent="0.3">
      <c r="A110" s="791"/>
      <c r="B110" s="802"/>
      <c r="C110" s="797"/>
      <c r="D110" s="798"/>
      <c r="E110" s="798"/>
      <c r="F110" s="799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scale="57" fitToHeight="0" orientation="portrait" horizontalDpi="1200" verticalDpi="1200" r:id="rId1"/>
  <headerFooter>
    <oddHeader>&amp;LOFFICE OF HEALTH CARE ACCESS&amp;CTWELVE MONTHS ACTUAL FILING&amp;RJOHN DEMPSEY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45897000</v>
      </c>
      <c r="D13" s="22">
        <v>92247000</v>
      </c>
      <c r="E13" s="22">
        <f t="shared" ref="E13:E22" si="0">D13-C13</f>
        <v>46350000</v>
      </c>
      <c r="F13" s="306">
        <f t="shared" ref="F13:F22" si="1">IF(C13=0,0,E13/C13)</f>
        <v>1.0098699261389634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43781000</v>
      </c>
      <c r="D15" s="22">
        <v>48472000</v>
      </c>
      <c r="E15" s="22">
        <f t="shared" si="0"/>
        <v>4691000</v>
      </c>
      <c r="F15" s="306">
        <f t="shared" si="1"/>
        <v>0.10714693588542976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91429000</v>
      </c>
      <c r="D17" s="22">
        <v>80294000</v>
      </c>
      <c r="E17" s="22">
        <f t="shared" si="0"/>
        <v>-11135000</v>
      </c>
      <c r="F17" s="306">
        <f t="shared" si="1"/>
        <v>-0.12178849161644555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9964000</v>
      </c>
      <c r="D19" s="22">
        <v>9673000</v>
      </c>
      <c r="E19" s="22">
        <f t="shared" si="0"/>
        <v>-291000</v>
      </c>
      <c r="F19" s="306">
        <f t="shared" si="1"/>
        <v>-2.9205138498594942E-2</v>
      </c>
    </row>
    <row r="20" spans="1:11" ht="24" customHeight="1" x14ac:dyDescent="0.2">
      <c r="A20" s="304">
        <v>8</v>
      </c>
      <c r="B20" s="305" t="s">
        <v>23</v>
      </c>
      <c r="C20" s="22">
        <v>6303000</v>
      </c>
      <c r="D20" s="22">
        <v>6764000</v>
      </c>
      <c r="E20" s="22">
        <f t="shared" si="0"/>
        <v>461000</v>
      </c>
      <c r="F20" s="306">
        <f t="shared" si="1"/>
        <v>7.3139774710455338E-2</v>
      </c>
    </row>
    <row r="21" spans="1:11" ht="24" customHeight="1" x14ac:dyDescent="0.2">
      <c r="A21" s="304">
        <v>9</v>
      </c>
      <c r="B21" s="305" t="s">
        <v>24</v>
      </c>
      <c r="C21" s="22">
        <v>116217000</v>
      </c>
      <c r="D21" s="22">
        <v>73452000</v>
      </c>
      <c r="E21" s="22">
        <f t="shared" si="0"/>
        <v>-42765000</v>
      </c>
      <c r="F21" s="306">
        <f t="shared" si="1"/>
        <v>-0.36797542528201554</v>
      </c>
    </row>
    <row r="22" spans="1:11" ht="24" customHeight="1" x14ac:dyDescent="0.25">
      <c r="A22" s="307"/>
      <c r="B22" s="308" t="s">
        <v>25</v>
      </c>
      <c r="C22" s="309">
        <f>SUM(C13:C21)</f>
        <v>313591000</v>
      </c>
      <c r="D22" s="309">
        <f>SUM(D13:D21)</f>
        <v>310902000</v>
      </c>
      <c r="E22" s="309">
        <f t="shared" si="0"/>
        <v>-2689000</v>
      </c>
      <c r="F22" s="310">
        <f t="shared" si="1"/>
        <v>-8.5748634367695496E-3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0</v>
      </c>
      <c r="D25" s="22">
        <v>0</v>
      </c>
      <c r="E25" s="22">
        <f>D25-C25</f>
        <v>0</v>
      </c>
      <c r="F25" s="306">
        <f>IF(C25=0,0,E25/C25)</f>
        <v>0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0</v>
      </c>
      <c r="D29" s="309">
        <f>SUM(D25:D28)</f>
        <v>0</v>
      </c>
      <c r="E29" s="309">
        <f>D29-C29</f>
        <v>0</v>
      </c>
      <c r="F29" s="310">
        <f>IF(C29=0,0,E29/C29)</f>
        <v>0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0</v>
      </c>
      <c r="D32" s="22">
        <v>0</v>
      </c>
      <c r="E32" s="22">
        <f>D32-C32</f>
        <v>0</v>
      </c>
      <c r="F32" s="306">
        <f>IF(C32=0,0,E32/C32)</f>
        <v>0</v>
      </c>
    </row>
    <row r="33" spans="1:8" ht="24" customHeight="1" x14ac:dyDescent="0.2">
      <c r="A33" s="304">
        <v>7</v>
      </c>
      <c r="B33" s="305" t="s">
        <v>35</v>
      </c>
      <c r="C33" s="22">
        <v>7700000</v>
      </c>
      <c r="D33" s="22">
        <v>139530000</v>
      </c>
      <c r="E33" s="22">
        <f>D33-C33</f>
        <v>131830000</v>
      </c>
      <c r="F33" s="306">
        <f>IF(C33=0,0,E33/C33)</f>
        <v>17.12077922077922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712535000</v>
      </c>
      <c r="D36" s="22">
        <v>876470000</v>
      </c>
      <c r="E36" s="22">
        <f>D36-C36</f>
        <v>163935000</v>
      </c>
      <c r="F36" s="306">
        <f>IF(C36=0,0,E36/C36)</f>
        <v>0.23007290869922178</v>
      </c>
    </row>
    <row r="37" spans="1:8" ht="24" customHeight="1" x14ac:dyDescent="0.2">
      <c r="A37" s="304">
        <v>2</v>
      </c>
      <c r="B37" s="305" t="s">
        <v>39</v>
      </c>
      <c r="C37" s="22">
        <v>456394000</v>
      </c>
      <c r="D37" s="22">
        <v>465242000</v>
      </c>
      <c r="E37" s="22">
        <f>D37-C37</f>
        <v>8848000</v>
      </c>
      <c r="F37" s="22">
        <f>IF(C37=0,0,E37/C37)</f>
        <v>1.9386757932838731E-2</v>
      </c>
    </row>
    <row r="38" spans="1:8" ht="24" customHeight="1" x14ac:dyDescent="0.25">
      <c r="A38" s="307"/>
      <c r="B38" s="308" t="s">
        <v>40</v>
      </c>
      <c r="C38" s="309">
        <f>C36-C37</f>
        <v>256141000</v>
      </c>
      <c r="D38" s="309">
        <f>D36-D37</f>
        <v>411228000</v>
      </c>
      <c r="E38" s="309">
        <f>D38-C38</f>
        <v>155087000</v>
      </c>
      <c r="F38" s="310">
        <f>IF(C38=0,0,E38/C38)</f>
        <v>0.60547510941239391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317555000</v>
      </c>
      <c r="D40" s="22">
        <v>384211000</v>
      </c>
      <c r="E40" s="22">
        <f>D40-C40</f>
        <v>66656000</v>
      </c>
      <c r="F40" s="306">
        <f>IF(C40=0,0,E40/C40)</f>
        <v>0.20990379619278551</v>
      </c>
    </row>
    <row r="41" spans="1:8" ht="24" customHeight="1" x14ac:dyDescent="0.25">
      <c r="A41" s="307"/>
      <c r="B41" s="308" t="s">
        <v>42</v>
      </c>
      <c r="C41" s="309">
        <f>+C38+C40</f>
        <v>573696000</v>
      </c>
      <c r="D41" s="309">
        <f>+D38+D40</f>
        <v>795439000</v>
      </c>
      <c r="E41" s="309">
        <f>D41-C41</f>
        <v>221743000</v>
      </c>
      <c r="F41" s="310">
        <f>IF(C41=0,0,E41/C41)</f>
        <v>0.38651655232039267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894987000</v>
      </c>
      <c r="D43" s="309">
        <f>D22+D29+D31+D32+D33+D41</f>
        <v>1245871000</v>
      </c>
      <c r="E43" s="309">
        <f>D43-C43</f>
        <v>350884000</v>
      </c>
      <c r="F43" s="310">
        <f>IF(C43=0,0,E43/C43)</f>
        <v>0.3920548566627225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47895000</v>
      </c>
      <c r="D49" s="22">
        <v>41032000</v>
      </c>
      <c r="E49" s="22">
        <f t="shared" ref="E49:E56" si="2">D49-C49</f>
        <v>-6863000</v>
      </c>
      <c r="F49" s="306">
        <f t="shared" ref="F49:F56" si="3">IF(C49=0,0,E49/C49)</f>
        <v>-0.1432926192713227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21497000</v>
      </c>
      <c r="D50" s="22">
        <v>23540000</v>
      </c>
      <c r="E50" s="22">
        <f t="shared" si="2"/>
        <v>2043000</v>
      </c>
      <c r="F50" s="306">
        <f t="shared" si="3"/>
        <v>9.5036516723263714E-2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4492000</v>
      </c>
      <c r="D51" s="22">
        <v>16726000</v>
      </c>
      <c r="E51" s="22">
        <f t="shared" si="2"/>
        <v>12234000</v>
      </c>
      <c r="F51" s="306">
        <f t="shared" si="3"/>
        <v>2.7235084594835262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2130000</v>
      </c>
      <c r="D53" s="22">
        <v>5498000</v>
      </c>
      <c r="E53" s="22">
        <f t="shared" si="2"/>
        <v>3368000</v>
      </c>
      <c r="F53" s="306">
        <f t="shared" si="3"/>
        <v>1.5812206572769953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30395000</v>
      </c>
      <c r="D55" s="22">
        <v>32770000</v>
      </c>
      <c r="E55" s="22">
        <f t="shared" si="2"/>
        <v>2375000</v>
      </c>
      <c r="F55" s="306">
        <f t="shared" si="3"/>
        <v>7.8137851620332294E-2</v>
      </c>
    </row>
    <row r="56" spans="1:6" ht="24" customHeight="1" x14ac:dyDescent="0.25">
      <c r="A56" s="307"/>
      <c r="B56" s="308" t="s">
        <v>54</v>
      </c>
      <c r="C56" s="309">
        <f>SUM(C49:C55)</f>
        <v>106409000</v>
      </c>
      <c r="D56" s="309">
        <f>SUM(D49:D55)</f>
        <v>119566000</v>
      </c>
      <c r="E56" s="309">
        <f t="shared" si="2"/>
        <v>13157000</v>
      </c>
      <c r="F56" s="310">
        <f t="shared" si="3"/>
        <v>0.12364555629692978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165895000</v>
      </c>
      <c r="D60" s="22">
        <v>210700000</v>
      </c>
      <c r="E60" s="22">
        <f>D60-C60</f>
        <v>44805000</v>
      </c>
      <c r="F60" s="306">
        <f>IF(C60=0,0,E60/C60)</f>
        <v>0.27008047258808282</v>
      </c>
    </row>
    <row r="61" spans="1:6" ht="24" customHeight="1" x14ac:dyDescent="0.25">
      <c r="A61" s="307"/>
      <c r="B61" s="308" t="s">
        <v>58</v>
      </c>
      <c r="C61" s="309">
        <f>SUM(C59:C60)</f>
        <v>165895000</v>
      </c>
      <c r="D61" s="309">
        <f>SUM(D59:D60)</f>
        <v>210700000</v>
      </c>
      <c r="E61" s="309">
        <f>D61-C61</f>
        <v>44805000</v>
      </c>
      <c r="F61" s="310">
        <f>IF(C61=0,0,E61/C61)</f>
        <v>0.27008047258808282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0</v>
      </c>
      <c r="D63" s="22">
        <v>800024000</v>
      </c>
      <c r="E63" s="22">
        <f>D63-C63</f>
        <v>800024000</v>
      </c>
      <c r="F63" s="306">
        <f>IF(C63=0,0,E63/C63)</f>
        <v>0</v>
      </c>
    </row>
    <row r="64" spans="1:6" ht="24" customHeight="1" x14ac:dyDescent="0.2">
      <c r="A64" s="304">
        <v>4</v>
      </c>
      <c r="B64" s="305" t="s">
        <v>60</v>
      </c>
      <c r="C64" s="22">
        <v>45889000</v>
      </c>
      <c r="D64" s="22">
        <v>79609000</v>
      </c>
      <c r="E64" s="22">
        <f>D64-C64</f>
        <v>33720000</v>
      </c>
      <c r="F64" s="306">
        <f>IF(C64=0,0,E64/C64)</f>
        <v>0.73481662272004189</v>
      </c>
    </row>
    <row r="65" spans="1:6" ht="24" customHeight="1" x14ac:dyDescent="0.25">
      <c r="A65" s="307"/>
      <c r="B65" s="308" t="s">
        <v>61</v>
      </c>
      <c r="C65" s="309">
        <f>SUM(C61:C64)</f>
        <v>211784000</v>
      </c>
      <c r="D65" s="309">
        <f>SUM(D61:D64)</f>
        <v>1090333000</v>
      </c>
      <c r="E65" s="309">
        <f>D65-C65</f>
        <v>878549000</v>
      </c>
      <c r="F65" s="310">
        <f>IF(C65=0,0,E65/C65)</f>
        <v>4.1483256525516561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17703000</v>
      </c>
      <c r="D70" s="22">
        <v>-648621000</v>
      </c>
      <c r="E70" s="22">
        <f>D70-C70</f>
        <v>-666324000</v>
      </c>
      <c r="F70" s="306">
        <f>IF(C70=0,0,E70/C70)</f>
        <v>-37.639044229791558</v>
      </c>
    </row>
    <row r="71" spans="1:6" ht="24" customHeight="1" x14ac:dyDescent="0.2">
      <c r="A71" s="304">
        <v>2</v>
      </c>
      <c r="B71" s="305" t="s">
        <v>65</v>
      </c>
      <c r="C71" s="22">
        <v>559030000</v>
      </c>
      <c r="D71" s="22">
        <v>684532000</v>
      </c>
      <c r="E71" s="22">
        <f>D71-C71</f>
        <v>125502000</v>
      </c>
      <c r="F71" s="306">
        <f>IF(C71=0,0,E71/C71)</f>
        <v>0.22449957962900025</v>
      </c>
    </row>
    <row r="72" spans="1:6" ht="24" customHeight="1" x14ac:dyDescent="0.2">
      <c r="A72" s="304">
        <v>3</v>
      </c>
      <c r="B72" s="305" t="s">
        <v>66</v>
      </c>
      <c r="C72" s="22">
        <v>61000</v>
      </c>
      <c r="D72" s="22">
        <v>61000</v>
      </c>
      <c r="E72" s="22">
        <f>D72-C72</f>
        <v>0</v>
      </c>
      <c r="F72" s="306">
        <f>IF(C72=0,0,E72/C72)</f>
        <v>0</v>
      </c>
    </row>
    <row r="73" spans="1:6" ht="24" customHeight="1" x14ac:dyDescent="0.25">
      <c r="A73" s="304"/>
      <c r="B73" s="308" t="s">
        <v>67</v>
      </c>
      <c r="C73" s="309">
        <f>SUM(C70:C72)</f>
        <v>576794000</v>
      </c>
      <c r="D73" s="309">
        <f>SUM(D70:D72)</f>
        <v>35972000</v>
      </c>
      <c r="E73" s="309">
        <f>D73-C73</f>
        <v>-540822000</v>
      </c>
      <c r="F73" s="310">
        <f>IF(C73=0,0,E73/C73)</f>
        <v>-0.93763458011005663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894987000</v>
      </c>
      <c r="D75" s="309">
        <f>D56+D65+D67+D73</f>
        <v>1245871000</v>
      </c>
      <c r="E75" s="309">
        <f>D75-C75</f>
        <v>350884000</v>
      </c>
      <c r="F75" s="310">
        <f>IF(C75=0,0,E75/C75)</f>
        <v>0.3920548566627225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0" fitToHeight="0" orientation="portrait" horizontalDpi="1200" verticalDpi="1200" r:id="rId1"/>
  <headerFooter>
    <oddHeader>&amp;LOFFICE OF HEALTH CARE ACCESS&amp;CTWELVE MONTHS ACTUAL FILING&amp;RUNIVERSITY OF CONNECTICUT HEALTH CENTER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951738899</v>
      </c>
      <c r="D11" s="76">
        <v>1071396542</v>
      </c>
      <c r="E11" s="76">
        <f t="shared" ref="E11:E20" si="0">D11-C11</f>
        <v>119657643</v>
      </c>
      <c r="F11" s="77">
        <f t="shared" ref="F11:F20" si="1">IF(C11=0,0,E11/C11)</f>
        <v>0.12572528361058405</v>
      </c>
    </row>
    <row r="12" spans="1:7" ht="23.1" customHeight="1" x14ac:dyDescent="0.2">
      <c r="A12" s="74">
        <v>2</v>
      </c>
      <c r="B12" s="75" t="s">
        <v>72</v>
      </c>
      <c r="C12" s="76">
        <v>487335379</v>
      </c>
      <c r="D12" s="76">
        <v>540819537</v>
      </c>
      <c r="E12" s="76">
        <f t="shared" si="0"/>
        <v>53484158</v>
      </c>
      <c r="F12" s="77">
        <f t="shared" si="1"/>
        <v>0.10974815354006957</v>
      </c>
    </row>
    <row r="13" spans="1:7" ht="23.1" customHeight="1" x14ac:dyDescent="0.2">
      <c r="A13" s="74">
        <v>3</v>
      </c>
      <c r="B13" s="75" t="s">
        <v>73</v>
      </c>
      <c r="C13" s="76">
        <v>629512</v>
      </c>
      <c r="D13" s="76">
        <v>327517</v>
      </c>
      <c r="E13" s="76">
        <f t="shared" si="0"/>
        <v>-301995</v>
      </c>
      <c r="F13" s="77">
        <f t="shared" si="1"/>
        <v>-0.47972874226384882</v>
      </c>
    </row>
    <row r="14" spans="1:7" ht="23.1" customHeight="1" x14ac:dyDescent="0.2">
      <c r="A14" s="74">
        <v>4</v>
      </c>
      <c r="B14" s="75" t="s">
        <v>74</v>
      </c>
      <c r="C14" s="76">
        <v>6806979</v>
      </c>
      <c r="D14" s="76">
        <v>6289720</v>
      </c>
      <c r="E14" s="76">
        <f t="shared" si="0"/>
        <v>-517259</v>
      </c>
      <c r="F14" s="77">
        <f t="shared" si="1"/>
        <v>-7.598951017771613E-2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456967029</v>
      </c>
      <c r="D15" s="79">
        <f>D11-D12-D13-D14</f>
        <v>523959768</v>
      </c>
      <c r="E15" s="79">
        <f t="shared" si="0"/>
        <v>66992739</v>
      </c>
      <c r="F15" s="80">
        <f t="shared" si="1"/>
        <v>0.14660300360532139</v>
      </c>
    </row>
    <row r="16" spans="1:7" ht="23.1" customHeight="1" x14ac:dyDescent="0.2">
      <c r="A16" s="74">
        <v>5</v>
      </c>
      <c r="B16" s="75" t="s">
        <v>76</v>
      </c>
      <c r="C16" s="76">
        <v>6651810</v>
      </c>
      <c r="D16" s="76">
        <v>10999593</v>
      </c>
      <c r="E16" s="76">
        <f t="shared" si="0"/>
        <v>4347783</v>
      </c>
      <c r="F16" s="77">
        <f t="shared" si="1"/>
        <v>0.65362405119809497</v>
      </c>
      <c r="G16" s="65"/>
    </row>
    <row r="17" spans="1:7" ht="31.5" customHeight="1" x14ac:dyDescent="0.25">
      <c r="A17" s="71"/>
      <c r="B17" s="81" t="s">
        <v>77</v>
      </c>
      <c r="C17" s="79">
        <f>C15-C16</f>
        <v>450315219</v>
      </c>
      <c r="D17" s="79">
        <f>D15-D16</f>
        <v>512960175</v>
      </c>
      <c r="E17" s="79">
        <f t="shared" si="0"/>
        <v>62644956</v>
      </c>
      <c r="F17" s="80">
        <f t="shared" si="1"/>
        <v>0.13911356613510323</v>
      </c>
    </row>
    <row r="18" spans="1:7" ht="23.1" customHeight="1" x14ac:dyDescent="0.2">
      <c r="A18" s="74">
        <v>6</v>
      </c>
      <c r="B18" s="75" t="s">
        <v>78</v>
      </c>
      <c r="C18" s="76">
        <v>208895000</v>
      </c>
      <c r="D18" s="76">
        <v>208207357</v>
      </c>
      <c r="E18" s="76">
        <f t="shared" si="0"/>
        <v>-687643</v>
      </c>
      <c r="F18" s="77">
        <f t="shared" si="1"/>
        <v>-3.2918116757222528E-3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659210219</v>
      </c>
      <c r="D20" s="79">
        <f>SUM(D17:D19)</f>
        <v>721167532</v>
      </c>
      <c r="E20" s="79">
        <f t="shared" si="0"/>
        <v>61957313</v>
      </c>
      <c r="F20" s="80">
        <f t="shared" si="1"/>
        <v>9.398718529270858E-2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377598000</v>
      </c>
      <c r="D23" s="76">
        <v>386057921</v>
      </c>
      <c r="E23" s="76">
        <f t="shared" ref="E23:E32" si="2">D23-C23</f>
        <v>8459921</v>
      </c>
      <c r="F23" s="77">
        <f t="shared" ref="F23:F32" si="3">IF(C23=0,0,E23/C23)</f>
        <v>2.2404570469123246E-2</v>
      </c>
    </row>
    <row r="24" spans="1:7" ht="23.1" customHeight="1" x14ac:dyDescent="0.2">
      <c r="A24" s="74">
        <v>2</v>
      </c>
      <c r="B24" s="75" t="s">
        <v>83</v>
      </c>
      <c r="C24" s="76">
        <v>213185146</v>
      </c>
      <c r="D24" s="76">
        <v>227377720</v>
      </c>
      <c r="E24" s="76">
        <f t="shared" si="2"/>
        <v>14192574</v>
      </c>
      <c r="F24" s="77">
        <f t="shared" si="3"/>
        <v>6.6573934752470976E-2</v>
      </c>
    </row>
    <row r="25" spans="1:7" ht="23.1" customHeight="1" x14ac:dyDescent="0.2">
      <c r="A25" s="74">
        <v>3</v>
      </c>
      <c r="B25" s="75" t="s">
        <v>84</v>
      </c>
      <c r="C25" s="76">
        <v>51372063</v>
      </c>
      <c r="D25" s="76">
        <v>56839626</v>
      </c>
      <c r="E25" s="76">
        <f t="shared" si="2"/>
        <v>5467563</v>
      </c>
      <c r="F25" s="77">
        <f t="shared" si="3"/>
        <v>0.10643066835762464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83463562</v>
      </c>
      <c r="D26" s="76">
        <v>90226126</v>
      </c>
      <c r="E26" s="76">
        <f t="shared" si="2"/>
        <v>6762564</v>
      </c>
      <c r="F26" s="77">
        <f t="shared" si="3"/>
        <v>8.1024147998859666E-2</v>
      </c>
    </row>
    <row r="27" spans="1:7" ht="23.1" customHeight="1" x14ac:dyDescent="0.2">
      <c r="A27" s="74">
        <v>5</v>
      </c>
      <c r="B27" s="75" t="s">
        <v>86</v>
      </c>
      <c r="C27" s="76">
        <v>32780000</v>
      </c>
      <c r="D27" s="76">
        <v>37829946</v>
      </c>
      <c r="E27" s="76">
        <f t="shared" si="2"/>
        <v>5049946</v>
      </c>
      <c r="F27" s="77">
        <f t="shared" si="3"/>
        <v>0.15405570469798657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8</v>
      </c>
      <c r="B30" s="75" t="s">
        <v>89</v>
      </c>
      <c r="C30" s="76">
        <v>3128114</v>
      </c>
      <c r="D30" s="76">
        <v>9798851</v>
      </c>
      <c r="E30" s="76">
        <f t="shared" si="2"/>
        <v>6670737</v>
      </c>
      <c r="F30" s="77">
        <f t="shared" si="3"/>
        <v>2.1325108356025386</v>
      </c>
    </row>
    <row r="31" spans="1:7" ht="23.1" customHeight="1" x14ac:dyDescent="0.2">
      <c r="A31" s="74">
        <v>9</v>
      </c>
      <c r="B31" s="75" t="s">
        <v>90</v>
      </c>
      <c r="C31" s="76">
        <v>183785819</v>
      </c>
      <c r="D31" s="76">
        <v>198911541</v>
      </c>
      <c r="E31" s="76">
        <f t="shared" si="2"/>
        <v>15125722</v>
      </c>
      <c r="F31" s="77">
        <f t="shared" si="3"/>
        <v>8.2300811250295647E-2</v>
      </c>
    </row>
    <row r="32" spans="1:7" ht="23.1" customHeight="1" x14ac:dyDescent="0.25">
      <c r="A32" s="71"/>
      <c r="B32" s="78" t="s">
        <v>91</v>
      </c>
      <c r="C32" s="79">
        <f>SUM(C23:C31)</f>
        <v>945312704</v>
      </c>
      <c r="D32" s="79">
        <f>SUM(D23:D31)</f>
        <v>1007041731</v>
      </c>
      <c r="E32" s="79">
        <f t="shared" si="2"/>
        <v>61729027</v>
      </c>
      <c r="F32" s="80">
        <f t="shared" si="3"/>
        <v>6.5300113643664726E-2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-286102485</v>
      </c>
      <c r="D34" s="79">
        <f>+D20-D32</f>
        <v>-285874199</v>
      </c>
      <c r="E34" s="79">
        <f>D34-C34</f>
        <v>228286</v>
      </c>
      <c r="F34" s="80">
        <f>IF(C34=0,0,E34/C34)</f>
        <v>-7.9791687234034338E-4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93000</v>
      </c>
      <c r="D37" s="76">
        <v>176325</v>
      </c>
      <c r="E37" s="76">
        <f>D37-C37</f>
        <v>83325</v>
      </c>
      <c r="F37" s="77">
        <f>IF(C37=0,0,E37/C37)</f>
        <v>0.8959677419354839</v>
      </c>
    </row>
    <row r="38" spans="1:6" ht="23.1" customHeight="1" x14ac:dyDescent="0.2">
      <c r="A38" s="85">
        <v>2</v>
      </c>
      <c r="B38" s="75" t="s">
        <v>95</v>
      </c>
      <c r="C38" s="76">
        <v>7300000</v>
      </c>
      <c r="D38" s="76">
        <v>7174656</v>
      </c>
      <c r="E38" s="76">
        <f>D38-C38</f>
        <v>-125344</v>
      </c>
      <c r="F38" s="77">
        <f>IF(C38=0,0,E38/C38)</f>
        <v>-1.7170410958904109E-2</v>
      </c>
    </row>
    <row r="39" spans="1:6" ht="23.1" customHeight="1" x14ac:dyDescent="0.2">
      <c r="A39" s="85">
        <v>3</v>
      </c>
      <c r="B39" s="75" t="s">
        <v>96</v>
      </c>
      <c r="C39" s="76">
        <v>457773000</v>
      </c>
      <c r="D39" s="76">
        <v>432733171</v>
      </c>
      <c r="E39" s="76">
        <f>D39-C39</f>
        <v>-25039829</v>
      </c>
      <c r="F39" s="77">
        <f>IF(C39=0,0,E39/C39)</f>
        <v>-5.4699226472509299E-2</v>
      </c>
    </row>
    <row r="40" spans="1:6" ht="23.1" customHeight="1" x14ac:dyDescent="0.25">
      <c r="A40" s="83"/>
      <c r="B40" s="78" t="s">
        <v>97</v>
      </c>
      <c r="C40" s="79">
        <f>SUM(C37:C39)</f>
        <v>465166000</v>
      </c>
      <c r="D40" s="79">
        <f>SUM(D37:D39)</f>
        <v>440084152</v>
      </c>
      <c r="E40" s="79">
        <f>D40-C40</f>
        <v>-25081848</v>
      </c>
      <c r="F40" s="80">
        <f>IF(C40=0,0,E40/C40)</f>
        <v>-5.3920209129644042E-2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179063515</v>
      </c>
      <c r="D42" s="79">
        <f>D34+D40</f>
        <v>154209953</v>
      </c>
      <c r="E42" s="79">
        <f>D42-C42</f>
        <v>-24853562</v>
      </c>
      <c r="F42" s="80">
        <f>IF(C42=0,0,E42/C42)</f>
        <v>-0.13879746524578165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179063515</v>
      </c>
      <c r="D49" s="79">
        <f>D42+D47</f>
        <v>154209953</v>
      </c>
      <c r="E49" s="79">
        <f>D49-C49</f>
        <v>-24853562</v>
      </c>
      <c r="F49" s="80">
        <f>IF(C49=0,0,E49/C49)</f>
        <v>-0.13879746524578165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scale="76" fitToHeight="0" orientation="portrait" horizontalDpi="1200" verticalDpi="1200" r:id="rId1"/>
  <headerFooter>
    <oddHeader>&amp;L&amp;8OFFICE OF HEALTH CARE ACCESS&amp;C&amp;8TWELVE MONTHS ACTUAL FILING&amp;R&amp;8UNIVERSITY OF CONNECTICUT HEALTH CENTER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Foster, Tillman</cp:lastModifiedBy>
  <cp:lastPrinted>2016-07-21T16:06:04Z</cp:lastPrinted>
  <dcterms:created xsi:type="dcterms:W3CDTF">2016-07-21T15:58:05Z</dcterms:created>
  <dcterms:modified xsi:type="dcterms:W3CDTF">2016-07-27T14:50:22Z</dcterms:modified>
</cp:coreProperties>
</file>