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4355" windowHeight="10560"/>
  </bookViews>
  <sheets>
    <sheet name="Report100" sheetId="4" r:id="rId1"/>
    <sheet name="Report150" sheetId="5" r:id="rId2"/>
    <sheet name="Report165" sheetId="6" r:id="rId3"/>
    <sheet name="Report175" sheetId="7" r:id="rId4"/>
    <sheet name="Report185" sheetId="8" r:id="rId5"/>
    <sheet name="Report200" sheetId="9" r:id="rId6"/>
    <sheet name="Report250" sheetId="10" r:id="rId7"/>
    <sheet name="Report300" sheetId="11" r:id="rId8"/>
    <sheet name="Report350" sheetId="12" r:id="rId9"/>
    <sheet name="Report385" sheetId="13" r:id="rId10"/>
    <sheet name="Report400" sheetId="14" r:id="rId11"/>
    <sheet name="Report450" sheetId="15" r:id="rId12"/>
    <sheet name="Report485" sheetId="16" r:id="rId13"/>
    <sheet name="Report500" sheetId="17" r:id="rId14"/>
    <sheet name="Report550" sheetId="18" r:id="rId15"/>
    <sheet name="Report600" sheetId="19" r:id="rId16"/>
    <sheet name="Report650" sheetId="20" r:id="rId17"/>
    <sheet name="Report685" sheetId="21" r:id="rId18"/>
    <sheet name="Report700" sheetId="22" r:id="rId19"/>
  </sheets>
  <definedNames>
    <definedName name="A">Report500!$E$12</definedName>
    <definedName name="ALL" localSheetId="13">Report500!$A$10:$F$354</definedName>
    <definedName name="ALL" localSheetId="14">Report550!$A$9:$E$330</definedName>
    <definedName name="ALL" localSheetId="15">Report600!$B$9:$C$121</definedName>
    <definedName name="AS">Report500!$E$11</definedName>
    <definedName name="DSS_ANALYSIS_1ST_9_MOS_FY1999_Crosstab" localSheetId="13">Report500!$A$5:$F$14</definedName>
    <definedName name="DSS_ANALYSIS_1ST_9_MOS_FY1999_Crosstab" localSheetId="14">Report550!$A$2:$D$12</definedName>
    <definedName name="DSS_ANALYSIS_1ST_9_MOS_FY1999_Crosstab" localSheetId="15">Report600!$B$2:$C$12</definedName>
    <definedName name="FILTER" localSheetId="13">Report500!#REF!</definedName>
    <definedName name="FILTER" localSheetId="14">Report550!#REF!</definedName>
    <definedName name="LN_1A4" localSheetId="13">Report500!$E$14</definedName>
    <definedName name="LN_1A4" localSheetId="14">Report550!#REF!</definedName>
    <definedName name="LN_1D12">Report500!$D$129</definedName>
    <definedName name="LN_1D13">Report500!$D$130</definedName>
    <definedName name="LN_1D2" localSheetId="14">Report550!#REF!</definedName>
    <definedName name="LN_1D2">Report500!$D$119</definedName>
    <definedName name="LN_IA1" localSheetId="14">Report550!#REF!</definedName>
    <definedName name="LN_IA1">Report500!$D$15</definedName>
    <definedName name="LN_IA10">Report500!$D$24</definedName>
    <definedName name="LN_IA11">Report500!$D$27</definedName>
    <definedName name="LN_IA12">Report500!$D$28</definedName>
    <definedName name="LN_IA14">Report500!$D$30</definedName>
    <definedName name="LN_IA15">Report500!$D$31</definedName>
    <definedName name="LN_IA16">Report500!$D$32</definedName>
    <definedName name="LN_IA17">Report500!$D$35</definedName>
    <definedName name="LN_IA18">Report500!$D$36</definedName>
    <definedName name="LN_IA19">Report500!$D$37</definedName>
    <definedName name="LN_IA2" localSheetId="14">Report550!#REF!</definedName>
    <definedName name="LN_IA2">Report500!$D$16</definedName>
    <definedName name="LN_IA4" localSheetId="14">Report550!#REF!</definedName>
    <definedName name="LN_IA4">Report500!$D$18</definedName>
    <definedName name="LN_IA5" localSheetId="14">Report550!#REF!</definedName>
    <definedName name="LN_IA5">Report500!$D$19</definedName>
    <definedName name="LN_IA6" localSheetId="14">Report550!#REF!</definedName>
    <definedName name="LN_IA6">Report500!$D$20</definedName>
    <definedName name="LN_IA7" localSheetId="14">Report550!#REF!</definedName>
    <definedName name="LN_IA7">Report500!$D$21</definedName>
    <definedName name="LN_IA8" localSheetId="14">Report550!#REF!</definedName>
    <definedName name="LN_IA8">Report500!$D$22</definedName>
    <definedName name="LN_IB1" localSheetId="14">Report550!#REF!</definedName>
    <definedName name="LN_IB1">Report500!$D$42</definedName>
    <definedName name="LN_IB10">Report500!$D$51</definedName>
    <definedName name="LN_IB11">Report500!$D$52</definedName>
    <definedName name="LN_IB12">Report500!$D$53</definedName>
    <definedName name="LN_IB13">Report500!$D$56</definedName>
    <definedName name="LN_IB14">Report500!$D$57</definedName>
    <definedName name="LN_IB16">Report500!$D$59</definedName>
    <definedName name="LN_IB17">Report500!$D$60</definedName>
    <definedName name="LN_IB18">Report500!$D$61</definedName>
    <definedName name="LN_IB19">Report500!$D$62</definedName>
    <definedName name="LN_IB2" localSheetId="14">Report550!#REF!</definedName>
    <definedName name="LN_IB2">Report500!$D$43</definedName>
    <definedName name="LN_IB20">Report500!$D$63</definedName>
    <definedName name="LN_IB21">Report500!$D$66</definedName>
    <definedName name="LN_IB22">Report500!$D$67</definedName>
    <definedName name="LN_IB23">Report500!$D$68</definedName>
    <definedName name="LN_IB32">Report500!$D$73</definedName>
    <definedName name="LN_IB33">Report500!$D$74</definedName>
    <definedName name="LN_IB34">Report500!$D$76</definedName>
    <definedName name="LN_IB4" localSheetId="14">Report550!#REF!</definedName>
    <definedName name="LN_IB4">Report500!$D$45</definedName>
    <definedName name="LN_IB5" localSheetId="14">Report550!#REF!</definedName>
    <definedName name="LN_IB5">Report500!$D$46</definedName>
    <definedName name="LN_IB6" localSheetId="14">Report550!#REF!</definedName>
    <definedName name="LN_IB6">Report500!$D$47</definedName>
    <definedName name="LN_IB7" localSheetId="14">Report550!#REF!</definedName>
    <definedName name="LN_IB7">Report500!$D$48</definedName>
    <definedName name="LN_IB8" localSheetId="14">Report550!#REF!</definedName>
    <definedName name="LN_IB8">Report500!$D$49</definedName>
    <definedName name="LN_IB9">Report500!$D$50</definedName>
    <definedName name="LN_IC1" localSheetId="14">Report550!#REF!</definedName>
    <definedName name="LN_IC1">Report500!$D$83</definedName>
    <definedName name="LN_IC10">Report500!$D$92</definedName>
    <definedName name="LN_IC11">Report500!$D$93</definedName>
    <definedName name="LN_IC12">Report500!$D$94</definedName>
    <definedName name="LN_IC13">Report500!$D$95</definedName>
    <definedName name="LN_IC14">Report500!$D$98</definedName>
    <definedName name="LN_IC15">Report500!$D$99</definedName>
    <definedName name="LN_IC16">Report500!$D$100</definedName>
    <definedName name="LN_IC17">Report500!$D$101</definedName>
    <definedName name="LN_IC18">Report500!$D$102</definedName>
    <definedName name="LN_IC19">Report500!$D$103</definedName>
    <definedName name="LN_IC2" localSheetId="14">Report550!#REF!</definedName>
    <definedName name="LN_IC2">Report500!$D$84</definedName>
    <definedName name="LN_IC20">Report500!$D$104</definedName>
    <definedName name="LN_IC21">Report500!$D$105</definedName>
    <definedName name="LN_IC22">Report500!$D$106</definedName>
    <definedName name="LN_IC23">Report500!$D$109</definedName>
    <definedName name="LN_IC24">Report500!$D$110</definedName>
    <definedName name="LN_IC25">Report500!$D$111</definedName>
    <definedName name="LN_IC4" localSheetId="14">Report550!#REF!</definedName>
    <definedName name="LN_IC4">Report500!$D$86</definedName>
    <definedName name="LN_IC5" localSheetId="14">Report550!#REF!</definedName>
    <definedName name="LN_IC5">Report500!$D$87</definedName>
    <definedName name="LN_IC6" localSheetId="14">Report550!#REF!</definedName>
    <definedName name="LN_IC6">Report500!$D$88</definedName>
    <definedName name="LN_IC7" localSheetId="14">Report550!#REF!</definedName>
    <definedName name="LN_IC7">Report500!$D$89</definedName>
    <definedName name="LN_IC8" localSheetId="14">Report550!#REF!</definedName>
    <definedName name="LN_IC8">Report500!$D$90</definedName>
    <definedName name="LN_IC9" localSheetId="14">Report550!#REF!</definedName>
    <definedName name="LN_IC9">Report500!$D$91</definedName>
    <definedName name="LN_ID1" localSheetId="14">Report550!#REF!</definedName>
    <definedName name="LN_ID1">Report500!$D$118</definedName>
    <definedName name="LN_ID10">Report500!$D$127</definedName>
    <definedName name="LN_ID11">Report500!$D$128</definedName>
    <definedName name="LN_ID13">Report500!$D$129</definedName>
    <definedName name="LN_ID14">Report500!$D$133</definedName>
    <definedName name="LN_ID15">Report500!$D$134</definedName>
    <definedName name="LN_ID16">Report500!$D$135</definedName>
    <definedName name="LN_ID17">Report500!$D$136</definedName>
    <definedName name="LN_ID18">Report500!$D$137</definedName>
    <definedName name="LN_ID19">Report500!$D$138</definedName>
    <definedName name="LN_ID2" localSheetId="14">Report550!#REF!</definedName>
    <definedName name="LN_ID2">Report500!$D$119</definedName>
    <definedName name="LN_ID20">Report500!$D$139</definedName>
    <definedName name="LN_ID21">Report500!$D$140</definedName>
    <definedName name="LN_ID22">Report500!$D$141</definedName>
    <definedName name="LN_ID23">Report500!$D$144</definedName>
    <definedName name="LN_ID24">Report500!$D$145</definedName>
    <definedName name="LN_ID25">Report500!$D$146</definedName>
    <definedName name="LN_ID3" localSheetId="14">Report550!#REF!</definedName>
    <definedName name="LN_ID3">Report500!$D$120</definedName>
    <definedName name="LN_ID4" localSheetId="14">Report550!#REF!</definedName>
    <definedName name="LN_ID4">Report500!$D$121</definedName>
    <definedName name="LN_ID5" localSheetId="14">Report550!#REF!</definedName>
    <definedName name="LN_ID5">Report500!$D$122</definedName>
    <definedName name="LN_ID6" localSheetId="14">Report550!#REF!</definedName>
    <definedName name="LN_ID6">Report500!$D$123</definedName>
    <definedName name="LN_ID7" localSheetId="14">Report550!#REF!</definedName>
    <definedName name="LN_ID7">Report500!$D$124</definedName>
    <definedName name="LN_ID8">Report500!$D$125</definedName>
    <definedName name="LN_ID9">Report500!$D$126</definedName>
    <definedName name="LN_IE1" localSheetId="14">Report550!#REF!</definedName>
    <definedName name="LN_IE1">Report500!$D$153</definedName>
    <definedName name="LN_IE10">Report500!$D$162</definedName>
    <definedName name="LN_IE11">Report500!$D$163</definedName>
    <definedName name="LN_IE12">Report500!$D$164</definedName>
    <definedName name="LN_IE13">Report500!$D$165</definedName>
    <definedName name="LN_IE14">Report500!$D$168</definedName>
    <definedName name="LN_IE15">Report500!$D$169</definedName>
    <definedName name="LN_IE16">Report500!$D$170</definedName>
    <definedName name="LN_IE17">Report500!$D$171</definedName>
    <definedName name="LN_IE18">Report500!$D$172</definedName>
    <definedName name="LN_IE19">Report500!$D$173</definedName>
    <definedName name="LN_IE2" localSheetId="14">Report550!#REF!</definedName>
    <definedName name="LN_IE2">Report500!$D$154</definedName>
    <definedName name="LN_IE20">Report500!$D$174</definedName>
    <definedName name="LN_IE21">Report500!$D$175</definedName>
    <definedName name="LN_IE22">Report500!$D$176</definedName>
    <definedName name="LN_IE23">Report500!$D$179</definedName>
    <definedName name="LN_IE24">Report500!$D$180</definedName>
    <definedName name="LN_IE25">Report500!$D$181</definedName>
    <definedName name="LN_IE3" localSheetId="14">Report550!#REF!</definedName>
    <definedName name="LN_IE3">Report500!$D$155</definedName>
    <definedName name="LN_IE4" localSheetId="14">Report550!#REF!</definedName>
    <definedName name="LN_IE4">Report500!$D$156</definedName>
    <definedName name="LN_IE5" localSheetId="14">Report550!#REF!</definedName>
    <definedName name="LN_IE5">Report500!$D$157</definedName>
    <definedName name="LN_IE6" localSheetId="14">Report550!#REF!</definedName>
    <definedName name="LN_IE6">Report500!$D$158</definedName>
    <definedName name="LN_IE7" localSheetId="14">Report550!#REF!</definedName>
    <definedName name="LN_IE7">Report500!$D$159</definedName>
    <definedName name="LN_IE8">Report500!$D$160</definedName>
    <definedName name="LN_IE9">Report500!$D$161</definedName>
    <definedName name="LN_IF1" localSheetId="14">Report550!#REF!</definedName>
    <definedName name="LN_IF1">Report500!$D$188</definedName>
    <definedName name="LN_IF10">Report500!$D$197</definedName>
    <definedName name="LN_IF11">Report500!$D$198</definedName>
    <definedName name="LN_IF12">Report500!$D$199</definedName>
    <definedName name="LN_IF13">Report500!$D$200</definedName>
    <definedName name="LN_IF14">Report500!$D$203</definedName>
    <definedName name="LN_IF15">Report500!$D$204</definedName>
    <definedName name="LN_IF16">Report500!$D$205</definedName>
    <definedName name="LN_IF17">Report500!$D$206</definedName>
    <definedName name="LN_IF18">Report500!$D$207</definedName>
    <definedName name="LN_IF19">Report500!$D$208</definedName>
    <definedName name="LN_IF2" localSheetId="14">Report550!#REF!</definedName>
    <definedName name="LN_IF2">Report500!$D$189</definedName>
    <definedName name="LN_IF20">Report500!$D$209</definedName>
    <definedName name="LN_IF21">Report500!$D$210</definedName>
    <definedName name="LN_IF22">Report500!$D$211</definedName>
    <definedName name="LN_IF23">Report500!$D$214</definedName>
    <definedName name="LN_IF24">Report500!$D$215</definedName>
    <definedName name="LN_IF25">Report500!$D$216</definedName>
    <definedName name="LN_IF3" localSheetId="14">Report550!#REF!</definedName>
    <definedName name="LN_IF3">Report500!$D$190</definedName>
    <definedName name="LN_IF4" localSheetId="14">Report550!#REF!</definedName>
    <definedName name="LN_IF4">Report500!$D$191</definedName>
    <definedName name="LN_IF5" localSheetId="14">Report550!#REF!</definedName>
    <definedName name="LN_IF5">Report500!$D$192</definedName>
    <definedName name="LN_IF6" localSheetId="14">Report550!#REF!</definedName>
    <definedName name="LN_IF6">Report500!$D$193</definedName>
    <definedName name="LN_IF7" localSheetId="14">Report550!#REF!</definedName>
    <definedName name="LN_IF7">Report500!$D$194</definedName>
    <definedName name="LN_IF8">Report500!$D$195</definedName>
    <definedName name="LN_IF9">Report500!$D$196</definedName>
    <definedName name="LN_IG1" localSheetId="14">Report550!#REF!</definedName>
    <definedName name="LN_IG1">Report500!$D$221</definedName>
    <definedName name="LN_IG10">Report500!$D$234</definedName>
    <definedName name="LN_IG11">Report500!$D$233</definedName>
    <definedName name="LN_IG12">Report500!$D$234</definedName>
    <definedName name="LN_IG13">Report500!$D$237</definedName>
    <definedName name="LN_IG14">Report500!$D$238</definedName>
    <definedName name="LN_IG2" localSheetId="14">Report550!#REF!</definedName>
    <definedName name="LN_IG2">Report500!$D$222</definedName>
    <definedName name="LN_IG3" localSheetId="14">Report550!#REF!</definedName>
    <definedName name="LN_IG3">Report500!$D$224</definedName>
    <definedName name="LN_IG4" localSheetId="14">Report550!#REF!</definedName>
    <definedName name="LN_IG4">Report500!$D$225</definedName>
    <definedName name="LN_IG5" localSheetId="14">Report550!#REF!</definedName>
    <definedName name="LN_IG5">Report500!$D$226</definedName>
    <definedName name="LN_IG6" localSheetId="14">Report550!#REF!</definedName>
    <definedName name="LN_IG6">Report500!$D$228</definedName>
    <definedName name="LN_IG7" localSheetId="14">Report550!#REF!</definedName>
    <definedName name="LN_IG9">Report500!$D$233</definedName>
    <definedName name="LN_IH1" localSheetId="14">Report550!#REF!</definedName>
    <definedName name="LN_IH1">Report500!$D$243</definedName>
    <definedName name="LN_IH10" localSheetId="14">Report550!#REF!</definedName>
    <definedName name="LN_IH10">Report500!$D$256</definedName>
    <definedName name="LN_IH11" localSheetId="14">Report550!#REF!</definedName>
    <definedName name="LN_IH11">Report500!$D$257</definedName>
    <definedName name="LN_IH2" localSheetId="14">Report550!#REF!</definedName>
    <definedName name="LN_IH2">Report500!$D$244</definedName>
    <definedName name="LN_IH3" localSheetId="14">Report550!#REF!</definedName>
    <definedName name="LN_IH3">Report500!$D$245</definedName>
    <definedName name="LN_IH4" localSheetId="14">Report550!#REF!</definedName>
    <definedName name="LN_IH4">Report500!$D$248</definedName>
    <definedName name="LN_IH5" localSheetId="14">Report550!#REF!</definedName>
    <definedName name="LN_IH5">Report500!$D$249</definedName>
    <definedName name="LN_IH6" localSheetId="14">Report550!#REF!</definedName>
    <definedName name="LN_IH6">Report500!$D$250</definedName>
    <definedName name="LN_IH7" localSheetId="14">Report550!#REF!</definedName>
    <definedName name="LN_IH7">Report500!$D$251</definedName>
    <definedName name="LN_IH8" localSheetId="14">Report550!#REF!</definedName>
    <definedName name="LN_IH8">Report500!$D$254</definedName>
    <definedName name="LN_IH9" localSheetId="14">Report550!#REF!</definedName>
    <definedName name="LN_IH9">Report500!$D$255</definedName>
    <definedName name="LN_IIA1" localSheetId="14">Report550!#REF!</definedName>
    <definedName name="LN_IIA1">Report500!$D$261</definedName>
    <definedName name="LN_IIA10" localSheetId="14">Report550!#REF!</definedName>
    <definedName name="LN_IIA10">Report500!$D$270</definedName>
    <definedName name="LN_IIA11" localSheetId="14">Report550!#REF!</definedName>
    <definedName name="LN_IIA11">Report500!$D$271</definedName>
    <definedName name="LN_IIA12" localSheetId="14">Report550!#REF!</definedName>
    <definedName name="LN_IIA12">Report500!$D$272</definedName>
    <definedName name="LN_IIA13" localSheetId="14">Report550!#REF!</definedName>
    <definedName name="LN_IIA13">Report500!$D$273</definedName>
    <definedName name="LN_IIA14" localSheetId="14">Report550!#REF!</definedName>
    <definedName name="LN_IIA14">Report500!$D$274</definedName>
    <definedName name="LN_IIA2" localSheetId="14">Report550!#REF!</definedName>
    <definedName name="LN_IIA2">Report500!$D$262</definedName>
    <definedName name="LN_IIA3" localSheetId="14">Report550!#REF!</definedName>
    <definedName name="LN_IIA3">Report500!$D$263</definedName>
    <definedName name="LN_IIA4" localSheetId="14">Report550!#REF!</definedName>
    <definedName name="LN_IIA4">Report500!$D$264</definedName>
    <definedName name="LN_IIA5" localSheetId="14">Report550!#REF!</definedName>
    <definedName name="LN_IIA5">Report500!$D$265</definedName>
    <definedName name="LN_IIA6" localSheetId="14">Report550!#REF!</definedName>
    <definedName name="LN_IIA6">Report500!$D$266</definedName>
    <definedName name="LN_IIA7" localSheetId="14">Report550!#REF!</definedName>
    <definedName name="LN_IIA7">Report500!$D$267</definedName>
    <definedName name="LN_IIA8" localSheetId="14">Report550!#REF!</definedName>
    <definedName name="LN_IIA8">Report500!$D$268</definedName>
    <definedName name="LN_IIA9" localSheetId="14">Report550!#REF!</definedName>
    <definedName name="LN_IIA9">Report500!$D$269</definedName>
    <definedName name="LN_IIB1" localSheetId="14">Report550!#REF!</definedName>
    <definedName name="LN_IIB1">Report500!$D$277</definedName>
    <definedName name="LN_IIB10" localSheetId="14">Report550!#REF!</definedName>
    <definedName name="LN_IIB10">Report500!$D$286</definedName>
    <definedName name="LN_IIB11" localSheetId="14">Report550!#REF!</definedName>
    <definedName name="LN_IIB11">Report500!$D$287</definedName>
    <definedName name="LN_IIB12" localSheetId="14">Report550!#REF!</definedName>
    <definedName name="LN_IIB12">Report500!$D$288</definedName>
    <definedName name="LN_IIB13" localSheetId="14">Report550!#REF!</definedName>
    <definedName name="LN_IIB13">Report500!$D$289</definedName>
    <definedName name="LN_IIB14" localSheetId="14">Report550!#REF!</definedName>
    <definedName name="LN_IIB14">Report500!$D$291</definedName>
    <definedName name="LN_IIB2" localSheetId="14">Report550!#REF!</definedName>
    <definedName name="LN_IIB2">Report500!$D$278</definedName>
    <definedName name="LN_IIB3" localSheetId="14">Report550!#REF!</definedName>
    <definedName name="LN_IIB3">Report500!$D$279</definedName>
    <definedName name="LN_IIB4" localSheetId="14">Report550!#REF!</definedName>
    <definedName name="LN_IIB4">Report500!$D$280</definedName>
    <definedName name="LN_IIB5" localSheetId="14">Report550!#REF!</definedName>
    <definedName name="LN_IIB5">Report500!$D$281</definedName>
    <definedName name="LN_IIB6" localSheetId="14">Report550!#REF!</definedName>
    <definedName name="LN_IIB6">Report500!$D$282</definedName>
    <definedName name="LN_IIB7" localSheetId="14">Report550!#REF!</definedName>
    <definedName name="LN_IIB7">Report500!$D$283</definedName>
    <definedName name="LN_IIB8" localSheetId="14">Report550!#REF!</definedName>
    <definedName name="LN_IIB8">Report500!$D$284</definedName>
    <definedName name="LN_IIB9" localSheetId="14">Report550!#REF!</definedName>
    <definedName name="LN_IIB9">Report500!$D$285</definedName>
    <definedName name="LN_III1" localSheetId="14">Report550!#REF!</definedName>
    <definedName name="LN_III1">Report500!$D$304</definedName>
    <definedName name="LN_III10" localSheetId="14">Report550!#REF!</definedName>
    <definedName name="LN_III10">Report500!$D$313</definedName>
    <definedName name="LN_III11" localSheetId="14">Report550!#REF!</definedName>
    <definedName name="LN_III11">Report500!$D$314</definedName>
    <definedName name="LN_III12" localSheetId="14">Report550!#REF!</definedName>
    <definedName name="LN_III12">Report500!$D$315</definedName>
    <definedName name="LN_III13" localSheetId="14">Report550!#REF!</definedName>
    <definedName name="LN_III13">Report500!$D$318</definedName>
    <definedName name="LN_III2" localSheetId="14">Report550!#REF!</definedName>
    <definedName name="LN_III2">Report500!$D$305</definedName>
    <definedName name="LN_III3" localSheetId="14">Report550!#REF!</definedName>
    <definedName name="LN_III3">Report500!$D$307</definedName>
    <definedName name="LN_III4" localSheetId="14">Report550!#REF!</definedName>
    <definedName name="LN_III4">Report500!$D$308</definedName>
    <definedName name="LN_III5" localSheetId="14">Report550!#REF!</definedName>
    <definedName name="LN_III5">Report500!$D$306</definedName>
    <definedName name="LN_III6" localSheetId="14">Report550!#REF!</definedName>
    <definedName name="LN_III6">Report500!$D$309</definedName>
    <definedName name="LN_III7" localSheetId="14">Report550!#REF!</definedName>
    <definedName name="LN_III7">Report500!$D$310</definedName>
    <definedName name="LN_III8" localSheetId="14">Report550!#REF!</definedName>
    <definedName name="LN_III8">Report500!$D$311</definedName>
    <definedName name="LN_III9" localSheetId="14">Report550!#REF!</definedName>
    <definedName name="LN_III9">Report500!$D$312</definedName>
    <definedName name="LN_IV1" localSheetId="14">Report550!#REF!</definedName>
    <definedName name="LN_IV1">Report500!$D$324</definedName>
    <definedName name="LN_IV2" localSheetId="14">Report550!#REF!</definedName>
    <definedName name="LN_IV2">Report500!$D$322</definedName>
    <definedName name="LN_IV3" localSheetId="14">Report550!#REF!</definedName>
    <definedName name="LN_IV3">Report500!$D$323</definedName>
    <definedName name="LN_IV4" localSheetId="14">Report550!#REF!</definedName>
    <definedName name="LN_IV4">Report500!$D$325</definedName>
    <definedName name="LN_VA1" localSheetId="14">Report550!#REF!</definedName>
    <definedName name="LN_VA1">Report500!$D$331</definedName>
    <definedName name="LN_VA2" localSheetId="14">Report550!#REF!</definedName>
    <definedName name="LN_VA2">Report500!$D$333</definedName>
    <definedName name="LN_VA3" localSheetId="14">Report550!#REF!</definedName>
    <definedName name="LN_VA3">Report500!$D$335</definedName>
    <definedName name="LN_VB1" localSheetId="14">Report550!#REF!</definedName>
    <definedName name="LN_VB1">Report500!$D$339</definedName>
    <definedName name="LN_VB2" localSheetId="14">Report550!#REF!</definedName>
    <definedName name="LN_VB2">Report500!$D$341</definedName>
    <definedName name="LN_VB3" localSheetId="14">Report550!#REF!</definedName>
    <definedName name="LN_VB3">Report500!$D$343</definedName>
    <definedName name="LN_VB4" localSheetId="14">Report550!#REF!</definedName>
    <definedName name="LN_VB4">Report500!$D$345</definedName>
    <definedName name="LN_VB5" localSheetId="14">Report550!#REF!</definedName>
    <definedName name="LN_VB5">Report500!$D$347</definedName>
    <definedName name="LN_VB6" localSheetId="14">Report550!#REF!</definedName>
    <definedName name="LN_VB6">Report500!$D$350</definedName>
    <definedName name="_xlnm.Print_Area" localSheetId="0">Report100!$A$10:$F$80</definedName>
    <definedName name="_xlnm.Print_Area" localSheetId="1">Report150!$A$10:$F$52</definedName>
    <definedName name="_xlnm.Print_Area" localSheetId="2">Report165!$A$10:$F$179</definedName>
    <definedName name="_xlnm.Print_Area" localSheetId="3">Report175!$A$12:$F$192</definedName>
    <definedName name="_xlnm.Print_Area" localSheetId="4">Report185!$A$10:$E$191</definedName>
    <definedName name="_xlnm.Print_Area" localSheetId="5">Report200!$A$10:$F$208</definedName>
    <definedName name="_xlnm.Print_Area" localSheetId="6">Report250!$A$10:$F$122</definedName>
    <definedName name="_xlnm.Print_Area" localSheetId="7">Report300!$A$10:$F$75</definedName>
    <definedName name="_xlnm.Print_Area" localSheetId="8">Report350!$A$10:$F$49</definedName>
    <definedName name="_xlnm.Print_Area" localSheetId="9">Report385!$A$10:$E$80</definedName>
    <definedName name="_xlnm.Print_Area" localSheetId="10">Report400!$A$10:$I$47</definedName>
    <definedName name="_xlnm.Print_Area" localSheetId="11">Report450!$A$11:$F$109</definedName>
    <definedName name="_xlnm.Print_Area" localSheetId="12">Report485!$A$11:$F$28</definedName>
    <definedName name="_xlnm.Print_Area" localSheetId="15">Report600!$A$11:$C$145</definedName>
    <definedName name="_xlnm.Print_Area" localSheetId="17">Report685!$A$12:$F$27</definedName>
    <definedName name="_xlnm.Print_Area" localSheetId="18">Report700!$A$8:$E$113</definedName>
    <definedName name="_xlnm.Print_Titles" localSheetId="0">Report100!$1:$9</definedName>
    <definedName name="_xlnm.Print_Titles" localSheetId="1">Report150!$1:$9</definedName>
    <definedName name="_xlnm.Print_Titles" localSheetId="2">Report165!$1:$9</definedName>
    <definedName name="_xlnm.Print_Titles" localSheetId="3">Report175!$1:$11</definedName>
    <definedName name="_xlnm.Print_Titles" localSheetId="4">Report185!$1:$9</definedName>
    <definedName name="_xlnm.Print_Titles" localSheetId="5">Report200!$1:$9</definedName>
    <definedName name="_xlnm.Print_Titles" localSheetId="6">Report250!$1:$9</definedName>
    <definedName name="_xlnm.Print_Titles" localSheetId="7">Report300!$1:$9</definedName>
    <definedName name="_xlnm.Print_Titles" localSheetId="8">Report350!$1:$9</definedName>
    <definedName name="_xlnm.Print_Titles" localSheetId="9">Report385!$1:$9</definedName>
    <definedName name="_xlnm.Print_Titles" localSheetId="10">Report400!$1:$11</definedName>
    <definedName name="_xlnm.Print_Titles" localSheetId="11">Report450!$1:$10</definedName>
    <definedName name="_xlnm.Print_Titles" localSheetId="12">Report485!$1:$10</definedName>
    <definedName name="_xlnm.Print_Titles" localSheetId="13">Report500!$1:$9</definedName>
    <definedName name="_xlnm.Print_Titles" localSheetId="14">Report550!$1:$10</definedName>
    <definedName name="_xlnm.Print_Titles" localSheetId="15">Report600!$1:$10</definedName>
    <definedName name="_xlnm.Print_Titles" localSheetId="17">Report685!$1:$12</definedName>
    <definedName name="_xlnm.Print_Titles" localSheetId="18">Report700!$1:$7</definedName>
    <definedName name="Z_1">Report500!$E$15</definedName>
    <definedName name="Z_2">Report500!$E$16</definedName>
  </definedNames>
  <calcPr calcId="145621" fullCalcOnLoad="1"/>
</workbook>
</file>

<file path=xl/calcChain.xml><?xml version="1.0" encoding="utf-8"?>
<calcChain xmlns="http://schemas.openxmlformats.org/spreadsheetml/2006/main">
  <c r="D102" i="22" l="1"/>
  <c r="E97" i="22"/>
  <c r="D97" i="22"/>
  <c r="C97" i="22"/>
  <c r="E96" i="22"/>
  <c r="E98" i="22"/>
  <c r="D96" i="22"/>
  <c r="D98" i="22"/>
  <c r="C96" i="22"/>
  <c r="C98" i="22"/>
  <c r="E92" i="22"/>
  <c r="D92" i="22"/>
  <c r="C92" i="22"/>
  <c r="E91" i="22"/>
  <c r="E93" i="22"/>
  <c r="D91" i="22"/>
  <c r="D93" i="22"/>
  <c r="C91" i="22"/>
  <c r="C93" i="22"/>
  <c r="E87" i="22"/>
  <c r="D87" i="22"/>
  <c r="C87" i="22"/>
  <c r="E86" i="22"/>
  <c r="E88" i="22"/>
  <c r="D86" i="22"/>
  <c r="D88" i="22"/>
  <c r="C86" i="22"/>
  <c r="C88" i="22"/>
  <c r="E83" i="22"/>
  <c r="E101" i="22"/>
  <c r="D83" i="22"/>
  <c r="D101" i="22"/>
  <c r="D103" i="22"/>
  <c r="C83" i="22"/>
  <c r="C101" i="22"/>
  <c r="E76" i="22"/>
  <c r="D76" i="22"/>
  <c r="C76" i="22"/>
  <c r="E75" i="22"/>
  <c r="E77" i="22"/>
  <c r="D75" i="22"/>
  <c r="D77" i="22"/>
  <c r="C75" i="22"/>
  <c r="C77" i="22"/>
  <c r="E71" i="22"/>
  <c r="D71" i="22"/>
  <c r="C71" i="22"/>
  <c r="E66" i="22"/>
  <c r="D66" i="22"/>
  <c r="C66" i="22"/>
  <c r="E61" i="22"/>
  <c r="D61" i="22"/>
  <c r="C61" i="22"/>
  <c r="E52" i="22"/>
  <c r="D52" i="22"/>
  <c r="C52" i="22"/>
  <c r="E51" i="22"/>
  <c r="D51" i="22"/>
  <c r="C51" i="22"/>
  <c r="E44" i="22"/>
  <c r="D44" i="22"/>
  <c r="C44" i="22"/>
  <c r="E43" i="22"/>
  <c r="D43" i="22"/>
  <c r="C43" i="22"/>
  <c r="D34" i="22"/>
  <c r="E28" i="22"/>
  <c r="D28" i="22"/>
  <c r="C28" i="22"/>
  <c r="E27" i="22"/>
  <c r="D27" i="22"/>
  <c r="C27" i="22"/>
  <c r="D23" i="22"/>
  <c r="D54" i="22"/>
  <c r="E21" i="22"/>
  <c r="D21" i="22"/>
  <c r="C21" i="22"/>
  <c r="E12" i="22"/>
  <c r="E33" i="22"/>
  <c r="D12" i="22"/>
  <c r="D33" i="22"/>
  <c r="C12" i="22"/>
  <c r="C33" i="22"/>
  <c r="D21" i="21"/>
  <c r="E21" i="21"/>
  <c r="C21" i="21"/>
  <c r="D19" i="21"/>
  <c r="E19" i="21"/>
  <c r="F19" i="21"/>
  <c r="C19" i="21"/>
  <c r="F17" i="21"/>
  <c r="E17" i="21"/>
  <c r="F15" i="21"/>
  <c r="E15" i="21"/>
  <c r="D45" i="20"/>
  <c r="E45" i="20"/>
  <c r="F45" i="20"/>
  <c r="C45" i="20"/>
  <c r="D44" i="20"/>
  <c r="E44" i="20"/>
  <c r="F44" i="20"/>
  <c r="C44" i="20"/>
  <c r="D43" i="20"/>
  <c r="D46" i="20"/>
  <c r="C43" i="20"/>
  <c r="C46" i="20"/>
  <c r="D36" i="20"/>
  <c r="D40" i="20"/>
  <c r="E40" i="20"/>
  <c r="C36" i="20"/>
  <c r="C40" i="20"/>
  <c r="F35" i="20"/>
  <c r="E35" i="20"/>
  <c r="F34" i="20"/>
  <c r="E34" i="20"/>
  <c r="F33" i="20"/>
  <c r="E33" i="20"/>
  <c r="E36" i="20"/>
  <c r="F36" i="20"/>
  <c r="F30" i="20"/>
  <c r="E30" i="20"/>
  <c r="F29" i="20"/>
  <c r="E29" i="20"/>
  <c r="F28" i="20"/>
  <c r="E28" i="20"/>
  <c r="F27" i="20"/>
  <c r="E27" i="20"/>
  <c r="D25" i="20"/>
  <c r="D39" i="20"/>
  <c r="C25" i="20"/>
  <c r="C39" i="20"/>
  <c r="F24" i="20"/>
  <c r="E24" i="20"/>
  <c r="F23" i="20"/>
  <c r="E23" i="20"/>
  <c r="F22" i="20"/>
  <c r="E22" i="20"/>
  <c r="E25" i="20"/>
  <c r="F25" i="20"/>
  <c r="D19" i="20"/>
  <c r="D20" i="20"/>
  <c r="E20" i="20"/>
  <c r="C19" i="20"/>
  <c r="C20" i="20"/>
  <c r="F18" i="20"/>
  <c r="E18" i="20"/>
  <c r="D16" i="20"/>
  <c r="E16" i="20"/>
  <c r="F16" i="20"/>
  <c r="C16" i="20"/>
  <c r="F15" i="20"/>
  <c r="E15" i="20"/>
  <c r="F13" i="20"/>
  <c r="E13" i="20"/>
  <c r="F12" i="20"/>
  <c r="E12" i="20"/>
  <c r="C137" i="19"/>
  <c r="C139" i="19"/>
  <c r="C143" i="19"/>
  <c r="C115" i="19"/>
  <c r="C105" i="19"/>
  <c r="C96" i="19"/>
  <c r="C95" i="19"/>
  <c r="C89" i="19"/>
  <c r="C88" i="19"/>
  <c r="C83" i="19"/>
  <c r="C77" i="19"/>
  <c r="C78" i="19"/>
  <c r="C64" i="19"/>
  <c r="C63" i="19"/>
  <c r="C65" i="19"/>
  <c r="C114" i="19"/>
  <c r="C116" i="19"/>
  <c r="C119" i="19"/>
  <c r="C123" i="19"/>
  <c r="C60" i="19"/>
  <c r="C59" i="19"/>
  <c r="C49" i="19"/>
  <c r="C48" i="19"/>
  <c r="C36" i="19"/>
  <c r="C32" i="19"/>
  <c r="C33" i="19"/>
  <c r="C21" i="19"/>
  <c r="C37" i="19"/>
  <c r="E328" i="18"/>
  <c r="E325" i="18"/>
  <c r="D324" i="18"/>
  <c r="E324" i="18"/>
  <c r="C324" i="18"/>
  <c r="C326" i="18"/>
  <c r="C330" i="18"/>
  <c r="E318" i="18"/>
  <c r="E315" i="18"/>
  <c r="D314" i="18"/>
  <c r="D316" i="18"/>
  <c r="C314" i="18"/>
  <c r="C316" i="18"/>
  <c r="C320" i="18"/>
  <c r="E308" i="18"/>
  <c r="E305" i="18"/>
  <c r="D301" i="18"/>
  <c r="E301" i="18"/>
  <c r="C301" i="18"/>
  <c r="D293" i="18"/>
  <c r="E293" i="18"/>
  <c r="C293" i="18"/>
  <c r="D292" i="18"/>
  <c r="E292" i="18"/>
  <c r="C292" i="18"/>
  <c r="D291" i="18"/>
  <c r="C291" i="18"/>
  <c r="E291" i="18"/>
  <c r="D290" i="18"/>
  <c r="E290" i="18"/>
  <c r="C290" i="18"/>
  <c r="D288" i="18"/>
  <c r="E288" i="18"/>
  <c r="C288" i="18"/>
  <c r="D287" i="18"/>
  <c r="E287" i="18"/>
  <c r="C287" i="18"/>
  <c r="D282" i="18"/>
  <c r="E282" i="18"/>
  <c r="C282" i="18"/>
  <c r="D281" i="18"/>
  <c r="C281" i="18"/>
  <c r="E281" i="18"/>
  <c r="D280" i="18"/>
  <c r="E280" i="18"/>
  <c r="C280" i="18"/>
  <c r="D279" i="18"/>
  <c r="C279" i="18"/>
  <c r="E279" i="18"/>
  <c r="D278" i="18"/>
  <c r="E278" i="18"/>
  <c r="C278" i="18"/>
  <c r="D277" i="18"/>
  <c r="C277" i="18"/>
  <c r="E277" i="18"/>
  <c r="D276" i="18"/>
  <c r="E276" i="18"/>
  <c r="C276" i="18"/>
  <c r="E270" i="18"/>
  <c r="D265" i="18"/>
  <c r="D302" i="18"/>
  <c r="E302" i="18"/>
  <c r="C265" i="18"/>
  <c r="C302" i="18"/>
  <c r="D262" i="18"/>
  <c r="E262" i="18"/>
  <c r="C262" i="18"/>
  <c r="D251" i="18"/>
  <c r="C251" i="18"/>
  <c r="D233" i="18"/>
  <c r="E233" i="18"/>
  <c r="C233" i="18"/>
  <c r="D232" i="18"/>
  <c r="E232" i="18"/>
  <c r="C232" i="18"/>
  <c r="D231" i="18"/>
  <c r="C231" i="18"/>
  <c r="D230" i="18"/>
  <c r="E230" i="18"/>
  <c r="C230" i="18"/>
  <c r="D228" i="18"/>
  <c r="E228" i="18"/>
  <c r="C228" i="18"/>
  <c r="D227" i="18"/>
  <c r="E227" i="18"/>
  <c r="C227" i="18"/>
  <c r="D221" i="18"/>
  <c r="D245" i="18"/>
  <c r="E245" i="18"/>
  <c r="C221" i="18"/>
  <c r="C245" i="18"/>
  <c r="D220" i="18"/>
  <c r="E220" i="18"/>
  <c r="C220" i="18"/>
  <c r="C244" i="18"/>
  <c r="D219" i="18"/>
  <c r="D243" i="18"/>
  <c r="E243" i="18"/>
  <c r="C219" i="18"/>
  <c r="C243" i="18"/>
  <c r="D218" i="18"/>
  <c r="E218" i="18"/>
  <c r="C218" i="18"/>
  <c r="C242" i="18"/>
  <c r="C217" i="18"/>
  <c r="D216" i="18"/>
  <c r="E216" i="18"/>
  <c r="C216" i="18"/>
  <c r="C240" i="18"/>
  <c r="D215" i="18"/>
  <c r="D239" i="18"/>
  <c r="C215" i="18"/>
  <c r="C239" i="18"/>
  <c r="E209" i="18"/>
  <c r="E208" i="18"/>
  <c r="E207" i="18"/>
  <c r="E206" i="18"/>
  <c r="D205" i="18"/>
  <c r="D210" i="18"/>
  <c r="C205" i="18"/>
  <c r="C229" i="18"/>
  <c r="E204" i="18"/>
  <c r="E203" i="18"/>
  <c r="E197" i="18"/>
  <c r="E196" i="18"/>
  <c r="D195" i="18"/>
  <c r="D260" i="18"/>
  <c r="C195" i="18"/>
  <c r="C260" i="18"/>
  <c r="E194" i="18"/>
  <c r="E193" i="18"/>
  <c r="E192" i="18"/>
  <c r="E191" i="18"/>
  <c r="E190" i="18"/>
  <c r="D188" i="18"/>
  <c r="C188" i="18"/>
  <c r="E186" i="18"/>
  <c r="E185" i="18"/>
  <c r="D179" i="18"/>
  <c r="C179" i="18"/>
  <c r="E179" i="18"/>
  <c r="D178" i="18"/>
  <c r="E178" i="18"/>
  <c r="C178" i="18"/>
  <c r="D177" i="18"/>
  <c r="C177" i="18"/>
  <c r="E177" i="18"/>
  <c r="D176" i="18"/>
  <c r="E176" i="18"/>
  <c r="C176" i="18"/>
  <c r="D174" i="18"/>
  <c r="E174" i="18"/>
  <c r="C174" i="18"/>
  <c r="D173" i="18"/>
  <c r="C173" i="18"/>
  <c r="E173" i="18"/>
  <c r="D167" i="18"/>
  <c r="E167" i="18"/>
  <c r="C167" i="18"/>
  <c r="D166" i="18"/>
  <c r="C166" i="18"/>
  <c r="E166" i="18"/>
  <c r="D165" i="18"/>
  <c r="E165" i="18"/>
  <c r="C165" i="18"/>
  <c r="D164" i="18"/>
  <c r="C164" i="18"/>
  <c r="E164" i="18"/>
  <c r="D162" i="18"/>
  <c r="C162" i="18"/>
  <c r="E162" i="18"/>
  <c r="D161" i="18"/>
  <c r="E161" i="18"/>
  <c r="C161" i="18"/>
  <c r="D156" i="18"/>
  <c r="D157" i="18"/>
  <c r="E155" i="18"/>
  <c r="E154" i="18"/>
  <c r="E153" i="18"/>
  <c r="E152" i="18"/>
  <c r="D151" i="18"/>
  <c r="C151" i="18"/>
  <c r="C156" i="18"/>
  <c r="C157" i="18"/>
  <c r="E150" i="18"/>
  <c r="E149" i="18"/>
  <c r="C144" i="18"/>
  <c r="E143" i="18"/>
  <c r="E142" i="18"/>
  <c r="E141" i="18"/>
  <c r="E140" i="18"/>
  <c r="D139" i="18"/>
  <c r="D175" i="18"/>
  <c r="C139" i="18"/>
  <c r="C163" i="18"/>
  <c r="E138" i="18"/>
  <c r="E137" i="18"/>
  <c r="D75" i="18"/>
  <c r="C75" i="18"/>
  <c r="E75" i="18"/>
  <c r="D74" i="18"/>
  <c r="E74" i="18"/>
  <c r="C74" i="18"/>
  <c r="D73" i="18"/>
  <c r="C73" i="18"/>
  <c r="E73" i="18"/>
  <c r="D72" i="18"/>
  <c r="E72" i="18"/>
  <c r="C72" i="18"/>
  <c r="D70" i="18"/>
  <c r="C70" i="18"/>
  <c r="D69" i="18"/>
  <c r="C69" i="18"/>
  <c r="E64" i="18"/>
  <c r="E63" i="18"/>
  <c r="E62" i="18"/>
  <c r="E61" i="18"/>
  <c r="D60" i="18"/>
  <c r="C60" i="18"/>
  <c r="C289" i="18"/>
  <c r="E59" i="18"/>
  <c r="E58" i="18"/>
  <c r="D55" i="18"/>
  <c r="D54" i="18"/>
  <c r="C54" i="18"/>
  <c r="C55" i="18"/>
  <c r="E53" i="18"/>
  <c r="E52" i="18"/>
  <c r="E51" i="18"/>
  <c r="E50" i="18"/>
  <c r="E49" i="18"/>
  <c r="E48" i="18"/>
  <c r="E47" i="18"/>
  <c r="D42" i="18"/>
  <c r="C42" i="18"/>
  <c r="E42" i="18"/>
  <c r="D41" i="18"/>
  <c r="E41" i="18"/>
  <c r="C41" i="18"/>
  <c r="D40" i="18"/>
  <c r="C40" i="18"/>
  <c r="E40" i="18"/>
  <c r="D39" i="18"/>
  <c r="E39" i="18"/>
  <c r="C39" i="18"/>
  <c r="D38" i="18"/>
  <c r="C38" i="18"/>
  <c r="E38" i="18"/>
  <c r="D37" i="18"/>
  <c r="E37" i="18"/>
  <c r="C37" i="18"/>
  <c r="C43" i="18"/>
  <c r="D36" i="18"/>
  <c r="C36" i="18"/>
  <c r="C44" i="18"/>
  <c r="D33" i="18"/>
  <c r="D32" i="18"/>
  <c r="C32" i="18"/>
  <c r="E31" i="18"/>
  <c r="E30" i="18"/>
  <c r="E29" i="18"/>
  <c r="E28" i="18"/>
  <c r="E27" i="18"/>
  <c r="E26" i="18"/>
  <c r="E25" i="18"/>
  <c r="C22" i="18"/>
  <c r="D21" i="18"/>
  <c r="D283" i="18"/>
  <c r="E283" i="18"/>
  <c r="C21" i="18"/>
  <c r="C283" i="18"/>
  <c r="E20" i="18"/>
  <c r="E19" i="18"/>
  <c r="E18" i="18"/>
  <c r="E17" i="18"/>
  <c r="E16" i="18"/>
  <c r="E15" i="18"/>
  <c r="E14" i="18"/>
  <c r="E335" i="17"/>
  <c r="F335" i="17"/>
  <c r="F334" i="17"/>
  <c r="E334" i="17"/>
  <c r="E333" i="17"/>
  <c r="F333" i="17"/>
  <c r="F332" i="17"/>
  <c r="E332" i="17"/>
  <c r="E331" i="17"/>
  <c r="F331" i="17"/>
  <c r="E330" i="17"/>
  <c r="F330" i="17"/>
  <c r="E329" i="17"/>
  <c r="F329" i="17"/>
  <c r="F316" i="17"/>
  <c r="E316" i="17"/>
  <c r="D311" i="17"/>
  <c r="C311" i="17"/>
  <c r="F311" i="17"/>
  <c r="E308" i="17"/>
  <c r="F308" i="17"/>
  <c r="D307" i="17"/>
  <c r="C307" i="17"/>
  <c r="D299" i="17"/>
  <c r="E299" i="17"/>
  <c r="F299" i="17"/>
  <c r="C299" i="17"/>
  <c r="D298" i="17"/>
  <c r="E298" i="17"/>
  <c r="F298" i="17"/>
  <c r="C298" i="17"/>
  <c r="D297" i="17"/>
  <c r="E297" i="17"/>
  <c r="F297" i="17"/>
  <c r="C297" i="17"/>
  <c r="D296" i="17"/>
  <c r="E296" i="17"/>
  <c r="F296" i="17"/>
  <c r="C296" i="17"/>
  <c r="D295" i="17"/>
  <c r="E295" i="17"/>
  <c r="F295" i="17"/>
  <c r="C295" i="17"/>
  <c r="D294" i="17"/>
  <c r="E294" i="17"/>
  <c r="F294" i="17"/>
  <c r="C294" i="17"/>
  <c r="D250" i="17"/>
  <c r="D306" i="17"/>
  <c r="C250" i="17"/>
  <c r="E249" i="17"/>
  <c r="F249" i="17"/>
  <c r="E248" i="17"/>
  <c r="F248" i="17"/>
  <c r="F245" i="17"/>
  <c r="E245" i="17"/>
  <c r="E244" i="17"/>
  <c r="F244" i="17"/>
  <c r="E243" i="17"/>
  <c r="F243" i="17"/>
  <c r="D238" i="17"/>
  <c r="C238" i="17"/>
  <c r="D237" i="17"/>
  <c r="D239" i="17"/>
  <c r="C237" i="17"/>
  <c r="E234" i="17"/>
  <c r="F234" i="17"/>
  <c r="E233" i="17"/>
  <c r="F233" i="17"/>
  <c r="D230" i="17"/>
  <c r="C230" i="17"/>
  <c r="D229" i="17"/>
  <c r="C229" i="17"/>
  <c r="E228" i="17"/>
  <c r="F228" i="17"/>
  <c r="C227" i="17"/>
  <c r="D226" i="17"/>
  <c r="D227" i="17"/>
  <c r="E227" i="17"/>
  <c r="C226" i="17"/>
  <c r="E225" i="17"/>
  <c r="F225" i="17"/>
  <c r="E224" i="17"/>
  <c r="F224" i="17"/>
  <c r="D223" i="17"/>
  <c r="C223" i="17"/>
  <c r="E222" i="17"/>
  <c r="F222" i="17"/>
  <c r="E221" i="17"/>
  <c r="F221" i="17"/>
  <c r="C215" i="17"/>
  <c r="D204" i="17"/>
  <c r="D285" i="17"/>
  <c r="C204" i="17"/>
  <c r="D203" i="17"/>
  <c r="D283" i="17"/>
  <c r="C203" i="17"/>
  <c r="C199" i="17"/>
  <c r="D198" i="17"/>
  <c r="D290" i="17"/>
  <c r="C198" i="17"/>
  <c r="D191" i="17"/>
  <c r="D280" i="17"/>
  <c r="C191" i="17"/>
  <c r="D189" i="17"/>
  <c r="D278" i="17"/>
  <c r="C189" i="17"/>
  <c r="D188" i="17"/>
  <c r="D277" i="17"/>
  <c r="C188" i="17"/>
  <c r="C181" i="17"/>
  <c r="D180" i="17"/>
  <c r="C180" i="17"/>
  <c r="D179" i="17"/>
  <c r="D181" i="17"/>
  <c r="E181" i="17"/>
  <c r="C179" i="17"/>
  <c r="C172" i="17"/>
  <c r="D171" i="17"/>
  <c r="D172" i="17"/>
  <c r="C171" i="17"/>
  <c r="D170" i="17"/>
  <c r="C170" i="17"/>
  <c r="E169" i="17"/>
  <c r="F169" i="17"/>
  <c r="E168" i="17"/>
  <c r="F168" i="17"/>
  <c r="D165" i="17"/>
  <c r="C165" i="17"/>
  <c r="D164" i="17"/>
  <c r="C164" i="17"/>
  <c r="E163" i="17"/>
  <c r="F163" i="17"/>
  <c r="D158" i="17"/>
  <c r="D159" i="17"/>
  <c r="C158" i="17"/>
  <c r="E157" i="17"/>
  <c r="F157" i="17"/>
  <c r="E156" i="17"/>
  <c r="F156" i="17"/>
  <c r="D155" i="17"/>
  <c r="C155" i="17"/>
  <c r="E154" i="17"/>
  <c r="F154" i="17"/>
  <c r="E153" i="17"/>
  <c r="F153" i="17"/>
  <c r="D145" i="17"/>
  <c r="E145" i="17"/>
  <c r="F145" i="17"/>
  <c r="C145" i="17"/>
  <c r="D144" i="17"/>
  <c r="E144" i="17"/>
  <c r="F144" i="17"/>
  <c r="C144" i="17"/>
  <c r="C146" i="17"/>
  <c r="D136" i="17"/>
  <c r="E136" i="17"/>
  <c r="F136" i="17"/>
  <c r="C136" i="17"/>
  <c r="C137" i="17"/>
  <c r="D135" i="17"/>
  <c r="E135" i="17"/>
  <c r="F135" i="17"/>
  <c r="C135" i="17"/>
  <c r="E134" i="17"/>
  <c r="F134" i="17"/>
  <c r="E133" i="17"/>
  <c r="F133" i="17"/>
  <c r="D130" i="17"/>
  <c r="E130" i="17"/>
  <c r="F130" i="17"/>
  <c r="C130" i="17"/>
  <c r="D129" i="17"/>
  <c r="E129" i="17"/>
  <c r="F129" i="17"/>
  <c r="C129" i="17"/>
  <c r="E128" i="17"/>
  <c r="F128" i="17"/>
  <c r="D123" i="17"/>
  <c r="C123" i="17"/>
  <c r="C193" i="17"/>
  <c r="E122" i="17"/>
  <c r="F122" i="17"/>
  <c r="E121" i="17"/>
  <c r="F121" i="17"/>
  <c r="D120" i="17"/>
  <c r="E120" i="17"/>
  <c r="F120" i="17"/>
  <c r="C120" i="17"/>
  <c r="E119" i="17"/>
  <c r="F119" i="17"/>
  <c r="E118" i="17"/>
  <c r="F118" i="17"/>
  <c r="D110" i="17"/>
  <c r="E110" i="17"/>
  <c r="F110" i="17"/>
  <c r="C110" i="17"/>
  <c r="D109" i="17"/>
  <c r="E109" i="17"/>
  <c r="F109" i="17"/>
  <c r="C109" i="17"/>
  <c r="C111" i="17"/>
  <c r="D101" i="17"/>
  <c r="E101" i="17"/>
  <c r="F101" i="17"/>
  <c r="C101" i="17"/>
  <c r="C102" i="17"/>
  <c r="D100" i="17"/>
  <c r="E100" i="17"/>
  <c r="F100" i="17"/>
  <c r="C100" i="17"/>
  <c r="F99" i="17"/>
  <c r="E99" i="17"/>
  <c r="F98" i="17"/>
  <c r="E98" i="17"/>
  <c r="D95" i="17"/>
  <c r="E95" i="17"/>
  <c r="F95" i="17"/>
  <c r="C95" i="17"/>
  <c r="D94" i="17"/>
  <c r="E94" i="17"/>
  <c r="F94" i="17"/>
  <c r="C94" i="17"/>
  <c r="F93" i="17"/>
  <c r="E93" i="17"/>
  <c r="D88" i="17"/>
  <c r="E88" i="17"/>
  <c r="F88" i="17"/>
  <c r="C88" i="17"/>
  <c r="C89" i="17"/>
  <c r="F87" i="17"/>
  <c r="E87" i="17"/>
  <c r="F86" i="17"/>
  <c r="E86" i="17"/>
  <c r="D85" i="17"/>
  <c r="E85" i="17"/>
  <c r="F85" i="17"/>
  <c r="C85" i="17"/>
  <c r="F84" i="17"/>
  <c r="E84" i="17"/>
  <c r="F83" i="17"/>
  <c r="E83" i="17"/>
  <c r="D76" i="17"/>
  <c r="D77" i="17"/>
  <c r="C76" i="17"/>
  <c r="C77" i="17"/>
  <c r="E74" i="17"/>
  <c r="F74" i="17"/>
  <c r="E73" i="17"/>
  <c r="F73" i="17"/>
  <c r="D67" i="17"/>
  <c r="C67" i="17"/>
  <c r="D66" i="17"/>
  <c r="D68" i="17"/>
  <c r="C66" i="17"/>
  <c r="D59" i="17"/>
  <c r="D60" i="17"/>
  <c r="C59" i="17"/>
  <c r="D58" i="17"/>
  <c r="C58" i="17"/>
  <c r="E57" i="17"/>
  <c r="F57" i="17"/>
  <c r="E56" i="17"/>
  <c r="F56" i="17"/>
  <c r="D53" i="17"/>
  <c r="C53" i="17"/>
  <c r="D52" i="17"/>
  <c r="C52" i="17"/>
  <c r="E51" i="17"/>
  <c r="F51" i="17"/>
  <c r="D47" i="17"/>
  <c r="D48" i="17"/>
  <c r="C47" i="17"/>
  <c r="E46" i="17"/>
  <c r="F46" i="17"/>
  <c r="E45" i="17"/>
  <c r="F45" i="17"/>
  <c r="D44" i="17"/>
  <c r="C44" i="17"/>
  <c r="E43" i="17"/>
  <c r="F43" i="17"/>
  <c r="E42" i="17"/>
  <c r="F42" i="17"/>
  <c r="D36" i="17"/>
  <c r="C36" i="17"/>
  <c r="D35" i="17"/>
  <c r="D37" i="17"/>
  <c r="E37" i="17"/>
  <c r="C35" i="17"/>
  <c r="C37" i="17"/>
  <c r="D30" i="17"/>
  <c r="D31" i="17"/>
  <c r="C30" i="17"/>
  <c r="D29" i="17"/>
  <c r="C29" i="17"/>
  <c r="E28" i="17"/>
  <c r="F28" i="17"/>
  <c r="E27" i="17"/>
  <c r="F27" i="17"/>
  <c r="D24" i="17"/>
  <c r="C24" i="17"/>
  <c r="D23" i="17"/>
  <c r="C23" i="17"/>
  <c r="E22" i="17"/>
  <c r="F22" i="17"/>
  <c r="D20" i="17"/>
  <c r="C20" i="17"/>
  <c r="E19" i="17"/>
  <c r="F19" i="17"/>
  <c r="E18" i="17"/>
  <c r="F18" i="17"/>
  <c r="D17" i="17"/>
  <c r="C17" i="17"/>
  <c r="E16" i="17"/>
  <c r="F16" i="17"/>
  <c r="E15" i="17"/>
  <c r="F15" i="17"/>
  <c r="D21" i="16"/>
  <c r="E21" i="16"/>
  <c r="F21" i="16"/>
  <c r="C21" i="16"/>
  <c r="F20" i="16"/>
  <c r="E20" i="16"/>
  <c r="D17" i="16"/>
  <c r="E17" i="16"/>
  <c r="F17" i="16"/>
  <c r="C17" i="16"/>
  <c r="F16" i="16"/>
  <c r="E16" i="16"/>
  <c r="D13" i="16"/>
  <c r="E13" i="16"/>
  <c r="F13" i="16"/>
  <c r="C13" i="16"/>
  <c r="F12" i="16"/>
  <c r="E12" i="16"/>
  <c r="D107" i="15"/>
  <c r="E107" i="15"/>
  <c r="C107" i="15"/>
  <c r="F106" i="15"/>
  <c r="E106" i="15"/>
  <c r="F105" i="15"/>
  <c r="E105" i="15"/>
  <c r="F104" i="15"/>
  <c r="E104" i="15"/>
  <c r="D100" i="15"/>
  <c r="E100" i="15"/>
  <c r="F100" i="15"/>
  <c r="C100" i="15"/>
  <c r="F99" i="15"/>
  <c r="E99" i="15"/>
  <c r="F98" i="15"/>
  <c r="E98" i="15"/>
  <c r="F97" i="15"/>
  <c r="E97" i="15"/>
  <c r="F96" i="15"/>
  <c r="E96" i="15"/>
  <c r="F95" i="15"/>
  <c r="E95" i="15"/>
  <c r="D92" i="15"/>
  <c r="E92" i="15"/>
  <c r="F92" i="15"/>
  <c r="C92" i="15"/>
  <c r="F91" i="15"/>
  <c r="E91" i="15"/>
  <c r="F90" i="15"/>
  <c r="E90" i="15"/>
  <c r="F89" i="15"/>
  <c r="E89" i="15"/>
  <c r="F88" i="15"/>
  <c r="E88" i="15"/>
  <c r="F87" i="15"/>
  <c r="E87" i="15"/>
  <c r="F86" i="15"/>
  <c r="E86" i="15"/>
  <c r="F85" i="15"/>
  <c r="E85" i="15"/>
  <c r="F84" i="15"/>
  <c r="E84" i="15"/>
  <c r="F83" i="15"/>
  <c r="E83" i="15"/>
  <c r="F82" i="15"/>
  <c r="E82" i="15"/>
  <c r="F81" i="15"/>
  <c r="E81" i="15"/>
  <c r="F80" i="15"/>
  <c r="E80" i="15"/>
  <c r="F79" i="15"/>
  <c r="E79" i="15"/>
  <c r="D75" i="15"/>
  <c r="C75" i="15"/>
  <c r="F74" i="15"/>
  <c r="E74" i="15"/>
  <c r="F73" i="15"/>
  <c r="E73" i="15"/>
  <c r="E75" i="15"/>
  <c r="F75" i="15"/>
  <c r="D70" i="15"/>
  <c r="E70" i="15"/>
  <c r="F70" i="15"/>
  <c r="C70" i="15"/>
  <c r="F69" i="15"/>
  <c r="E69" i="15"/>
  <c r="F68" i="15"/>
  <c r="E68" i="15"/>
  <c r="D65" i="15"/>
  <c r="E65" i="15"/>
  <c r="F65" i="15"/>
  <c r="C65" i="15"/>
  <c r="F64" i="15"/>
  <c r="E64" i="15"/>
  <c r="F63" i="15"/>
  <c r="E63" i="15"/>
  <c r="F60" i="15"/>
  <c r="D60" i="15"/>
  <c r="C60" i="15"/>
  <c r="F59" i="15"/>
  <c r="E59" i="15"/>
  <c r="F58" i="15"/>
  <c r="E58" i="15"/>
  <c r="E60" i="15"/>
  <c r="F55" i="15"/>
  <c r="D55" i="15"/>
  <c r="E55" i="15"/>
  <c r="C55" i="15"/>
  <c r="F54" i="15"/>
  <c r="E54" i="15"/>
  <c r="F53" i="15"/>
  <c r="E53" i="15"/>
  <c r="F50" i="15"/>
  <c r="D50" i="15"/>
  <c r="E50" i="15"/>
  <c r="C50" i="15"/>
  <c r="F49" i="15"/>
  <c r="E49" i="15"/>
  <c r="F48" i="15"/>
  <c r="E48" i="15"/>
  <c r="F45" i="15"/>
  <c r="D45" i="15"/>
  <c r="E45" i="15"/>
  <c r="C45" i="15"/>
  <c r="F44" i="15"/>
  <c r="E44" i="15"/>
  <c r="F43" i="15"/>
  <c r="E43" i="15"/>
  <c r="F37" i="15"/>
  <c r="D37" i="15"/>
  <c r="E37" i="15"/>
  <c r="C37" i="15"/>
  <c r="F36" i="15"/>
  <c r="E36" i="15"/>
  <c r="F35" i="15"/>
  <c r="E35" i="15"/>
  <c r="F34" i="15"/>
  <c r="E34" i="15"/>
  <c r="F33" i="15"/>
  <c r="E33" i="15"/>
  <c r="F30" i="15"/>
  <c r="D30" i="15"/>
  <c r="E30" i="15"/>
  <c r="C30" i="15"/>
  <c r="F29" i="15"/>
  <c r="E29" i="15"/>
  <c r="F28" i="15"/>
  <c r="E28" i="15"/>
  <c r="F27" i="15"/>
  <c r="E27" i="15"/>
  <c r="F26" i="15"/>
  <c r="E26" i="15"/>
  <c r="D23" i="15"/>
  <c r="E23" i="15"/>
  <c r="F23" i="15"/>
  <c r="C23" i="15"/>
  <c r="F22" i="15"/>
  <c r="E22" i="15"/>
  <c r="F21" i="15"/>
  <c r="E21" i="15"/>
  <c r="F20" i="15"/>
  <c r="E20" i="15"/>
  <c r="F19" i="15"/>
  <c r="E19" i="15"/>
  <c r="D16" i="15"/>
  <c r="E16" i="15"/>
  <c r="F16" i="15"/>
  <c r="C16" i="15"/>
  <c r="F15" i="15"/>
  <c r="E15" i="15"/>
  <c r="F14" i="15"/>
  <c r="E14" i="15"/>
  <c r="F13" i="15"/>
  <c r="E13" i="15"/>
  <c r="F12" i="15"/>
  <c r="E12" i="15"/>
  <c r="I37" i="14"/>
  <c r="H37" i="14"/>
  <c r="I29" i="14"/>
  <c r="H29" i="14"/>
  <c r="I27" i="14"/>
  <c r="H27" i="14"/>
  <c r="I25" i="14"/>
  <c r="H25" i="14"/>
  <c r="I23" i="14"/>
  <c r="H23" i="14"/>
  <c r="I21" i="14"/>
  <c r="H21" i="14"/>
  <c r="I19" i="14"/>
  <c r="H19" i="14"/>
  <c r="G17" i="14"/>
  <c r="G31" i="14"/>
  <c r="F17" i="14"/>
  <c r="F33" i="14"/>
  <c r="E17" i="14"/>
  <c r="E31" i="14"/>
  <c r="D17" i="14"/>
  <c r="D33" i="14"/>
  <c r="D36" i="14"/>
  <c r="D38" i="14"/>
  <c r="D40" i="14"/>
  <c r="C17" i="14"/>
  <c r="C31" i="14"/>
  <c r="I16" i="14"/>
  <c r="H16" i="14"/>
  <c r="I15" i="14"/>
  <c r="H15" i="14"/>
  <c r="I13" i="14"/>
  <c r="H13" i="14"/>
  <c r="I11" i="14"/>
  <c r="H11" i="14"/>
  <c r="E79" i="13"/>
  <c r="D79" i="13"/>
  <c r="C79" i="13"/>
  <c r="E78" i="13"/>
  <c r="E80" i="13"/>
  <c r="E77" i="13"/>
  <c r="D78" i="13"/>
  <c r="D80" i="13"/>
  <c r="D77" i="13"/>
  <c r="C78" i="13"/>
  <c r="C80" i="13"/>
  <c r="C77" i="13"/>
  <c r="E75" i="13"/>
  <c r="C75" i="13"/>
  <c r="E73" i="13"/>
  <c r="D73" i="13"/>
  <c r="D75" i="13"/>
  <c r="C73" i="13"/>
  <c r="E71" i="13"/>
  <c r="D71" i="13"/>
  <c r="C71" i="13"/>
  <c r="E66" i="13"/>
  <c r="E65" i="13"/>
  <c r="D66" i="13"/>
  <c r="C66" i="13"/>
  <c r="C65" i="13"/>
  <c r="D65" i="13"/>
  <c r="E60" i="13"/>
  <c r="D60" i="13"/>
  <c r="C60" i="13"/>
  <c r="E58" i="13"/>
  <c r="D58" i="13"/>
  <c r="C58" i="13"/>
  <c r="E55" i="13"/>
  <c r="D55" i="13"/>
  <c r="C55" i="13"/>
  <c r="E54" i="13"/>
  <c r="E50" i="13"/>
  <c r="D54" i="13"/>
  <c r="C54" i="13"/>
  <c r="C50" i="13"/>
  <c r="D50" i="13"/>
  <c r="E48" i="13"/>
  <c r="E42" i="13"/>
  <c r="C48" i="13"/>
  <c r="C42" i="13"/>
  <c r="E46" i="13"/>
  <c r="E59" i="13"/>
  <c r="E61" i="13"/>
  <c r="E57" i="13"/>
  <c r="D46" i="13"/>
  <c r="D59" i="13"/>
  <c r="D61" i="13"/>
  <c r="D57" i="13"/>
  <c r="C46" i="13"/>
  <c r="C59" i="13"/>
  <c r="C61" i="13"/>
  <c r="C57" i="13"/>
  <c r="E45" i="13"/>
  <c r="D45" i="13"/>
  <c r="C45" i="13"/>
  <c r="E38" i="13"/>
  <c r="D38" i="13"/>
  <c r="C38" i="13"/>
  <c r="E33" i="13"/>
  <c r="E34" i="13"/>
  <c r="D33" i="13"/>
  <c r="D34" i="13"/>
  <c r="E26" i="13"/>
  <c r="D26" i="13"/>
  <c r="C26" i="13"/>
  <c r="E25" i="13"/>
  <c r="E27" i="13"/>
  <c r="C25" i="13"/>
  <c r="C27" i="13"/>
  <c r="E15" i="13"/>
  <c r="E24" i="13"/>
  <c r="C15" i="13"/>
  <c r="C24" i="13"/>
  <c r="E13" i="13"/>
  <c r="D13" i="13"/>
  <c r="D25" i="13"/>
  <c r="D27" i="13"/>
  <c r="C13" i="13"/>
  <c r="D47" i="12"/>
  <c r="E47" i="12"/>
  <c r="C47" i="12"/>
  <c r="F47" i="12"/>
  <c r="F46" i="12"/>
  <c r="E46" i="12"/>
  <c r="F45" i="12"/>
  <c r="E45" i="12"/>
  <c r="D40" i="12"/>
  <c r="E40" i="12"/>
  <c r="C40" i="12"/>
  <c r="F40" i="12"/>
  <c r="F39" i="12"/>
  <c r="E39" i="12"/>
  <c r="F38" i="12"/>
  <c r="E38" i="12"/>
  <c r="F37" i="12"/>
  <c r="E37" i="12"/>
  <c r="D32" i="12"/>
  <c r="E32" i="12"/>
  <c r="C32" i="12"/>
  <c r="E31" i="12"/>
  <c r="F31" i="12"/>
  <c r="E30" i="12"/>
  <c r="F30" i="12"/>
  <c r="E29" i="12"/>
  <c r="F29" i="12"/>
  <c r="F28" i="12"/>
  <c r="E28" i="12"/>
  <c r="E27" i="12"/>
  <c r="F27" i="12"/>
  <c r="E26" i="12"/>
  <c r="F26" i="12"/>
  <c r="E25" i="12"/>
  <c r="F25" i="12"/>
  <c r="E24" i="12"/>
  <c r="F24" i="12"/>
  <c r="E23" i="12"/>
  <c r="F23" i="12"/>
  <c r="F19" i="12"/>
  <c r="E19" i="12"/>
  <c r="E18" i="12"/>
  <c r="F18" i="12"/>
  <c r="E16" i="12"/>
  <c r="F16" i="12"/>
  <c r="D15" i="12"/>
  <c r="D17" i="12"/>
  <c r="C15" i="12"/>
  <c r="E14" i="12"/>
  <c r="F14" i="12"/>
  <c r="E13" i="12"/>
  <c r="F13" i="12"/>
  <c r="E12" i="12"/>
  <c r="F12" i="12"/>
  <c r="E11" i="12"/>
  <c r="F11" i="12"/>
  <c r="D73" i="11"/>
  <c r="E73" i="11"/>
  <c r="C73" i="11"/>
  <c r="F72" i="11"/>
  <c r="E72" i="11"/>
  <c r="F71" i="11"/>
  <c r="E71" i="11"/>
  <c r="F70" i="11"/>
  <c r="E70" i="11"/>
  <c r="F67" i="11"/>
  <c r="E67" i="11"/>
  <c r="F64" i="11"/>
  <c r="E64" i="11"/>
  <c r="F63" i="11"/>
  <c r="E63" i="11"/>
  <c r="D61" i="11"/>
  <c r="D65" i="11"/>
  <c r="E65" i="11"/>
  <c r="C61" i="11"/>
  <c r="C65" i="11"/>
  <c r="F60" i="11"/>
  <c r="E60" i="11"/>
  <c r="F59" i="11"/>
  <c r="E59" i="11"/>
  <c r="D56" i="11"/>
  <c r="D75" i="11"/>
  <c r="E75" i="11"/>
  <c r="C56" i="11"/>
  <c r="C75" i="11"/>
  <c r="F55" i="11"/>
  <c r="E55" i="11"/>
  <c r="F54" i="11"/>
  <c r="E54" i="11"/>
  <c r="F53" i="11"/>
  <c r="E53" i="11"/>
  <c r="F52" i="11"/>
  <c r="E52" i="11"/>
  <c r="F51" i="11"/>
  <c r="E51" i="11"/>
  <c r="A51" i="11"/>
  <c r="A52" i="11"/>
  <c r="A53" i="11"/>
  <c r="A54" i="11"/>
  <c r="A55" i="11"/>
  <c r="E50" i="11"/>
  <c r="F50" i="11"/>
  <c r="A50" i="11"/>
  <c r="F49" i="11"/>
  <c r="E49" i="11"/>
  <c r="F40" i="11"/>
  <c r="E40" i="11"/>
  <c r="D38" i="11"/>
  <c r="D41" i="11"/>
  <c r="C38" i="11"/>
  <c r="C41" i="11"/>
  <c r="F37" i="11"/>
  <c r="E37" i="11"/>
  <c r="F36" i="11"/>
  <c r="E36" i="11"/>
  <c r="F33" i="11"/>
  <c r="E33" i="11"/>
  <c r="F32" i="11"/>
  <c r="E32" i="11"/>
  <c r="F31" i="11"/>
  <c r="E31" i="11"/>
  <c r="F29" i="11"/>
  <c r="D29" i="11"/>
  <c r="E29" i="11"/>
  <c r="C29" i="11"/>
  <c r="F28" i="11"/>
  <c r="E28" i="11"/>
  <c r="F27" i="11"/>
  <c r="E27" i="11"/>
  <c r="F26" i="11"/>
  <c r="E26" i="11"/>
  <c r="F25" i="11"/>
  <c r="E25" i="11"/>
  <c r="D22" i="11"/>
  <c r="D43" i="11"/>
  <c r="C22" i="11"/>
  <c r="F21" i="11"/>
  <c r="E21" i="11"/>
  <c r="F20" i="11"/>
  <c r="E20" i="11"/>
  <c r="F19" i="11"/>
  <c r="E19" i="11"/>
  <c r="F18" i="11"/>
  <c r="E18" i="11"/>
  <c r="F17" i="11"/>
  <c r="E17" i="11"/>
  <c r="F16" i="11"/>
  <c r="E16" i="11"/>
  <c r="F15" i="11"/>
  <c r="E15" i="11"/>
  <c r="F14" i="11"/>
  <c r="E14" i="11"/>
  <c r="F13" i="11"/>
  <c r="E13" i="11"/>
  <c r="F120" i="10"/>
  <c r="D120" i="10"/>
  <c r="E120" i="10"/>
  <c r="C120" i="10"/>
  <c r="F119" i="10"/>
  <c r="D119" i="10"/>
  <c r="E119" i="10"/>
  <c r="C119" i="10"/>
  <c r="F118" i="10"/>
  <c r="D118" i="10"/>
  <c r="E118" i="10"/>
  <c r="C118" i="10"/>
  <c r="F117" i="10"/>
  <c r="D117" i="10"/>
  <c r="E117" i="10"/>
  <c r="C117" i="10"/>
  <c r="F116" i="10"/>
  <c r="D116" i="10"/>
  <c r="E116" i="10"/>
  <c r="C116" i="10"/>
  <c r="F115" i="10"/>
  <c r="D115" i="10"/>
  <c r="E115" i="10"/>
  <c r="C115" i="10"/>
  <c r="F114" i="10"/>
  <c r="D114" i="10"/>
  <c r="E114" i="10"/>
  <c r="C114" i="10"/>
  <c r="F113" i="10"/>
  <c r="D113" i="10"/>
  <c r="D122" i="10"/>
  <c r="E122" i="10"/>
  <c r="C113" i="10"/>
  <c r="C122" i="10"/>
  <c r="F122" i="10"/>
  <c r="F112" i="10"/>
  <c r="D112" i="10"/>
  <c r="D121" i="10"/>
  <c r="C112" i="10"/>
  <c r="C121" i="10"/>
  <c r="F121" i="10"/>
  <c r="F108" i="10"/>
  <c r="D108" i="10"/>
  <c r="E108" i="10"/>
  <c r="C108" i="10"/>
  <c r="F107" i="10"/>
  <c r="D107" i="10"/>
  <c r="E107" i="10"/>
  <c r="C107" i="10"/>
  <c r="F106" i="10"/>
  <c r="E106" i="10"/>
  <c r="F105" i="10"/>
  <c r="E105" i="10"/>
  <c r="F104" i="10"/>
  <c r="E104" i="10"/>
  <c r="F103" i="10"/>
  <c r="E103" i="10"/>
  <c r="F102" i="10"/>
  <c r="E102" i="10"/>
  <c r="F101" i="10"/>
  <c r="E101" i="10"/>
  <c r="F100" i="10"/>
  <c r="E100" i="10"/>
  <c r="F99" i="10"/>
  <c r="E99" i="10"/>
  <c r="F98" i="10"/>
  <c r="E98" i="10"/>
  <c r="F96" i="10"/>
  <c r="D96" i="10"/>
  <c r="E96" i="10"/>
  <c r="C96" i="10"/>
  <c r="F95" i="10"/>
  <c r="D95" i="10"/>
  <c r="E95" i="10"/>
  <c r="C95" i="10"/>
  <c r="F94" i="10"/>
  <c r="E94" i="10"/>
  <c r="F93" i="10"/>
  <c r="E93" i="10"/>
  <c r="F92" i="10"/>
  <c r="E92" i="10"/>
  <c r="F91" i="10"/>
  <c r="E91" i="10"/>
  <c r="F90" i="10"/>
  <c r="E90" i="10"/>
  <c r="F89" i="10"/>
  <c r="E89" i="10"/>
  <c r="F88" i="10"/>
  <c r="E88" i="10"/>
  <c r="F87" i="10"/>
  <c r="E87" i="10"/>
  <c r="F86" i="10"/>
  <c r="E86" i="10"/>
  <c r="F84" i="10"/>
  <c r="D84" i="10"/>
  <c r="E84" i="10"/>
  <c r="C84" i="10"/>
  <c r="F83" i="10"/>
  <c r="D83" i="10"/>
  <c r="E83" i="10"/>
  <c r="C83" i="10"/>
  <c r="F82" i="10"/>
  <c r="E82" i="10"/>
  <c r="F81" i="10"/>
  <c r="E81" i="10"/>
  <c r="F80" i="10"/>
  <c r="E80" i="10"/>
  <c r="F79" i="10"/>
  <c r="E79" i="10"/>
  <c r="F78" i="10"/>
  <c r="E78" i="10"/>
  <c r="F77" i="10"/>
  <c r="E77" i="10"/>
  <c r="F76" i="10"/>
  <c r="E76" i="10"/>
  <c r="F75" i="10"/>
  <c r="E75" i="10"/>
  <c r="F74" i="10"/>
  <c r="E74" i="10"/>
  <c r="F72" i="10"/>
  <c r="D72" i="10"/>
  <c r="E72" i="10"/>
  <c r="C72" i="10"/>
  <c r="F71" i="10"/>
  <c r="D71" i="10"/>
  <c r="E71" i="10"/>
  <c r="C71" i="10"/>
  <c r="F70" i="10"/>
  <c r="E70" i="10"/>
  <c r="F69" i="10"/>
  <c r="E69" i="10"/>
  <c r="F68" i="10"/>
  <c r="E68" i="10"/>
  <c r="F67" i="10"/>
  <c r="E67" i="10"/>
  <c r="F66" i="10"/>
  <c r="E66" i="10"/>
  <c r="F65" i="10"/>
  <c r="E65" i="10"/>
  <c r="F64" i="10"/>
  <c r="E64" i="10"/>
  <c r="F63" i="10"/>
  <c r="E63" i="10"/>
  <c r="F62" i="10"/>
  <c r="E62" i="10"/>
  <c r="F60" i="10"/>
  <c r="D60" i="10"/>
  <c r="E60" i="10"/>
  <c r="C60" i="10"/>
  <c r="F59" i="10"/>
  <c r="D59" i="10"/>
  <c r="E59" i="10"/>
  <c r="C59" i="10"/>
  <c r="F58" i="10"/>
  <c r="E58" i="10"/>
  <c r="F57" i="10"/>
  <c r="E57" i="10"/>
  <c r="F56" i="10"/>
  <c r="E56" i="10"/>
  <c r="F55" i="10"/>
  <c r="E55" i="10"/>
  <c r="F54" i="10"/>
  <c r="E54" i="10"/>
  <c r="F53" i="10"/>
  <c r="E53" i="10"/>
  <c r="F52" i="10"/>
  <c r="E52" i="10"/>
  <c r="F51" i="10"/>
  <c r="E51" i="10"/>
  <c r="F50" i="10"/>
  <c r="E50" i="10"/>
  <c r="F48" i="10"/>
  <c r="D48" i="10"/>
  <c r="E48" i="10"/>
  <c r="C48" i="10"/>
  <c r="F47" i="10"/>
  <c r="D47" i="10"/>
  <c r="E47" i="10"/>
  <c r="C47" i="10"/>
  <c r="F46" i="10"/>
  <c r="E46" i="10"/>
  <c r="F45" i="10"/>
  <c r="E45" i="10"/>
  <c r="F44" i="10"/>
  <c r="E44" i="10"/>
  <c r="F43" i="10"/>
  <c r="E43" i="10"/>
  <c r="F42" i="10"/>
  <c r="E42" i="10"/>
  <c r="F41" i="10"/>
  <c r="E41" i="10"/>
  <c r="F40" i="10"/>
  <c r="E40" i="10"/>
  <c r="F39" i="10"/>
  <c r="E39" i="10"/>
  <c r="F38" i="10"/>
  <c r="E38" i="10"/>
  <c r="F36" i="10"/>
  <c r="D36" i="10"/>
  <c r="E36" i="10"/>
  <c r="C36" i="10"/>
  <c r="F35" i="10"/>
  <c r="D35" i="10"/>
  <c r="E35" i="10"/>
  <c r="C35" i="10"/>
  <c r="F34" i="10"/>
  <c r="E34" i="10"/>
  <c r="F33" i="10"/>
  <c r="E33" i="10"/>
  <c r="F32" i="10"/>
  <c r="E32" i="10"/>
  <c r="F31" i="10"/>
  <c r="E31" i="10"/>
  <c r="F30" i="10"/>
  <c r="E30" i="10"/>
  <c r="F29" i="10"/>
  <c r="E29" i="10"/>
  <c r="F28" i="10"/>
  <c r="E28" i="10"/>
  <c r="F27" i="10"/>
  <c r="E27" i="10"/>
  <c r="F26" i="10"/>
  <c r="E26" i="10"/>
  <c r="F24" i="10"/>
  <c r="D24" i="10"/>
  <c r="E24" i="10"/>
  <c r="C24" i="10"/>
  <c r="F23" i="10"/>
  <c r="D23" i="10"/>
  <c r="E23" i="10"/>
  <c r="C23" i="10"/>
  <c r="F22" i="10"/>
  <c r="E22" i="10"/>
  <c r="F21" i="10"/>
  <c r="E21" i="10"/>
  <c r="F20" i="10"/>
  <c r="E20" i="10"/>
  <c r="F19" i="10"/>
  <c r="E19" i="10"/>
  <c r="F18" i="10"/>
  <c r="E18" i="10"/>
  <c r="F17" i="10"/>
  <c r="E17" i="10"/>
  <c r="F16" i="10"/>
  <c r="E16" i="10"/>
  <c r="F15" i="10"/>
  <c r="E15" i="10"/>
  <c r="F14" i="10"/>
  <c r="E14" i="10"/>
  <c r="D206" i="9"/>
  <c r="E206" i="9"/>
  <c r="C206" i="9"/>
  <c r="F206" i="9"/>
  <c r="D205" i="9"/>
  <c r="E205" i="9"/>
  <c r="F205" i="9"/>
  <c r="C205" i="9"/>
  <c r="D204" i="9"/>
  <c r="E204" i="9"/>
  <c r="F204" i="9"/>
  <c r="C204" i="9"/>
  <c r="D203" i="9"/>
  <c r="E203" i="9"/>
  <c r="F203" i="9"/>
  <c r="C203" i="9"/>
  <c r="D202" i="9"/>
  <c r="E202" i="9"/>
  <c r="F202" i="9"/>
  <c r="C202" i="9"/>
  <c r="D201" i="9"/>
  <c r="E201" i="9"/>
  <c r="F201" i="9"/>
  <c r="C201" i="9"/>
  <c r="D200" i="9"/>
  <c r="E200" i="9"/>
  <c r="F200" i="9"/>
  <c r="C200" i="9"/>
  <c r="D199" i="9"/>
  <c r="D208" i="9"/>
  <c r="E208" i="9"/>
  <c r="C199" i="9"/>
  <c r="C208" i="9"/>
  <c r="D198" i="9"/>
  <c r="D207" i="9"/>
  <c r="E207" i="9"/>
  <c r="C198" i="9"/>
  <c r="C207" i="9"/>
  <c r="D193" i="9"/>
  <c r="E193" i="9"/>
  <c r="F193" i="9"/>
  <c r="C193" i="9"/>
  <c r="D192" i="9"/>
  <c r="E192" i="9"/>
  <c r="F192" i="9"/>
  <c r="C192" i="9"/>
  <c r="F191" i="9"/>
  <c r="E191" i="9"/>
  <c r="F190" i="9"/>
  <c r="E190" i="9"/>
  <c r="F189" i="9"/>
  <c r="E189" i="9"/>
  <c r="F188" i="9"/>
  <c r="E188" i="9"/>
  <c r="F187" i="9"/>
  <c r="E187" i="9"/>
  <c r="F186" i="9"/>
  <c r="E186" i="9"/>
  <c r="F185" i="9"/>
  <c r="E185" i="9"/>
  <c r="F184" i="9"/>
  <c r="E184" i="9"/>
  <c r="F183" i="9"/>
  <c r="E183" i="9"/>
  <c r="F180" i="9"/>
  <c r="D180" i="9"/>
  <c r="E180" i="9"/>
  <c r="C180" i="9"/>
  <c r="F179" i="9"/>
  <c r="D179" i="9"/>
  <c r="E179" i="9"/>
  <c r="C179" i="9"/>
  <c r="F178" i="9"/>
  <c r="E178" i="9"/>
  <c r="F177" i="9"/>
  <c r="E177" i="9"/>
  <c r="F176" i="9"/>
  <c r="E176" i="9"/>
  <c r="F175" i="9"/>
  <c r="E175" i="9"/>
  <c r="F174" i="9"/>
  <c r="E174" i="9"/>
  <c r="F173" i="9"/>
  <c r="E173" i="9"/>
  <c r="F172" i="9"/>
  <c r="E172" i="9"/>
  <c r="F171" i="9"/>
  <c r="E171" i="9"/>
  <c r="F170" i="9"/>
  <c r="E170" i="9"/>
  <c r="F167" i="9"/>
  <c r="D167" i="9"/>
  <c r="E167" i="9"/>
  <c r="C167" i="9"/>
  <c r="F166" i="9"/>
  <c r="D166" i="9"/>
  <c r="E166" i="9"/>
  <c r="C166" i="9"/>
  <c r="F165" i="9"/>
  <c r="E165" i="9"/>
  <c r="F164" i="9"/>
  <c r="E164" i="9"/>
  <c r="F163" i="9"/>
  <c r="E163" i="9"/>
  <c r="F162" i="9"/>
  <c r="E162" i="9"/>
  <c r="F161" i="9"/>
  <c r="E161" i="9"/>
  <c r="F160" i="9"/>
  <c r="E160" i="9"/>
  <c r="F159" i="9"/>
  <c r="E159" i="9"/>
  <c r="F158" i="9"/>
  <c r="E158" i="9"/>
  <c r="F157" i="9"/>
  <c r="E157" i="9"/>
  <c r="F154" i="9"/>
  <c r="D154" i="9"/>
  <c r="E154" i="9"/>
  <c r="C154" i="9"/>
  <c r="F153" i="9"/>
  <c r="D153" i="9"/>
  <c r="E153" i="9"/>
  <c r="C153" i="9"/>
  <c r="F152" i="9"/>
  <c r="E152" i="9"/>
  <c r="F151" i="9"/>
  <c r="E151" i="9"/>
  <c r="F150" i="9"/>
  <c r="E150" i="9"/>
  <c r="F149" i="9"/>
  <c r="E149" i="9"/>
  <c r="F148" i="9"/>
  <c r="E148" i="9"/>
  <c r="F147" i="9"/>
  <c r="E147" i="9"/>
  <c r="F146" i="9"/>
  <c r="E146" i="9"/>
  <c r="F145" i="9"/>
  <c r="E145" i="9"/>
  <c r="F144" i="9"/>
  <c r="E144" i="9"/>
  <c r="D141" i="9"/>
  <c r="E141" i="9"/>
  <c r="F141" i="9"/>
  <c r="C141" i="9"/>
  <c r="D140" i="9"/>
  <c r="E140" i="9"/>
  <c r="F140" i="9"/>
  <c r="C140" i="9"/>
  <c r="F139" i="9"/>
  <c r="E139" i="9"/>
  <c r="F138" i="9"/>
  <c r="E138" i="9"/>
  <c r="F137" i="9"/>
  <c r="E137" i="9"/>
  <c r="F136" i="9"/>
  <c r="E136" i="9"/>
  <c r="F135" i="9"/>
  <c r="E135" i="9"/>
  <c r="F134" i="9"/>
  <c r="E134" i="9"/>
  <c r="F133" i="9"/>
  <c r="E133" i="9"/>
  <c r="F132" i="9"/>
  <c r="E132" i="9"/>
  <c r="F131" i="9"/>
  <c r="E131" i="9"/>
  <c r="D128" i="9"/>
  <c r="E128" i="9"/>
  <c r="F128" i="9"/>
  <c r="C128" i="9"/>
  <c r="D127" i="9"/>
  <c r="E127" i="9"/>
  <c r="F127" i="9"/>
  <c r="C127" i="9"/>
  <c r="F126" i="9"/>
  <c r="E126" i="9"/>
  <c r="F125" i="9"/>
  <c r="E125" i="9"/>
  <c r="F124" i="9"/>
  <c r="E124" i="9"/>
  <c r="F123" i="9"/>
  <c r="E123" i="9"/>
  <c r="F122" i="9"/>
  <c r="E122" i="9"/>
  <c r="F121" i="9"/>
  <c r="E121" i="9"/>
  <c r="F120" i="9"/>
  <c r="E120" i="9"/>
  <c r="F119" i="9"/>
  <c r="E119" i="9"/>
  <c r="F118" i="9"/>
  <c r="E118" i="9"/>
  <c r="D115" i="9"/>
  <c r="E115" i="9"/>
  <c r="F115" i="9"/>
  <c r="C115" i="9"/>
  <c r="D114" i="9"/>
  <c r="E114" i="9"/>
  <c r="F114" i="9"/>
  <c r="C114" i="9"/>
  <c r="F113" i="9"/>
  <c r="E113" i="9"/>
  <c r="F112" i="9"/>
  <c r="E112" i="9"/>
  <c r="F111" i="9"/>
  <c r="E111" i="9"/>
  <c r="F110" i="9"/>
  <c r="E110" i="9"/>
  <c r="F109" i="9"/>
  <c r="E109" i="9"/>
  <c r="F108" i="9"/>
  <c r="E108" i="9"/>
  <c r="F107" i="9"/>
  <c r="E107" i="9"/>
  <c r="F106" i="9"/>
  <c r="E106" i="9"/>
  <c r="F105" i="9"/>
  <c r="E105" i="9"/>
  <c r="F102" i="9"/>
  <c r="D102" i="9"/>
  <c r="E102" i="9"/>
  <c r="C102" i="9"/>
  <c r="F101" i="9"/>
  <c r="D101" i="9"/>
  <c r="E101" i="9"/>
  <c r="C101" i="9"/>
  <c r="F100" i="9"/>
  <c r="E100" i="9"/>
  <c r="F99" i="9"/>
  <c r="E99" i="9"/>
  <c r="F98" i="9"/>
  <c r="E98" i="9"/>
  <c r="F97" i="9"/>
  <c r="E97" i="9"/>
  <c r="F96" i="9"/>
  <c r="E96" i="9"/>
  <c r="F95" i="9"/>
  <c r="E95" i="9"/>
  <c r="F94" i="9"/>
  <c r="E94" i="9"/>
  <c r="F93" i="9"/>
  <c r="E93" i="9"/>
  <c r="F92" i="9"/>
  <c r="E92" i="9"/>
  <c r="D89" i="9"/>
  <c r="E89" i="9"/>
  <c r="F89" i="9"/>
  <c r="C89" i="9"/>
  <c r="D88" i="9"/>
  <c r="E88" i="9"/>
  <c r="F88" i="9"/>
  <c r="C88" i="9"/>
  <c r="F87" i="9"/>
  <c r="E87" i="9"/>
  <c r="F86" i="9"/>
  <c r="E86" i="9"/>
  <c r="F85" i="9"/>
  <c r="E85" i="9"/>
  <c r="F84" i="9"/>
  <c r="E84" i="9"/>
  <c r="F83" i="9"/>
  <c r="E83" i="9"/>
  <c r="F82" i="9"/>
  <c r="E82" i="9"/>
  <c r="F81" i="9"/>
  <c r="E81" i="9"/>
  <c r="F80" i="9"/>
  <c r="E80" i="9"/>
  <c r="F79" i="9"/>
  <c r="E79" i="9"/>
  <c r="D76" i="9"/>
  <c r="E76" i="9"/>
  <c r="F76" i="9"/>
  <c r="C76" i="9"/>
  <c r="D75" i="9"/>
  <c r="E75" i="9"/>
  <c r="F75" i="9"/>
  <c r="C75" i="9"/>
  <c r="F74" i="9"/>
  <c r="E74" i="9"/>
  <c r="F73" i="9"/>
  <c r="E73" i="9"/>
  <c r="F72" i="9"/>
  <c r="E72" i="9"/>
  <c r="F71" i="9"/>
  <c r="E71" i="9"/>
  <c r="F70" i="9"/>
  <c r="E70" i="9"/>
  <c r="F69" i="9"/>
  <c r="E69" i="9"/>
  <c r="F68" i="9"/>
  <c r="E68" i="9"/>
  <c r="F67" i="9"/>
  <c r="E67" i="9"/>
  <c r="F66" i="9"/>
  <c r="E66" i="9"/>
  <c r="F63" i="9"/>
  <c r="D63" i="9"/>
  <c r="E63" i="9"/>
  <c r="C63" i="9"/>
  <c r="F62" i="9"/>
  <c r="D62" i="9"/>
  <c r="E62" i="9"/>
  <c r="C62" i="9"/>
  <c r="F61" i="9"/>
  <c r="E61" i="9"/>
  <c r="F60" i="9"/>
  <c r="E60" i="9"/>
  <c r="F59" i="9"/>
  <c r="E59" i="9"/>
  <c r="F58" i="9"/>
  <c r="E58" i="9"/>
  <c r="F57" i="9"/>
  <c r="E57" i="9"/>
  <c r="F56" i="9"/>
  <c r="E56" i="9"/>
  <c r="F55" i="9"/>
  <c r="E55" i="9"/>
  <c r="F54" i="9"/>
  <c r="E54" i="9"/>
  <c r="F53" i="9"/>
  <c r="E53" i="9"/>
  <c r="D50" i="9"/>
  <c r="E50" i="9"/>
  <c r="F50" i="9"/>
  <c r="C50" i="9"/>
  <c r="D49" i="9"/>
  <c r="E49" i="9"/>
  <c r="F49" i="9"/>
  <c r="C49" i="9"/>
  <c r="F48" i="9"/>
  <c r="E48" i="9"/>
  <c r="F47" i="9"/>
  <c r="E47" i="9"/>
  <c r="F46" i="9"/>
  <c r="E46" i="9"/>
  <c r="F45" i="9"/>
  <c r="E45" i="9"/>
  <c r="F44" i="9"/>
  <c r="E44" i="9"/>
  <c r="F43" i="9"/>
  <c r="E43" i="9"/>
  <c r="F42" i="9"/>
  <c r="E42" i="9"/>
  <c r="F41" i="9"/>
  <c r="E41" i="9"/>
  <c r="F40" i="9"/>
  <c r="E40" i="9"/>
  <c r="F37" i="9"/>
  <c r="D37" i="9"/>
  <c r="E37" i="9"/>
  <c r="C37" i="9"/>
  <c r="F36" i="9"/>
  <c r="D36" i="9"/>
  <c r="E36" i="9"/>
  <c r="C36" i="9"/>
  <c r="F35" i="9"/>
  <c r="E35" i="9"/>
  <c r="F34" i="9"/>
  <c r="E34" i="9"/>
  <c r="F33" i="9"/>
  <c r="E33" i="9"/>
  <c r="F32" i="9"/>
  <c r="E32" i="9"/>
  <c r="F31" i="9"/>
  <c r="E31" i="9"/>
  <c r="F30" i="9"/>
  <c r="E30" i="9"/>
  <c r="F29" i="9"/>
  <c r="E29" i="9"/>
  <c r="F28" i="9"/>
  <c r="E28" i="9"/>
  <c r="F27" i="9"/>
  <c r="E27" i="9"/>
  <c r="D24" i="9"/>
  <c r="E24" i="9"/>
  <c r="F24" i="9"/>
  <c r="C24" i="9"/>
  <c r="D23" i="9"/>
  <c r="E23" i="9"/>
  <c r="F23" i="9"/>
  <c r="C23" i="9"/>
  <c r="F22" i="9"/>
  <c r="E22" i="9"/>
  <c r="F21" i="9"/>
  <c r="E21" i="9"/>
  <c r="F20" i="9"/>
  <c r="E20" i="9"/>
  <c r="F19" i="9"/>
  <c r="E19" i="9"/>
  <c r="F18" i="9"/>
  <c r="E18" i="9"/>
  <c r="F17" i="9"/>
  <c r="E17" i="9"/>
  <c r="F16" i="9"/>
  <c r="E16" i="9"/>
  <c r="F15" i="9"/>
  <c r="E15" i="9"/>
  <c r="F14" i="9"/>
  <c r="E14" i="9"/>
  <c r="E191" i="8"/>
  <c r="D191" i="8"/>
  <c r="C191" i="8"/>
  <c r="E176" i="8"/>
  <c r="D176" i="8"/>
  <c r="C176" i="8"/>
  <c r="E164" i="8"/>
  <c r="D164" i="8"/>
  <c r="D160" i="8"/>
  <c r="D166" i="8"/>
  <c r="C164" i="8"/>
  <c r="E162" i="8"/>
  <c r="D162" i="8"/>
  <c r="C162" i="8"/>
  <c r="E161" i="8"/>
  <c r="D161" i="8"/>
  <c r="C161" i="8"/>
  <c r="E160" i="8"/>
  <c r="E166" i="8"/>
  <c r="C160" i="8"/>
  <c r="C166" i="8"/>
  <c r="E147" i="8"/>
  <c r="D147" i="8"/>
  <c r="D143" i="8"/>
  <c r="D149" i="8"/>
  <c r="C147" i="8"/>
  <c r="E145" i="8"/>
  <c r="D145" i="8"/>
  <c r="C145" i="8"/>
  <c r="E144" i="8"/>
  <c r="D144" i="8"/>
  <c r="C144" i="8"/>
  <c r="E143" i="8"/>
  <c r="E149" i="8"/>
  <c r="C143" i="8"/>
  <c r="C149" i="8"/>
  <c r="E126" i="8"/>
  <c r="D126" i="8"/>
  <c r="C126" i="8"/>
  <c r="E119" i="8"/>
  <c r="D119" i="8"/>
  <c r="C119" i="8"/>
  <c r="E108" i="8"/>
  <c r="D108" i="8"/>
  <c r="C108" i="8"/>
  <c r="E107" i="8"/>
  <c r="E109" i="8"/>
  <c r="E106" i="8"/>
  <c r="D107" i="8"/>
  <c r="D109" i="8"/>
  <c r="D106" i="8"/>
  <c r="C107" i="8"/>
  <c r="C109" i="8"/>
  <c r="C106" i="8"/>
  <c r="E104" i="8"/>
  <c r="C104" i="8"/>
  <c r="E102" i="8"/>
  <c r="D102" i="8"/>
  <c r="D104" i="8"/>
  <c r="C102" i="8"/>
  <c r="E100" i="8"/>
  <c r="D100" i="8"/>
  <c r="C100" i="8"/>
  <c r="E95" i="8"/>
  <c r="E94" i="8"/>
  <c r="D95" i="8"/>
  <c r="C95" i="8"/>
  <c r="C94" i="8"/>
  <c r="D94" i="8"/>
  <c r="E89" i="8"/>
  <c r="D89" i="8"/>
  <c r="C89" i="8"/>
  <c r="E88" i="8"/>
  <c r="E90" i="8"/>
  <c r="E86" i="8"/>
  <c r="C88" i="8"/>
  <c r="C90" i="8"/>
  <c r="C86" i="8"/>
  <c r="E87" i="8"/>
  <c r="D87" i="8"/>
  <c r="C87" i="8"/>
  <c r="E84" i="8"/>
  <c r="D84" i="8"/>
  <c r="C84" i="8"/>
  <c r="E83" i="8"/>
  <c r="E79" i="8"/>
  <c r="D83" i="8"/>
  <c r="C83" i="8"/>
  <c r="C79" i="8"/>
  <c r="D79" i="8"/>
  <c r="E77" i="8"/>
  <c r="E71" i="8"/>
  <c r="C77" i="8"/>
  <c r="C71" i="8"/>
  <c r="E75" i="8"/>
  <c r="D75" i="8"/>
  <c r="D88" i="8"/>
  <c r="D90" i="8"/>
  <c r="D86" i="8"/>
  <c r="C75" i="8"/>
  <c r="E74" i="8"/>
  <c r="D74" i="8"/>
  <c r="C74" i="8"/>
  <c r="E67" i="8"/>
  <c r="D67" i="8"/>
  <c r="C67" i="8"/>
  <c r="D53" i="8"/>
  <c r="D43" i="8"/>
  <c r="E38" i="8"/>
  <c r="E57" i="8"/>
  <c r="E62" i="8"/>
  <c r="D38" i="8"/>
  <c r="D57" i="8"/>
  <c r="D62" i="8"/>
  <c r="C38" i="8"/>
  <c r="C57" i="8"/>
  <c r="C62" i="8"/>
  <c r="E33" i="8"/>
  <c r="E34" i="8"/>
  <c r="D33" i="8"/>
  <c r="D34" i="8"/>
  <c r="E26" i="8"/>
  <c r="D26" i="8"/>
  <c r="C26" i="8"/>
  <c r="E25" i="8"/>
  <c r="E27" i="8"/>
  <c r="C25" i="8"/>
  <c r="C27" i="8"/>
  <c r="E15" i="8"/>
  <c r="E24" i="8"/>
  <c r="C15" i="8"/>
  <c r="C24" i="8"/>
  <c r="E13" i="8"/>
  <c r="D13" i="8"/>
  <c r="D25" i="8"/>
  <c r="D27" i="8"/>
  <c r="C13" i="8"/>
  <c r="F186" i="7"/>
  <c r="E186" i="7"/>
  <c r="D183" i="7"/>
  <c r="D188" i="7"/>
  <c r="E188" i="7"/>
  <c r="C183" i="7"/>
  <c r="C188" i="7"/>
  <c r="F182" i="7"/>
  <c r="E182" i="7"/>
  <c r="F181" i="7"/>
  <c r="E181" i="7"/>
  <c r="F180" i="7"/>
  <c r="E180" i="7"/>
  <c r="F179" i="7"/>
  <c r="E179" i="7"/>
  <c r="F178" i="7"/>
  <c r="E178" i="7"/>
  <c r="F177" i="7"/>
  <c r="E177" i="7"/>
  <c r="F176" i="7"/>
  <c r="E176" i="7"/>
  <c r="F175" i="7"/>
  <c r="E175" i="7"/>
  <c r="F174" i="7"/>
  <c r="E174" i="7"/>
  <c r="F173" i="7"/>
  <c r="E173" i="7"/>
  <c r="F172" i="7"/>
  <c r="E172" i="7"/>
  <c r="F171" i="7"/>
  <c r="E171" i="7"/>
  <c r="F170" i="7"/>
  <c r="E170" i="7"/>
  <c r="D167" i="7"/>
  <c r="E167" i="7"/>
  <c r="F167" i="7"/>
  <c r="C167" i="7"/>
  <c r="F166" i="7"/>
  <c r="E166" i="7"/>
  <c r="F165" i="7"/>
  <c r="E165" i="7"/>
  <c r="F164" i="7"/>
  <c r="E164" i="7"/>
  <c r="F163" i="7"/>
  <c r="E163" i="7"/>
  <c r="F162" i="7"/>
  <c r="E162" i="7"/>
  <c r="F161" i="7"/>
  <c r="E161" i="7"/>
  <c r="F160" i="7"/>
  <c r="E160" i="7"/>
  <c r="F159" i="7"/>
  <c r="E159" i="7"/>
  <c r="F158" i="7"/>
  <c r="E158" i="7"/>
  <c r="F157" i="7"/>
  <c r="E157" i="7"/>
  <c r="F156" i="7"/>
  <c r="E156" i="7"/>
  <c r="F155" i="7"/>
  <c r="E155" i="7"/>
  <c r="F154" i="7"/>
  <c r="E154" i="7"/>
  <c r="F153" i="7"/>
  <c r="E153" i="7"/>
  <c r="F152" i="7"/>
  <c r="E152" i="7"/>
  <c r="F151" i="7"/>
  <c r="E151" i="7"/>
  <c r="F150" i="7"/>
  <c r="E150" i="7"/>
  <c r="F149" i="7"/>
  <c r="E149" i="7"/>
  <c r="F148" i="7"/>
  <c r="E148" i="7"/>
  <c r="F147" i="7"/>
  <c r="E147" i="7"/>
  <c r="F146" i="7"/>
  <c r="E146" i="7"/>
  <c r="F145" i="7"/>
  <c r="E145" i="7"/>
  <c r="F144" i="7"/>
  <c r="E144" i="7"/>
  <c r="F143" i="7"/>
  <c r="E143" i="7"/>
  <c r="F142" i="7"/>
  <c r="E142" i="7"/>
  <c r="F141" i="7"/>
  <c r="E141" i="7"/>
  <c r="F140" i="7"/>
  <c r="E140" i="7"/>
  <c r="F139" i="7"/>
  <c r="E139" i="7"/>
  <c r="F138" i="7"/>
  <c r="E138" i="7"/>
  <c r="F137" i="7"/>
  <c r="E137" i="7"/>
  <c r="F136" i="7"/>
  <c r="E136" i="7"/>
  <c r="F135" i="7"/>
  <c r="E135" i="7"/>
  <c r="F134" i="7"/>
  <c r="E134" i="7"/>
  <c r="F133" i="7"/>
  <c r="E133" i="7"/>
  <c r="D130" i="7"/>
  <c r="E130" i="7"/>
  <c r="F130" i="7"/>
  <c r="C130" i="7"/>
  <c r="F129" i="7"/>
  <c r="E129" i="7"/>
  <c r="F128" i="7"/>
  <c r="E128" i="7"/>
  <c r="F127" i="7"/>
  <c r="E127" i="7"/>
  <c r="F126" i="7"/>
  <c r="E126" i="7"/>
  <c r="F125" i="7"/>
  <c r="E125" i="7"/>
  <c r="F124" i="7"/>
  <c r="E124" i="7"/>
  <c r="D121" i="7"/>
  <c r="E121" i="7"/>
  <c r="F121" i="7"/>
  <c r="C121" i="7"/>
  <c r="F120" i="7"/>
  <c r="E120" i="7"/>
  <c r="F119" i="7"/>
  <c r="E119" i="7"/>
  <c r="F118" i="7"/>
  <c r="E118" i="7"/>
  <c r="F117" i="7"/>
  <c r="E117" i="7"/>
  <c r="F116" i="7"/>
  <c r="E116" i="7"/>
  <c r="F115" i="7"/>
  <c r="E115" i="7"/>
  <c r="F114" i="7"/>
  <c r="E114" i="7"/>
  <c r="F113" i="7"/>
  <c r="E113" i="7"/>
  <c r="F112" i="7"/>
  <c r="E112" i="7"/>
  <c r="F111" i="7"/>
  <c r="E111" i="7"/>
  <c r="F110" i="7"/>
  <c r="E110" i="7"/>
  <c r="F109" i="7"/>
  <c r="E109" i="7"/>
  <c r="F108" i="7"/>
  <c r="E108" i="7"/>
  <c r="F107" i="7"/>
  <c r="E107" i="7"/>
  <c r="F106" i="7"/>
  <c r="E106" i="7"/>
  <c r="F105" i="7"/>
  <c r="E105" i="7"/>
  <c r="F104" i="7"/>
  <c r="E104" i="7"/>
  <c r="F103" i="7"/>
  <c r="E103" i="7"/>
  <c r="F93" i="7"/>
  <c r="E93" i="7"/>
  <c r="D90" i="7"/>
  <c r="D95" i="7"/>
  <c r="E95" i="7"/>
  <c r="C90" i="7"/>
  <c r="C95" i="7"/>
  <c r="F89" i="7"/>
  <c r="E89" i="7"/>
  <c r="F88" i="7"/>
  <c r="E88" i="7"/>
  <c r="F87" i="7"/>
  <c r="E87" i="7"/>
  <c r="F86" i="7"/>
  <c r="E86" i="7"/>
  <c r="F85" i="7"/>
  <c r="E85" i="7"/>
  <c r="F84" i="7"/>
  <c r="E84" i="7"/>
  <c r="F83" i="7"/>
  <c r="E83" i="7"/>
  <c r="F82" i="7"/>
  <c r="E82" i="7"/>
  <c r="F81" i="7"/>
  <c r="E81" i="7"/>
  <c r="F80" i="7"/>
  <c r="E80" i="7"/>
  <c r="F79" i="7"/>
  <c r="E79" i="7"/>
  <c r="F78" i="7"/>
  <c r="E78" i="7"/>
  <c r="F77" i="7"/>
  <c r="E77" i="7"/>
  <c r="F76" i="7"/>
  <c r="E76" i="7"/>
  <c r="F75" i="7"/>
  <c r="E75" i="7"/>
  <c r="F74" i="7"/>
  <c r="E74" i="7"/>
  <c r="F73" i="7"/>
  <c r="E73" i="7"/>
  <c r="F72" i="7"/>
  <c r="E72" i="7"/>
  <c r="F71" i="7"/>
  <c r="E71" i="7"/>
  <c r="F70" i="7"/>
  <c r="E70" i="7"/>
  <c r="F69" i="7"/>
  <c r="E69" i="7"/>
  <c r="F68" i="7"/>
  <c r="E68" i="7"/>
  <c r="F67" i="7"/>
  <c r="E67" i="7"/>
  <c r="F66" i="7"/>
  <c r="E66" i="7"/>
  <c r="F65" i="7"/>
  <c r="E65" i="7"/>
  <c r="F64" i="7"/>
  <c r="E64" i="7"/>
  <c r="F63" i="7"/>
  <c r="E63" i="7"/>
  <c r="F62" i="7"/>
  <c r="E62" i="7"/>
  <c r="D59" i="7"/>
  <c r="E59" i="7"/>
  <c r="F59" i="7"/>
  <c r="C59" i="7"/>
  <c r="F58" i="7"/>
  <c r="E58" i="7"/>
  <c r="F57" i="7"/>
  <c r="E57" i="7"/>
  <c r="F56" i="7"/>
  <c r="E56" i="7"/>
  <c r="F55" i="7"/>
  <c r="E55" i="7"/>
  <c r="F54" i="7"/>
  <c r="E54" i="7"/>
  <c r="F53" i="7"/>
  <c r="E53" i="7"/>
  <c r="F50" i="7"/>
  <c r="E50" i="7"/>
  <c r="F47" i="7"/>
  <c r="E47" i="7"/>
  <c r="F44" i="7"/>
  <c r="E44" i="7"/>
  <c r="D41" i="7"/>
  <c r="E41" i="7"/>
  <c r="F41" i="7"/>
  <c r="C41" i="7"/>
  <c r="F40" i="7"/>
  <c r="E40" i="7"/>
  <c r="F39" i="7"/>
  <c r="E39" i="7"/>
  <c r="F38" i="7"/>
  <c r="E38" i="7"/>
  <c r="D35" i="7"/>
  <c r="E35" i="7"/>
  <c r="F35" i="7"/>
  <c r="C35" i="7"/>
  <c r="F34" i="7"/>
  <c r="E34" i="7"/>
  <c r="F33" i="7"/>
  <c r="E33" i="7"/>
  <c r="D30" i="7"/>
  <c r="E30" i="7"/>
  <c r="F30" i="7"/>
  <c r="C30" i="7"/>
  <c r="F29" i="7"/>
  <c r="E29" i="7"/>
  <c r="F28" i="7"/>
  <c r="E28" i="7"/>
  <c r="F27" i="7"/>
  <c r="E27" i="7"/>
  <c r="D24" i="7"/>
  <c r="E24" i="7"/>
  <c r="F24" i="7"/>
  <c r="C24" i="7"/>
  <c r="F23" i="7"/>
  <c r="E23" i="7"/>
  <c r="F22" i="7"/>
  <c r="E22" i="7"/>
  <c r="F21" i="7"/>
  <c r="E21" i="7"/>
  <c r="D18" i="7"/>
  <c r="E18" i="7"/>
  <c r="F18" i="7"/>
  <c r="C18" i="7"/>
  <c r="F17" i="7"/>
  <c r="E17" i="7"/>
  <c r="F16" i="7"/>
  <c r="E16" i="7"/>
  <c r="F15" i="7"/>
  <c r="E15" i="7"/>
  <c r="D179" i="6"/>
  <c r="E179" i="6"/>
  <c r="C179" i="6"/>
  <c r="F178" i="6"/>
  <c r="E178" i="6"/>
  <c r="F177" i="6"/>
  <c r="E177" i="6"/>
  <c r="F176" i="6"/>
  <c r="E176" i="6"/>
  <c r="F175" i="6"/>
  <c r="E175" i="6"/>
  <c r="F174" i="6"/>
  <c r="E174" i="6"/>
  <c r="F173" i="6"/>
  <c r="E173" i="6"/>
  <c r="F172" i="6"/>
  <c r="E172" i="6"/>
  <c r="F171" i="6"/>
  <c r="E171" i="6"/>
  <c r="F170" i="6"/>
  <c r="E170" i="6"/>
  <c r="F169" i="6"/>
  <c r="E169" i="6"/>
  <c r="F168" i="6"/>
  <c r="E168" i="6"/>
  <c r="D166" i="6"/>
  <c r="E166" i="6"/>
  <c r="F166" i="6"/>
  <c r="C166" i="6"/>
  <c r="F165" i="6"/>
  <c r="E165" i="6"/>
  <c r="F164" i="6"/>
  <c r="E164" i="6"/>
  <c r="F163" i="6"/>
  <c r="E163" i="6"/>
  <c r="F162" i="6"/>
  <c r="E162" i="6"/>
  <c r="F161" i="6"/>
  <c r="E161" i="6"/>
  <c r="F160" i="6"/>
  <c r="E160" i="6"/>
  <c r="F159" i="6"/>
  <c r="E159" i="6"/>
  <c r="F158" i="6"/>
  <c r="E158" i="6"/>
  <c r="F157" i="6"/>
  <c r="E157" i="6"/>
  <c r="F156" i="6"/>
  <c r="E156" i="6"/>
  <c r="F155" i="6"/>
  <c r="E155" i="6"/>
  <c r="D153" i="6"/>
  <c r="E153" i="6"/>
  <c r="F153" i="6"/>
  <c r="C153" i="6"/>
  <c r="F152" i="6"/>
  <c r="E152" i="6"/>
  <c r="F151" i="6"/>
  <c r="E151" i="6"/>
  <c r="F150" i="6"/>
  <c r="E150" i="6"/>
  <c r="F149" i="6"/>
  <c r="E149" i="6"/>
  <c r="F148" i="6"/>
  <c r="E148" i="6"/>
  <c r="F147" i="6"/>
  <c r="E147" i="6"/>
  <c r="F146" i="6"/>
  <c r="E146" i="6"/>
  <c r="F145" i="6"/>
  <c r="E145" i="6"/>
  <c r="F144" i="6"/>
  <c r="E144" i="6"/>
  <c r="F143" i="6"/>
  <c r="E143" i="6"/>
  <c r="F142" i="6"/>
  <c r="E142" i="6"/>
  <c r="D137" i="6"/>
  <c r="E137" i="6"/>
  <c r="F137" i="6"/>
  <c r="C137" i="6"/>
  <c r="F136" i="6"/>
  <c r="E136" i="6"/>
  <c r="F135" i="6"/>
  <c r="E135" i="6"/>
  <c r="F134" i="6"/>
  <c r="E134" i="6"/>
  <c r="F133" i="6"/>
  <c r="E133" i="6"/>
  <c r="F132" i="6"/>
  <c r="E132" i="6"/>
  <c r="F131" i="6"/>
  <c r="E131" i="6"/>
  <c r="F130" i="6"/>
  <c r="E130" i="6"/>
  <c r="F129" i="6"/>
  <c r="E129" i="6"/>
  <c r="F128" i="6"/>
  <c r="E128" i="6"/>
  <c r="F127" i="6"/>
  <c r="E127" i="6"/>
  <c r="F126" i="6"/>
  <c r="E126" i="6"/>
  <c r="D124" i="6"/>
  <c r="E124" i="6"/>
  <c r="F124" i="6"/>
  <c r="C124" i="6"/>
  <c r="F123" i="6"/>
  <c r="E123" i="6"/>
  <c r="F122" i="6"/>
  <c r="E122" i="6"/>
  <c r="F121" i="6"/>
  <c r="E121" i="6"/>
  <c r="F120" i="6"/>
  <c r="E120" i="6"/>
  <c r="F119" i="6"/>
  <c r="E119" i="6"/>
  <c r="F118" i="6"/>
  <c r="E118" i="6"/>
  <c r="F117" i="6"/>
  <c r="E117" i="6"/>
  <c r="F116" i="6"/>
  <c r="E116" i="6"/>
  <c r="F115" i="6"/>
  <c r="E115" i="6"/>
  <c r="F114" i="6"/>
  <c r="E114" i="6"/>
  <c r="F113" i="6"/>
  <c r="E113" i="6"/>
  <c r="D111" i="6"/>
  <c r="E111" i="6"/>
  <c r="F111" i="6"/>
  <c r="C111" i="6"/>
  <c r="F110" i="6"/>
  <c r="E110" i="6"/>
  <c r="F109" i="6"/>
  <c r="E109" i="6"/>
  <c r="F108" i="6"/>
  <c r="E108" i="6"/>
  <c r="F107" i="6"/>
  <c r="E107" i="6"/>
  <c r="F106" i="6"/>
  <c r="E106" i="6"/>
  <c r="F105" i="6"/>
  <c r="E105" i="6"/>
  <c r="F104" i="6"/>
  <c r="E104" i="6"/>
  <c r="F103" i="6"/>
  <c r="E103" i="6"/>
  <c r="F102" i="6"/>
  <c r="E102" i="6"/>
  <c r="F101" i="6"/>
  <c r="E101" i="6"/>
  <c r="F100" i="6"/>
  <c r="E100" i="6"/>
  <c r="D94" i="6"/>
  <c r="E94" i="6"/>
  <c r="F94" i="6"/>
  <c r="C94" i="6"/>
  <c r="F93" i="6"/>
  <c r="D93" i="6"/>
  <c r="E93" i="6"/>
  <c r="C93" i="6"/>
  <c r="D92" i="6"/>
  <c r="E92" i="6"/>
  <c r="F92" i="6"/>
  <c r="C92" i="6"/>
  <c r="D91" i="6"/>
  <c r="E91" i="6"/>
  <c r="F91" i="6"/>
  <c r="C91" i="6"/>
  <c r="D90" i="6"/>
  <c r="E90" i="6"/>
  <c r="F90" i="6"/>
  <c r="C90" i="6"/>
  <c r="D89" i="6"/>
  <c r="E89" i="6"/>
  <c r="F89" i="6"/>
  <c r="C89" i="6"/>
  <c r="D88" i="6"/>
  <c r="E88" i="6"/>
  <c r="F88" i="6"/>
  <c r="C88" i="6"/>
  <c r="F87" i="6"/>
  <c r="D87" i="6"/>
  <c r="E87" i="6"/>
  <c r="C87" i="6"/>
  <c r="D86" i="6"/>
  <c r="E86" i="6"/>
  <c r="F86" i="6"/>
  <c r="C86" i="6"/>
  <c r="D85" i="6"/>
  <c r="E85" i="6"/>
  <c r="F85" i="6"/>
  <c r="C85" i="6"/>
  <c r="D84" i="6"/>
  <c r="D95" i="6"/>
  <c r="E95" i="6"/>
  <c r="C84" i="6"/>
  <c r="C95" i="6"/>
  <c r="D81" i="6"/>
  <c r="E81" i="6"/>
  <c r="F81" i="6"/>
  <c r="C81" i="6"/>
  <c r="F80" i="6"/>
  <c r="E80" i="6"/>
  <c r="F79" i="6"/>
  <c r="E79" i="6"/>
  <c r="F78" i="6"/>
  <c r="E78" i="6"/>
  <c r="F77" i="6"/>
  <c r="E77" i="6"/>
  <c r="F76" i="6"/>
  <c r="E76" i="6"/>
  <c r="F75" i="6"/>
  <c r="E75" i="6"/>
  <c r="F74" i="6"/>
  <c r="E74" i="6"/>
  <c r="F73" i="6"/>
  <c r="E73" i="6"/>
  <c r="F72" i="6"/>
  <c r="E72" i="6"/>
  <c r="F71" i="6"/>
  <c r="E71" i="6"/>
  <c r="F70" i="6"/>
  <c r="E70" i="6"/>
  <c r="D68" i="6"/>
  <c r="E68" i="6"/>
  <c r="F68" i="6"/>
  <c r="C68" i="6"/>
  <c r="F67" i="6"/>
  <c r="E67" i="6"/>
  <c r="F66" i="6"/>
  <c r="E66" i="6"/>
  <c r="F65" i="6"/>
  <c r="E65" i="6"/>
  <c r="F64" i="6"/>
  <c r="E64" i="6"/>
  <c r="F63" i="6"/>
  <c r="E63" i="6"/>
  <c r="F62" i="6"/>
  <c r="E62" i="6"/>
  <c r="F61" i="6"/>
  <c r="E61" i="6"/>
  <c r="F60" i="6"/>
  <c r="E60" i="6"/>
  <c r="F59" i="6"/>
  <c r="E59" i="6"/>
  <c r="F58" i="6"/>
  <c r="E58" i="6"/>
  <c r="F57" i="6"/>
  <c r="E57" i="6"/>
  <c r="D51" i="6"/>
  <c r="E51" i="6"/>
  <c r="F51" i="6"/>
  <c r="C51" i="6"/>
  <c r="F50" i="6"/>
  <c r="D50" i="6"/>
  <c r="E50" i="6"/>
  <c r="C50" i="6"/>
  <c r="D49" i="6"/>
  <c r="E49" i="6"/>
  <c r="F49" i="6"/>
  <c r="C49" i="6"/>
  <c r="D48" i="6"/>
  <c r="E48" i="6"/>
  <c r="F48" i="6"/>
  <c r="C48" i="6"/>
  <c r="D47" i="6"/>
  <c r="E47" i="6"/>
  <c r="F47" i="6"/>
  <c r="C47" i="6"/>
  <c r="D46" i="6"/>
  <c r="E46" i="6"/>
  <c r="F46" i="6"/>
  <c r="C46" i="6"/>
  <c r="D45" i="6"/>
  <c r="E45" i="6"/>
  <c r="F45" i="6"/>
  <c r="C45" i="6"/>
  <c r="F44" i="6"/>
  <c r="D44" i="6"/>
  <c r="E44" i="6"/>
  <c r="C44" i="6"/>
  <c r="D43" i="6"/>
  <c r="E43" i="6"/>
  <c r="F43" i="6"/>
  <c r="C43" i="6"/>
  <c r="D42" i="6"/>
  <c r="E42" i="6"/>
  <c r="F42" i="6"/>
  <c r="C42" i="6"/>
  <c r="D41" i="6"/>
  <c r="D52" i="6"/>
  <c r="E52" i="6"/>
  <c r="C41" i="6"/>
  <c r="C52" i="6"/>
  <c r="D38" i="6"/>
  <c r="E38" i="6"/>
  <c r="F38" i="6"/>
  <c r="C38" i="6"/>
  <c r="F37" i="6"/>
  <c r="E37" i="6"/>
  <c r="F36" i="6"/>
  <c r="E36" i="6"/>
  <c r="F35" i="6"/>
  <c r="E35" i="6"/>
  <c r="F34" i="6"/>
  <c r="E34" i="6"/>
  <c r="F33" i="6"/>
  <c r="E33" i="6"/>
  <c r="F32" i="6"/>
  <c r="E32" i="6"/>
  <c r="F31" i="6"/>
  <c r="E31" i="6"/>
  <c r="F30" i="6"/>
  <c r="E30" i="6"/>
  <c r="F29" i="6"/>
  <c r="E29" i="6"/>
  <c r="F28" i="6"/>
  <c r="E28" i="6"/>
  <c r="F27" i="6"/>
  <c r="E27" i="6"/>
  <c r="D25" i="6"/>
  <c r="E25" i="6"/>
  <c r="F25" i="6"/>
  <c r="C25" i="6"/>
  <c r="F24" i="6"/>
  <c r="E24" i="6"/>
  <c r="F23" i="6"/>
  <c r="E23" i="6"/>
  <c r="F22" i="6"/>
  <c r="E22" i="6"/>
  <c r="F21" i="6"/>
  <c r="E21" i="6"/>
  <c r="F20" i="6"/>
  <c r="E20" i="6"/>
  <c r="F19" i="6"/>
  <c r="E19" i="6"/>
  <c r="F18" i="6"/>
  <c r="E18" i="6"/>
  <c r="F17" i="6"/>
  <c r="E17" i="6"/>
  <c r="F16" i="6"/>
  <c r="E16" i="6"/>
  <c r="F15" i="6"/>
  <c r="E15" i="6"/>
  <c r="F14" i="6"/>
  <c r="E14" i="6"/>
  <c r="F51" i="5"/>
  <c r="E51" i="5"/>
  <c r="F48" i="5"/>
  <c r="D48" i="5"/>
  <c r="E48" i="5"/>
  <c r="C48" i="5"/>
  <c r="F47" i="5"/>
  <c r="E47" i="5"/>
  <c r="F46" i="5"/>
  <c r="E46" i="5"/>
  <c r="F41" i="5"/>
  <c r="D41" i="5"/>
  <c r="E41" i="5"/>
  <c r="C41" i="5"/>
  <c r="F40" i="5"/>
  <c r="E40" i="5"/>
  <c r="F39" i="5"/>
  <c r="E39" i="5"/>
  <c r="F38" i="5"/>
  <c r="E38" i="5"/>
  <c r="D33" i="5"/>
  <c r="E33" i="5"/>
  <c r="F33" i="5"/>
  <c r="C33" i="5"/>
  <c r="F32" i="5"/>
  <c r="E32" i="5"/>
  <c r="F31" i="5"/>
  <c r="E31" i="5"/>
  <c r="F30" i="5"/>
  <c r="E30" i="5"/>
  <c r="F29" i="5"/>
  <c r="E29" i="5"/>
  <c r="F28" i="5"/>
  <c r="E28" i="5"/>
  <c r="F27" i="5"/>
  <c r="E27" i="5"/>
  <c r="F26" i="5"/>
  <c r="E26" i="5"/>
  <c r="F25" i="5"/>
  <c r="E25" i="5"/>
  <c r="F24" i="5"/>
  <c r="E24" i="5"/>
  <c r="F20" i="5"/>
  <c r="E20" i="5"/>
  <c r="F19" i="5"/>
  <c r="E19" i="5"/>
  <c r="F17" i="5"/>
  <c r="E17" i="5"/>
  <c r="D16" i="5"/>
  <c r="D18" i="5"/>
  <c r="C16" i="5"/>
  <c r="C18" i="5"/>
  <c r="F15" i="5"/>
  <c r="E15" i="5"/>
  <c r="F14" i="5"/>
  <c r="E14" i="5"/>
  <c r="F13" i="5"/>
  <c r="E13" i="5"/>
  <c r="F12" i="5"/>
  <c r="E12" i="5"/>
  <c r="D73" i="4"/>
  <c r="E73" i="4"/>
  <c r="F73" i="4"/>
  <c r="C73" i="4"/>
  <c r="F72" i="4"/>
  <c r="E72" i="4"/>
  <c r="F71" i="4"/>
  <c r="E71" i="4"/>
  <c r="F70" i="4"/>
  <c r="E70" i="4"/>
  <c r="F67" i="4"/>
  <c r="E67" i="4"/>
  <c r="F64" i="4"/>
  <c r="E64" i="4"/>
  <c r="F63" i="4"/>
  <c r="E63" i="4"/>
  <c r="D61" i="4"/>
  <c r="D65" i="4"/>
  <c r="C61" i="4"/>
  <c r="C65" i="4"/>
  <c r="F60" i="4"/>
  <c r="E60" i="4"/>
  <c r="F59" i="4"/>
  <c r="E59" i="4"/>
  <c r="D56" i="4"/>
  <c r="D75" i="4"/>
  <c r="C56" i="4"/>
  <c r="C75" i="4"/>
  <c r="F55" i="4"/>
  <c r="E55" i="4"/>
  <c r="E54" i="4"/>
  <c r="F54" i="4"/>
  <c r="F53" i="4"/>
  <c r="E53" i="4"/>
  <c r="F52" i="4"/>
  <c r="E52" i="4"/>
  <c r="F51" i="4"/>
  <c r="E51" i="4"/>
  <c r="A51" i="4"/>
  <c r="A52" i="4"/>
  <c r="A53" i="4"/>
  <c r="A54" i="4"/>
  <c r="A55" i="4"/>
  <c r="E50" i="4"/>
  <c r="F50" i="4"/>
  <c r="A50" i="4"/>
  <c r="F49" i="4"/>
  <c r="E49" i="4"/>
  <c r="F40" i="4"/>
  <c r="E40" i="4"/>
  <c r="D38" i="4"/>
  <c r="D41" i="4"/>
  <c r="C38" i="4"/>
  <c r="C41" i="4"/>
  <c r="F37" i="4"/>
  <c r="E37" i="4"/>
  <c r="F36" i="4"/>
  <c r="E36" i="4"/>
  <c r="F33" i="4"/>
  <c r="E33" i="4"/>
  <c r="F32" i="4"/>
  <c r="E32" i="4"/>
  <c r="F31" i="4"/>
  <c r="E31" i="4"/>
  <c r="F29" i="4"/>
  <c r="D29" i="4"/>
  <c r="E29" i="4"/>
  <c r="C29" i="4"/>
  <c r="F28" i="4"/>
  <c r="E28" i="4"/>
  <c r="F27" i="4"/>
  <c r="E27" i="4"/>
  <c r="F26" i="4"/>
  <c r="E26" i="4"/>
  <c r="F25" i="4"/>
  <c r="E25" i="4"/>
  <c r="D22" i="4"/>
  <c r="D43" i="4"/>
  <c r="C22" i="4"/>
  <c r="F21" i="4"/>
  <c r="E21" i="4"/>
  <c r="F20" i="4"/>
  <c r="E20" i="4"/>
  <c r="F19" i="4"/>
  <c r="E19" i="4"/>
  <c r="F18" i="4"/>
  <c r="E18" i="4"/>
  <c r="F17" i="4"/>
  <c r="E17" i="4"/>
  <c r="F16" i="4"/>
  <c r="E16" i="4"/>
  <c r="F15" i="4"/>
  <c r="E15" i="4"/>
  <c r="F14" i="4"/>
  <c r="E14" i="4"/>
  <c r="F13" i="4"/>
  <c r="E13" i="4"/>
  <c r="C109" i="22"/>
  <c r="C108" i="22"/>
  <c r="E109" i="22"/>
  <c r="E108" i="22"/>
  <c r="C103" i="22"/>
  <c r="D108" i="22"/>
  <c r="D109" i="22"/>
  <c r="D22" i="22"/>
  <c r="C23" i="22"/>
  <c r="E23" i="22"/>
  <c r="C34" i="22"/>
  <c r="E34" i="22"/>
  <c r="C102" i="22"/>
  <c r="E102" i="22"/>
  <c r="E103" i="22"/>
  <c r="D111" i="22"/>
  <c r="C22" i="22"/>
  <c r="E22" i="22"/>
  <c r="D30" i="22"/>
  <c r="D36" i="22"/>
  <c r="D40" i="22"/>
  <c r="D46" i="22"/>
  <c r="F21" i="21"/>
  <c r="F20" i="20"/>
  <c r="C41" i="20"/>
  <c r="F40" i="20"/>
  <c r="D41" i="20"/>
  <c r="E39" i="20"/>
  <c r="E41" i="20"/>
  <c r="E19" i="20"/>
  <c r="F19" i="20"/>
  <c r="E43" i="20"/>
  <c r="C38" i="19"/>
  <c r="C127" i="19"/>
  <c r="C129" i="19"/>
  <c r="C133" i="19"/>
  <c r="C22" i="19"/>
  <c r="E55" i="18"/>
  <c r="C258" i="18"/>
  <c r="C100" i="18"/>
  <c r="C98" i="18"/>
  <c r="C96" i="18"/>
  <c r="C89" i="18"/>
  <c r="C87" i="18"/>
  <c r="C85" i="18"/>
  <c r="C83" i="18"/>
  <c r="C101" i="18"/>
  <c r="C99" i="18"/>
  <c r="C97" i="18"/>
  <c r="C95" i="18"/>
  <c r="C88" i="18"/>
  <c r="C86" i="18"/>
  <c r="C84" i="18"/>
  <c r="C90" i="18"/>
  <c r="E20" i="17"/>
  <c r="C284" i="18"/>
  <c r="C294" i="18"/>
  <c r="E32" i="18"/>
  <c r="E36" i="18"/>
  <c r="D43" i="18"/>
  <c r="E54" i="18"/>
  <c r="E60" i="18"/>
  <c r="E69" i="18"/>
  <c r="E70" i="18"/>
  <c r="D76" i="18"/>
  <c r="E157" i="18"/>
  <c r="E21" i="18"/>
  <c r="D22" i="18"/>
  <c r="C33" i="18"/>
  <c r="C295" i="18"/>
  <c r="D289" i="18"/>
  <c r="E289" i="18"/>
  <c r="D71" i="18"/>
  <c r="D65" i="18"/>
  <c r="D294" i="18"/>
  <c r="E294" i="18"/>
  <c r="C65" i="18"/>
  <c r="C66" i="18"/>
  <c r="D77" i="18"/>
  <c r="C71" i="18"/>
  <c r="C76" i="18"/>
  <c r="E151" i="18"/>
  <c r="D163" i="18"/>
  <c r="E163" i="18"/>
  <c r="C168" i="18"/>
  <c r="C175" i="18"/>
  <c r="E175" i="18"/>
  <c r="D261" i="18"/>
  <c r="D189" i="18"/>
  <c r="E188" i="18"/>
  <c r="C241" i="18"/>
  <c r="C303" i="18"/>
  <c r="C306" i="18"/>
  <c r="C310" i="18"/>
  <c r="E139" i="18"/>
  <c r="D144" i="18"/>
  <c r="C145" i="18"/>
  <c r="E156" i="18"/>
  <c r="C261" i="18"/>
  <c r="C189" i="18"/>
  <c r="E260" i="18"/>
  <c r="D234" i="18"/>
  <c r="D211" i="18"/>
  <c r="E239" i="18"/>
  <c r="C252" i="18"/>
  <c r="C253" i="18"/>
  <c r="C254" i="18"/>
  <c r="D320" i="18"/>
  <c r="E320" i="18"/>
  <c r="E316" i="18"/>
  <c r="E195" i="18"/>
  <c r="C210" i="18"/>
  <c r="C180" i="18"/>
  <c r="E215" i="18"/>
  <c r="E219" i="18"/>
  <c r="E221" i="18"/>
  <c r="D222" i="18"/>
  <c r="D229" i="18"/>
  <c r="E229" i="18"/>
  <c r="D240" i="18"/>
  <c r="E240" i="18"/>
  <c r="D242" i="18"/>
  <c r="E242" i="18"/>
  <c r="D244" i="18"/>
  <c r="E244" i="18"/>
  <c r="D253" i="18"/>
  <c r="E253" i="18"/>
  <c r="E265" i="18"/>
  <c r="D303" i="18"/>
  <c r="E314" i="18"/>
  <c r="D326" i="18"/>
  <c r="E205" i="18"/>
  <c r="D217" i="18"/>
  <c r="C222" i="18"/>
  <c r="C246" i="18"/>
  <c r="D223" i="18"/>
  <c r="E231" i="18"/>
  <c r="E251" i="18"/>
  <c r="D160" i="17"/>
  <c r="F37" i="17"/>
  <c r="D61" i="17"/>
  <c r="E68" i="17"/>
  <c r="E77" i="17"/>
  <c r="D32" i="17"/>
  <c r="C103" i="17"/>
  <c r="E17" i="17"/>
  <c r="F17" i="17"/>
  <c r="C31" i="17"/>
  <c r="C48" i="17"/>
  <c r="C60" i="17"/>
  <c r="C68" i="17"/>
  <c r="E76" i="17"/>
  <c r="F76" i="17"/>
  <c r="D89" i="17"/>
  <c r="E89" i="17"/>
  <c r="F89" i="17"/>
  <c r="D102" i="17"/>
  <c r="D111" i="17"/>
  <c r="E111" i="17"/>
  <c r="F111" i="17"/>
  <c r="C194" i="17"/>
  <c r="C207" i="17"/>
  <c r="C138" i="17"/>
  <c r="C159" i="17"/>
  <c r="E158" i="17"/>
  <c r="F158" i="17"/>
  <c r="E164" i="17"/>
  <c r="F164" i="17"/>
  <c r="F181" i="17"/>
  <c r="C277" i="17"/>
  <c r="C261" i="17"/>
  <c r="C254" i="17"/>
  <c r="C214" i="17"/>
  <c r="C206" i="17"/>
  <c r="E188" i="17"/>
  <c r="F188" i="17"/>
  <c r="D288" i="17"/>
  <c r="C280" i="17"/>
  <c r="C264" i="17"/>
  <c r="E191" i="17"/>
  <c r="F191" i="17"/>
  <c r="C200" i="17"/>
  <c r="C282" i="17"/>
  <c r="C266" i="17"/>
  <c r="C21" i="17"/>
  <c r="E23" i="17"/>
  <c r="F23" i="17"/>
  <c r="E24" i="17"/>
  <c r="F24" i="17"/>
  <c r="E29" i="17"/>
  <c r="F29" i="17"/>
  <c r="E30" i="17"/>
  <c r="F30" i="17"/>
  <c r="E35" i="17"/>
  <c r="E36" i="17"/>
  <c r="F36" i="17"/>
  <c r="E44" i="17"/>
  <c r="F44" i="17"/>
  <c r="E47" i="17"/>
  <c r="F47" i="17"/>
  <c r="E52" i="17"/>
  <c r="F52" i="17"/>
  <c r="E53" i="17"/>
  <c r="F53" i="17"/>
  <c r="E58" i="17"/>
  <c r="F58" i="17"/>
  <c r="E59" i="17"/>
  <c r="F59" i="17"/>
  <c r="E66" i="17"/>
  <c r="F66" i="17"/>
  <c r="E67" i="17"/>
  <c r="F67" i="17"/>
  <c r="F20" i="17"/>
  <c r="D21" i="17"/>
  <c r="F35" i="17"/>
  <c r="D192" i="17"/>
  <c r="E123" i="17"/>
  <c r="F123" i="17"/>
  <c r="D124" i="17"/>
  <c r="D125" i="17"/>
  <c r="D137" i="17"/>
  <c r="D146" i="17"/>
  <c r="E146" i="17"/>
  <c r="F146" i="17"/>
  <c r="E170" i="17"/>
  <c r="F170" i="17"/>
  <c r="D173" i="17"/>
  <c r="E173" i="17"/>
  <c r="E172" i="17"/>
  <c r="F172" i="17"/>
  <c r="C173" i="17"/>
  <c r="E179" i="17"/>
  <c r="F179" i="17"/>
  <c r="C190" i="17"/>
  <c r="C283" i="17"/>
  <c r="C267" i="17"/>
  <c r="C205" i="17"/>
  <c r="E203" i="17"/>
  <c r="F203" i="17"/>
  <c r="C124" i="17"/>
  <c r="E155" i="17"/>
  <c r="F155" i="17"/>
  <c r="E165" i="17"/>
  <c r="F165" i="17"/>
  <c r="E171" i="17"/>
  <c r="F171" i="17"/>
  <c r="E180" i="17"/>
  <c r="F180" i="17"/>
  <c r="D287" i="17"/>
  <c r="D284" i="17"/>
  <c r="D279" i="17"/>
  <c r="C278" i="17"/>
  <c r="C262" i="17"/>
  <c r="C255" i="17"/>
  <c r="E189" i="17"/>
  <c r="F189" i="17"/>
  <c r="E280" i="17"/>
  <c r="C192" i="17"/>
  <c r="C290" i="17"/>
  <c r="C274" i="17"/>
  <c r="E198" i="17"/>
  <c r="F198" i="17"/>
  <c r="E283" i="17"/>
  <c r="D286" i="17"/>
  <c r="C285" i="17"/>
  <c r="C269" i="17"/>
  <c r="E204" i="17"/>
  <c r="F204" i="17"/>
  <c r="E226" i="17"/>
  <c r="F226" i="17"/>
  <c r="E229" i="17"/>
  <c r="F229" i="17"/>
  <c r="E237" i="17"/>
  <c r="F237" i="17"/>
  <c r="C239" i="17"/>
  <c r="C306" i="17"/>
  <c r="E250" i="17"/>
  <c r="F250" i="17"/>
  <c r="E285" i="17"/>
  <c r="E223" i="17"/>
  <c r="F223" i="17"/>
  <c r="F227" i="17"/>
  <c r="E230" i="17"/>
  <c r="F230" i="17"/>
  <c r="E238" i="17"/>
  <c r="F238" i="17"/>
  <c r="E306" i="17"/>
  <c r="E307" i="17"/>
  <c r="F307" i="17"/>
  <c r="E311" i="17"/>
  <c r="D190" i="17"/>
  <c r="E190" i="17"/>
  <c r="D193" i="17"/>
  <c r="D282" i="17"/>
  <c r="E282" i="17"/>
  <c r="D199" i="17"/>
  <c r="E199" i="17"/>
  <c r="F199" i="17"/>
  <c r="D200" i="17"/>
  <c r="D205" i="17"/>
  <c r="E205" i="17"/>
  <c r="D206" i="17"/>
  <c r="E206" i="17"/>
  <c r="D214" i="17"/>
  <c r="D215" i="17"/>
  <c r="D261" i="17"/>
  <c r="D262" i="17"/>
  <c r="D264" i="17"/>
  <c r="D267" i="17"/>
  <c r="D269" i="17"/>
  <c r="E269" i="17"/>
  <c r="D274" i="17"/>
  <c r="E274" i="17"/>
  <c r="F107" i="15"/>
  <c r="F36" i="14"/>
  <c r="F38" i="14"/>
  <c r="F40" i="14"/>
  <c r="I31" i="14"/>
  <c r="I17" i="14"/>
  <c r="D31" i="14"/>
  <c r="F31" i="14"/>
  <c r="H31" i="14"/>
  <c r="C33" i="14"/>
  <c r="C36" i="14"/>
  <c r="C38" i="14"/>
  <c r="C40" i="14"/>
  <c r="E33" i="14"/>
  <c r="E36" i="14"/>
  <c r="E38" i="14"/>
  <c r="E40" i="14"/>
  <c r="G33" i="14"/>
  <c r="H17" i="14"/>
  <c r="E20" i="13"/>
  <c r="E21" i="13"/>
  <c r="C69" i="13"/>
  <c r="D21" i="13"/>
  <c r="C22" i="13"/>
  <c r="C20" i="13"/>
  <c r="C21" i="13"/>
  <c r="D15" i="13"/>
  <c r="C17" i="13"/>
  <c r="C28" i="13"/>
  <c r="C70" i="13"/>
  <c r="C72" i="13"/>
  <c r="E17" i="13"/>
  <c r="E28" i="13"/>
  <c r="E70" i="13"/>
  <c r="E72" i="13"/>
  <c r="E69" i="13"/>
  <c r="D48" i="13"/>
  <c r="D42" i="13"/>
  <c r="F32" i="12"/>
  <c r="D20" i="12"/>
  <c r="E15" i="12"/>
  <c r="F15" i="12"/>
  <c r="C17" i="12"/>
  <c r="C43" i="11"/>
  <c r="E41" i="11"/>
  <c r="F75" i="11"/>
  <c r="F65" i="11"/>
  <c r="F73" i="11"/>
  <c r="F41" i="11"/>
  <c r="E22" i="11"/>
  <c r="F22" i="11"/>
  <c r="E38" i="11"/>
  <c r="F38" i="11"/>
  <c r="E56" i="11"/>
  <c r="F56" i="11"/>
  <c r="E61" i="11"/>
  <c r="F61" i="11"/>
  <c r="E121" i="10"/>
  <c r="E112" i="10"/>
  <c r="E113" i="10"/>
  <c r="F207" i="9"/>
  <c r="F208" i="9"/>
  <c r="E198" i="9"/>
  <c r="F198" i="9"/>
  <c r="E199" i="9"/>
  <c r="F199" i="9"/>
  <c r="D21" i="8"/>
  <c r="C20" i="8"/>
  <c r="C21" i="8"/>
  <c r="C140" i="8"/>
  <c r="C138" i="8"/>
  <c r="C136" i="8"/>
  <c r="C139" i="8"/>
  <c r="C137" i="8"/>
  <c r="C135" i="8"/>
  <c r="E157" i="8"/>
  <c r="E155" i="8"/>
  <c r="E153" i="8"/>
  <c r="E156" i="8"/>
  <c r="E154" i="8"/>
  <c r="E152" i="8"/>
  <c r="D156" i="8"/>
  <c r="D154" i="8"/>
  <c r="D152" i="8"/>
  <c r="D157" i="8"/>
  <c r="D155" i="8"/>
  <c r="D153" i="8"/>
  <c r="E20" i="8"/>
  <c r="E21" i="8"/>
  <c r="E140" i="8"/>
  <c r="E138" i="8"/>
  <c r="E136" i="8"/>
  <c r="E139" i="8"/>
  <c r="E137" i="8"/>
  <c r="E135" i="8"/>
  <c r="D139" i="8"/>
  <c r="D137" i="8"/>
  <c r="D135" i="8"/>
  <c r="D141" i="8"/>
  <c r="D140" i="8"/>
  <c r="D138" i="8"/>
  <c r="D136" i="8"/>
  <c r="C157" i="8"/>
  <c r="C155" i="8"/>
  <c r="C153" i="8"/>
  <c r="C156" i="8"/>
  <c r="C154" i="8"/>
  <c r="C152" i="8"/>
  <c r="D15" i="8"/>
  <c r="C17" i="8"/>
  <c r="E17" i="8"/>
  <c r="C43" i="8"/>
  <c r="E43" i="8"/>
  <c r="D49" i="8"/>
  <c r="C53" i="8"/>
  <c r="E53" i="8"/>
  <c r="D77" i="8"/>
  <c r="D71" i="8"/>
  <c r="C49" i="8"/>
  <c r="E49" i="8"/>
  <c r="F95" i="7"/>
  <c r="F188" i="7"/>
  <c r="E90" i="7"/>
  <c r="F90" i="7"/>
  <c r="E183" i="7"/>
  <c r="F183" i="7"/>
  <c r="F52" i="6"/>
  <c r="F95" i="6"/>
  <c r="F179" i="6"/>
  <c r="E41" i="6"/>
  <c r="F41" i="6"/>
  <c r="E84" i="6"/>
  <c r="F84" i="6"/>
  <c r="F18" i="5"/>
  <c r="C21" i="5"/>
  <c r="D21" i="5"/>
  <c r="E18" i="5"/>
  <c r="E16" i="5"/>
  <c r="F16" i="5"/>
  <c r="C43" i="4"/>
  <c r="E41" i="4"/>
  <c r="F41" i="4"/>
  <c r="E75" i="4"/>
  <c r="F75" i="4"/>
  <c r="E65" i="4"/>
  <c r="F65" i="4"/>
  <c r="E22" i="4"/>
  <c r="F22" i="4"/>
  <c r="E38" i="4"/>
  <c r="F38" i="4"/>
  <c r="E56" i="4"/>
  <c r="F56" i="4"/>
  <c r="E61" i="4"/>
  <c r="F61" i="4"/>
  <c r="E53" i="22"/>
  <c r="E45" i="22"/>
  <c r="E39" i="22"/>
  <c r="E35" i="22"/>
  <c r="E29" i="22"/>
  <c r="E110" i="22"/>
  <c r="C111" i="22"/>
  <c r="C54" i="22"/>
  <c r="C46" i="22"/>
  <c r="C40" i="22"/>
  <c r="C36" i="22"/>
  <c r="C30" i="22"/>
  <c r="D56" i="22"/>
  <c r="D48" i="22"/>
  <c r="D38" i="22"/>
  <c r="D113" i="22"/>
  <c r="C53" i="22"/>
  <c r="C45" i="22"/>
  <c r="C39" i="22"/>
  <c r="C35" i="22"/>
  <c r="C29" i="22"/>
  <c r="C110" i="22"/>
  <c r="E111" i="22"/>
  <c r="E54" i="22"/>
  <c r="E46" i="22"/>
  <c r="E40" i="22"/>
  <c r="E36" i="22"/>
  <c r="E30" i="22"/>
  <c r="D110" i="22"/>
  <c r="D53" i="22"/>
  <c r="D45" i="22"/>
  <c r="D39" i="22"/>
  <c r="D35" i="22"/>
  <c r="D29" i="22"/>
  <c r="F39" i="20"/>
  <c r="F43" i="20"/>
  <c r="E46" i="20"/>
  <c r="F46" i="20"/>
  <c r="F41" i="20"/>
  <c r="C259" i="18"/>
  <c r="C263" i="18"/>
  <c r="C77" i="18"/>
  <c r="D90" i="17"/>
  <c r="C223" i="18"/>
  <c r="C247" i="18"/>
  <c r="D235" i="18"/>
  <c r="D168" i="18"/>
  <c r="E168" i="18"/>
  <c r="D180" i="18"/>
  <c r="E180" i="18"/>
  <c r="D145" i="18"/>
  <c r="E144" i="18"/>
  <c r="D252" i="18"/>
  <c r="E189" i="18"/>
  <c r="E71" i="18"/>
  <c r="E33" i="18"/>
  <c r="C91" i="18"/>
  <c r="C102" i="18"/>
  <c r="C103" i="18"/>
  <c r="E223" i="18"/>
  <c r="D241" i="18"/>
  <c r="E241" i="18"/>
  <c r="E217" i="18"/>
  <c r="E326" i="18"/>
  <c r="D330" i="18"/>
  <c r="E330" i="18"/>
  <c r="E303" i="18"/>
  <c r="D306" i="18"/>
  <c r="E222" i="18"/>
  <c r="D246" i="18"/>
  <c r="E246" i="18"/>
  <c r="C211" i="18"/>
  <c r="C235" i="18"/>
  <c r="C234" i="18"/>
  <c r="E210" i="18"/>
  <c r="E234" i="18"/>
  <c r="C169" i="18"/>
  <c r="C181" i="18"/>
  <c r="E261" i="18"/>
  <c r="D126" i="18"/>
  <c r="D124" i="18"/>
  <c r="D122" i="18"/>
  <c r="D115" i="18"/>
  <c r="D113" i="18"/>
  <c r="D111" i="18"/>
  <c r="D109" i="18"/>
  <c r="D127" i="18"/>
  <c r="D125" i="18"/>
  <c r="D123" i="18"/>
  <c r="D121" i="18"/>
  <c r="D114" i="18"/>
  <c r="D112" i="18"/>
  <c r="D110" i="18"/>
  <c r="E77" i="18"/>
  <c r="D66" i="18"/>
  <c r="E65" i="18"/>
  <c r="D284" i="18"/>
  <c r="E284" i="18"/>
  <c r="E22" i="18"/>
  <c r="E76" i="18"/>
  <c r="D259" i="18"/>
  <c r="E43" i="18"/>
  <c r="C264" i="18"/>
  <c r="C266" i="18"/>
  <c r="C267" i="18"/>
  <c r="D44" i="18"/>
  <c r="D270" i="17"/>
  <c r="E267" i="17"/>
  <c r="D254" i="17"/>
  <c r="D216" i="17"/>
  <c r="E214" i="17"/>
  <c r="F214" i="17"/>
  <c r="E287" i="17"/>
  <c r="D291" i="17"/>
  <c r="D289" i="17"/>
  <c r="F205" i="17"/>
  <c r="D207" i="17"/>
  <c r="E137" i="17"/>
  <c r="F137" i="17"/>
  <c r="D138" i="17"/>
  <c r="E138" i="17"/>
  <c r="F138" i="17"/>
  <c r="F282" i="17"/>
  <c r="C271" i="17"/>
  <c r="C268" i="17"/>
  <c r="C263" i="17"/>
  <c r="E159" i="17"/>
  <c r="F159" i="17"/>
  <c r="C208" i="17"/>
  <c r="C32" i="17"/>
  <c r="D175" i="17"/>
  <c r="D62" i="17"/>
  <c r="E32" i="17"/>
  <c r="D174" i="17"/>
  <c r="D272" i="17"/>
  <c r="E262" i="17"/>
  <c r="F262" i="17"/>
  <c r="F274" i="17"/>
  <c r="F173" i="17"/>
  <c r="C196" i="17"/>
  <c r="C161" i="17"/>
  <c r="C126" i="17"/>
  <c r="C91" i="17"/>
  <c r="C49" i="17"/>
  <c r="C216" i="17"/>
  <c r="C287" i="17"/>
  <c r="C284" i="17"/>
  <c r="C279" i="17"/>
  <c r="E102" i="17"/>
  <c r="F102" i="17"/>
  <c r="D103" i="17"/>
  <c r="E103" i="17"/>
  <c r="F103" i="17"/>
  <c r="C61" i="17"/>
  <c r="D300" i="17"/>
  <c r="E264" i="17"/>
  <c r="D271" i="17"/>
  <c r="D268" i="17"/>
  <c r="D263" i="17"/>
  <c r="E263" i="17"/>
  <c r="E261" i="17"/>
  <c r="F261" i="17"/>
  <c r="D255" i="17"/>
  <c r="E255" i="17"/>
  <c r="F255" i="17"/>
  <c r="E215" i="17"/>
  <c r="F215" i="17"/>
  <c r="E200" i="17"/>
  <c r="F200" i="17"/>
  <c r="D194" i="17"/>
  <c r="E193" i="17"/>
  <c r="F193" i="17"/>
  <c r="F269" i="17"/>
  <c r="F285" i="17"/>
  <c r="D281" i="17"/>
  <c r="C272" i="17"/>
  <c r="C288" i="17"/>
  <c r="E284" i="17"/>
  <c r="E277" i="17"/>
  <c r="F277" i="17"/>
  <c r="C270" i="17"/>
  <c r="F267" i="17"/>
  <c r="C286" i="17"/>
  <c r="F283" i="17"/>
  <c r="F190" i="17"/>
  <c r="E124" i="17"/>
  <c r="F124" i="17"/>
  <c r="E192" i="17"/>
  <c r="F192" i="17"/>
  <c r="D196" i="17"/>
  <c r="D161" i="17"/>
  <c r="D126" i="17"/>
  <c r="D49" i="17"/>
  <c r="D91" i="17"/>
  <c r="E21" i="17"/>
  <c r="F21" i="17"/>
  <c r="D266" i="17"/>
  <c r="E266" i="17"/>
  <c r="F266" i="17"/>
  <c r="C304" i="17"/>
  <c r="E239" i="17"/>
  <c r="F239" i="17"/>
  <c r="E290" i="17"/>
  <c r="F290" i="17"/>
  <c r="C300" i="17"/>
  <c r="F264" i="17"/>
  <c r="C265" i="17"/>
  <c r="C281" i="17"/>
  <c r="F280" i="17"/>
  <c r="E278" i="17"/>
  <c r="F278" i="17"/>
  <c r="F206" i="17"/>
  <c r="F68" i="17"/>
  <c r="C195" i="17"/>
  <c r="C160" i="17"/>
  <c r="C125" i="17"/>
  <c r="C90" i="17"/>
  <c r="E31" i="17"/>
  <c r="F31" i="17"/>
  <c r="E60" i="17"/>
  <c r="F60" i="17"/>
  <c r="E48" i="17"/>
  <c r="F48" i="17"/>
  <c r="E160" i="17"/>
  <c r="G36" i="14"/>
  <c r="G38" i="14"/>
  <c r="G40" i="14"/>
  <c r="I33" i="14"/>
  <c r="I36" i="14"/>
  <c r="I38" i="14"/>
  <c r="I40" i="14"/>
  <c r="H33" i="14"/>
  <c r="H36" i="14"/>
  <c r="H38" i="14"/>
  <c r="H40" i="14"/>
  <c r="D24" i="13"/>
  <c r="D20" i="13"/>
  <c r="D17" i="13"/>
  <c r="D28" i="13"/>
  <c r="E22" i="13"/>
  <c r="D34" i="12"/>
  <c r="C20" i="12"/>
  <c r="E17" i="12"/>
  <c r="F17" i="12"/>
  <c r="F43" i="11"/>
  <c r="E43" i="11"/>
  <c r="E112" i="8"/>
  <c r="E111" i="8"/>
  <c r="E28" i="8"/>
  <c r="C112" i="8"/>
  <c r="C111" i="8"/>
  <c r="C28" i="8"/>
  <c r="C158" i="8"/>
  <c r="E141" i="8"/>
  <c r="E158" i="8"/>
  <c r="C141" i="8"/>
  <c r="D24" i="8"/>
  <c r="D20" i="8"/>
  <c r="D17" i="8"/>
  <c r="D158" i="8"/>
  <c r="D35" i="5"/>
  <c r="E21" i="5"/>
  <c r="F21" i="5"/>
  <c r="C35" i="5"/>
  <c r="F43" i="4"/>
  <c r="E43" i="4"/>
  <c r="D112" i="22"/>
  <c r="D55" i="22"/>
  <c r="D47" i="22"/>
  <c r="D37" i="22"/>
  <c r="E113" i="22"/>
  <c r="E56" i="22"/>
  <c r="E48" i="22"/>
  <c r="E38" i="22"/>
  <c r="C113" i="22"/>
  <c r="C56" i="22"/>
  <c r="C48" i="22"/>
  <c r="C38" i="22"/>
  <c r="C55" i="22"/>
  <c r="C47" i="22"/>
  <c r="C37" i="22"/>
  <c r="C112" i="22"/>
  <c r="E55" i="22"/>
  <c r="E47" i="22"/>
  <c r="E37" i="22"/>
  <c r="E112" i="22"/>
  <c r="D139" i="17"/>
  <c r="D140" i="17"/>
  <c r="C269" i="18"/>
  <c r="C268" i="18"/>
  <c r="E66" i="18"/>
  <c r="D295" i="18"/>
  <c r="E295" i="18"/>
  <c r="E110" i="18"/>
  <c r="D116" i="18"/>
  <c r="E114" i="18"/>
  <c r="E127" i="18"/>
  <c r="E115" i="18"/>
  <c r="D247" i="18"/>
  <c r="E247" i="18"/>
  <c r="C105" i="18"/>
  <c r="E235" i="18"/>
  <c r="C127" i="18"/>
  <c r="C125" i="18"/>
  <c r="C123" i="18"/>
  <c r="E123" i="18"/>
  <c r="C121" i="18"/>
  <c r="C114" i="18"/>
  <c r="C112" i="18"/>
  <c r="C110" i="18"/>
  <c r="C126" i="18"/>
  <c r="C124" i="18"/>
  <c r="E124" i="18"/>
  <c r="C122" i="18"/>
  <c r="C128" i="18"/>
  <c r="C115" i="18"/>
  <c r="C113" i="18"/>
  <c r="C111" i="18"/>
  <c r="E111" i="18"/>
  <c r="C109" i="18"/>
  <c r="D265" i="17"/>
  <c r="D258" i="18"/>
  <c r="D101" i="18"/>
  <c r="E101" i="18"/>
  <c r="D99" i="18"/>
  <c r="E99" i="18"/>
  <c r="D97" i="18"/>
  <c r="E97" i="18"/>
  <c r="D95" i="18"/>
  <c r="D88" i="18"/>
  <c r="E88" i="18"/>
  <c r="D86" i="18"/>
  <c r="E86" i="18"/>
  <c r="D84" i="18"/>
  <c r="D100" i="18"/>
  <c r="E100" i="18"/>
  <c r="D98" i="18"/>
  <c r="E98" i="18"/>
  <c r="D96" i="18"/>
  <c r="D89" i="18"/>
  <c r="E89" i="18"/>
  <c r="D87" i="18"/>
  <c r="E87" i="18"/>
  <c r="D85" i="18"/>
  <c r="E85" i="18"/>
  <c r="D83" i="18"/>
  <c r="E44" i="18"/>
  <c r="D263" i="18"/>
  <c r="E263" i="18"/>
  <c r="E259" i="18"/>
  <c r="E112" i="18"/>
  <c r="E121" i="18"/>
  <c r="D129" i="18"/>
  <c r="E125" i="18"/>
  <c r="D117" i="18"/>
  <c r="E109" i="18"/>
  <c r="E113" i="18"/>
  <c r="D128" i="18"/>
  <c r="E128" i="18"/>
  <c r="E122" i="18"/>
  <c r="E126" i="18"/>
  <c r="E306" i="18"/>
  <c r="D310" i="18"/>
  <c r="E310" i="18"/>
  <c r="E252" i="18"/>
  <c r="D254" i="18"/>
  <c r="E254" i="18"/>
  <c r="D181" i="18"/>
  <c r="E181" i="18"/>
  <c r="E145" i="18"/>
  <c r="D169" i="18"/>
  <c r="E169" i="18"/>
  <c r="E211" i="18"/>
  <c r="D50" i="17"/>
  <c r="E49" i="17"/>
  <c r="F49" i="17"/>
  <c r="D162" i="17"/>
  <c r="E161" i="17"/>
  <c r="F161" i="17"/>
  <c r="E271" i="17"/>
  <c r="D304" i="17"/>
  <c r="D273" i="17"/>
  <c r="E265" i="17"/>
  <c r="F265" i="17"/>
  <c r="C209" i="17"/>
  <c r="C139" i="17"/>
  <c r="C104" i="17"/>
  <c r="C174" i="17"/>
  <c r="F284" i="17"/>
  <c r="C127" i="17"/>
  <c r="E286" i="17"/>
  <c r="F286" i="17"/>
  <c r="E125" i="17"/>
  <c r="F125" i="17"/>
  <c r="D104" i="17"/>
  <c r="E104" i="17"/>
  <c r="E139" i="17"/>
  <c r="D105" i="17"/>
  <c r="D141" i="17"/>
  <c r="C273" i="17"/>
  <c r="F271" i="17"/>
  <c r="D208" i="17"/>
  <c r="E207" i="17"/>
  <c r="F207" i="17"/>
  <c r="E254" i="17"/>
  <c r="F254" i="17"/>
  <c r="E270" i="17"/>
  <c r="F270" i="17"/>
  <c r="F160" i="17"/>
  <c r="E91" i="17"/>
  <c r="F91" i="17"/>
  <c r="D92" i="17"/>
  <c r="E126" i="17"/>
  <c r="F126" i="17"/>
  <c r="D127" i="17"/>
  <c r="D197" i="17"/>
  <c r="E196" i="17"/>
  <c r="F196" i="17"/>
  <c r="E281" i="17"/>
  <c r="F281" i="17"/>
  <c r="E194" i="17"/>
  <c r="F194" i="17"/>
  <c r="D195" i="17"/>
  <c r="E195" i="17"/>
  <c r="F195" i="17"/>
  <c r="E268" i="17"/>
  <c r="F268" i="17"/>
  <c r="E300" i="17"/>
  <c r="F300" i="17"/>
  <c r="C291" i="17"/>
  <c r="C289" i="17"/>
  <c r="F287" i="17"/>
  <c r="E288" i="17"/>
  <c r="F288" i="17"/>
  <c r="C50" i="17"/>
  <c r="C92" i="17"/>
  <c r="C162" i="17"/>
  <c r="E279" i="17"/>
  <c r="F279" i="17"/>
  <c r="E272" i="17"/>
  <c r="F272" i="17"/>
  <c r="E90" i="17"/>
  <c r="F90" i="17"/>
  <c r="E61" i="17"/>
  <c r="F61" i="17"/>
  <c r="E174" i="17"/>
  <c r="D63" i="17"/>
  <c r="D176" i="17"/>
  <c r="E175" i="17"/>
  <c r="C210" i="17"/>
  <c r="C140" i="17"/>
  <c r="C175" i="17"/>
  <c r="C105" i="17"/>
  <c r="F32" i="17"/>
  <c r="C62" i="17"/>
  <c r="F263" i="17"/>
  <c r="D305" i="17"/>
  <c r="E216" i="17"/>
  <c r="F216" i="17"/>
  <c r="D70" i="13"/>
  <c r="D72" i="13"/>
  <c r="D69" i="13"/>
  <c r="D22" i="13"/>
  <c r="D42" i="12"/>
  <c r="C34" i="12"/>
  <c r="E20" i="12"/>
  <c r="F20" i="12"/>
  <c r="D28" i="8"/>
  <c r="D112" i="8"/>
  <c r="D111" i="8"/>
  <c r="C99" i="8"/>
  <c r="C101" i="8"/>
  <c r="C98" i="8"/>
  <c r="C22" i="8"/>
  <c r="E99" i="8"/>
  <c r="E101" i="8"/>
  <c r="E98" i="8"/>
  <c r="E22" i="8"/>
  <c r="D43" i="5"/>
  <c r="E35" i="5"/>
  <c r="F35" i="5"/>
  <c r="C43" i="5"/>
  <c r="D90" i="18"/>
  <c r="E90" i="18"/>
  <c r="E84" i="18"/>
  <c r="C116" i="18"/>
  <c r="E116" i="18"/>
  <c r="C271" i="18"/>
  <c r="D131" i="18"/>
  <c r="E83" i="18"/>
  <c r="E96" i="18"/>
  <c r="D102" i="18"/>
  <c r="E102" i="18"/>
  <c r="D103" i="18"/>
  <c r="E103" i="18"/>
  <c r="E95" i="18"/>
  <c r="E258" i="18"/>
  <c r="D264" i="18"/>
  <c r="C129" i="18"/>
  <c r="E129" i="18"/>
  <c r="D309" i="17"/>
  <c r="C63" i="17"/>
  <c r="C106" i="17"/>
  <c r="C141" i="17"/>
  <c r="E62" i="17"/>
  <c r="F62" i="17"/>
  <c r="C113" i="17"/>
  <c r="C305" i="17"/>
  <c r="E140" i="17"/>
  <c r="F140" i="17"/>
  <c r="C197" i="17"/>
  <c r="F139" i="17"/>
  <c r="E304" i="17"/>
  <c r="F304" i="17"/>
  <c r="E291" i="17"/>
  <c r="F291" i="17"/>
  <c r="F175" i="17"/>
  <c r="C176" i="17"/>
  <c r="E176" i="17"/>
  <c r="E63" i="17"/>
  <c r="C323" i="17"/>
  <c r="C183" i="17"/>
  <c r="C70" i="17"/>
  <c r="D148" i="17"/>
  <c r="E127" i="17"/>
  <c r="F127" i="17"/>
  <c r="E92" i="17"/>
  <c r="F92" i="17"/>
  <c r="E289" i="17"/>
  <c r="F289" i="17"/>
  <c r="E208" i="17"/>
  <c r="F208" i="17"/>
  <c r="D210" i="17"/>
  <c r="D209" i="17"/>
  <c r="E209" i="17"/>
  <c r="F209" i="17"/>
  <c r="D322" i="17"/>
  <c r="E141" i="17"/>
  <c r="E105" i="17"/>
  <c r="F105" i="17"/>
  <c r="D106" i="17"/>
  <c r="E106" i="17"/>
  <c r="F174" i="17"/>
  <c r="F104" i="17"/>
  <c r="E273" i="17"/>
  <c r="F273" i="17"/>
  <c r="D323" i="17"/>
  <c r="E323" i="17"/>
  <c r="D183" i="17"/>
  <c r="E183" i="17"/>
  <c r="E162" i="17"/>
  <c r="F162" i="17"/>
  <c r="D70" i="17"/>
  <c r="E70" i="17"/>
  <c r="E50" i="17"/>
  <c r="F50" i="17"/>
  <c r="D49" i="12"/>
  <c r="C42" i="12"/>
  <c r="E34" i="12"/>
  <c r="F34" i="12"/>
  <c r="D99" i="8"/>
  <c r="D101" i="8"/>
  <c r="D98" i="8"/>
  <c r="D22" i="8"/>
  <c r="D50" i="5"/>
  <c r="E43" i="5"/>
  <c r="F43" i="5"/>
  <c r="C50" i="5"/>
  <c r="C117" i="18"/>
  <c r="D91" i="18"/>
  <c r="E264" i="18"/>
  <c r="D266" i="18"/>
  <c r="D211" i="17"/>
  <c r="E211" i="17"/>
  <c r="E210" i="17"/>
  <c r="F210" i="17"/>
  <c r="D113" i="17"/>
  <c r="E113" i="17"/>
  <c r="F113" i="17"/>
  <c r="E197" i="17"/>
  <c r="F197" i="17"/>
  <c r="C309" i="17"/>
  <c r="C322" i="17"/>
  <c r="C211" i="17"/>
  <c r="F141" i="17"/>
  <c r="F106" i="17"/>
  <c r="E309" i="17"/>
  <c r="D324" i="17"/>
  <c r="F70" i="17"/>
  <c r="F183" i="17"/>
  <c r="F323" i="17"/>
  <c r="F176" i="17"/>
  <c r="D310" i="17"/>
  <c r="C148" i="17"/>
  <c r="C324" i="17"/>
  <c r="F63" i="17"/>
  <c r="E305" i="17"/>
  <c r="F305" i="17"/>
  <c r="C49" i="12"/>
  <c r="E42" i="12"/>
  <c r="F42" i="12"/>
  <c r="F50" i="5"/>
  <c r="E50" i="5"/>
  <c r="E266" i="18"/>
  <c r="D267" i="18"/>
  <c r="E91" i="18"/>
  <c r="D105" i="18"/>
  <c r="E105" i="18"/>
  <c r="C131" i="18"/>
  <c r="E131" i="18"/>
  <c r="E117" i="18"/>
  <c r="C325" i="17"/>
  <c r="D312" i="17"/>
  <c r="D325" i="17"/>
  <c r="E325" i="17"/>
  <c r="E324" i="17"/>
  <c r="F324" i="17"/>
  <c r="E148" i="17"/>
  <c r="F148" i="17"/>
  <c r="E322" i="17"/>
  <c r="F322" i="17"/>
  <c r="F211" i="17"/>
  <c r="F309" i="17"/>
  <c r="C310" i="17"/>
  <c r="F49" i="12"/>
  <c r="E49" i="12"/>
  <c r="D269" i="18"/>
  <c r="E269" i="18"/>
  <c r="E267" i="18"/>
  <c r="D268" i="18"/>
  <c r="C312" i="17"/>
  <c r="E312" i="17"/>
  <c r="D313" i="17"/>
  <c r="E310" i="17"/>
  <c r="F310" i="17"/>
  <c r="F325" i="17"/>
  <c r="D271" i="18"/>
  <c r="E271" i="18"/>
  <c r="E268" i="18"/>
  <c r="D315" i="17"/>
  <c r="D314" i="17"/>
  <c r="D251" i="17"/>
  <c r="D256" i="17"/>
  <c r="F312" i="17"/>
  <c r="C313" i="17"/>
  <c r="F313" i="17"/>
  <c r="C251" i="17"/>
  <c r="C314" i="17"/>
  <c r="C315" i="17"/>
  <c r="C256" i="17"/>
  <c r="D257" i="17"/>
  <c r="E256" i="17"/>
  <c r="E313" i="17"/>
  <c r="E315" i="17"/>
  <c r="E251" i="17"/>
  <c r="D318" i="17"/>
  <c r="F256" i="17"/>
  <c r="C257" i="17"/>
  <c r="C318" i="17"/>
  <c r="E314" i="17"/>
  <c r="F314" i="17"/>
  <c r="E257" i="17"/>
  <c r="F315" i="17"/>
  <c r="F251" i="17"/>
  <c r="F257" i="17"/>
  <c r="E318" i="17"/>
  <c r="F318" i="17"/>
</calcChain>
</file>

<file path=xl/sharedStrings.xml><?xml version="1.0" encoding="utf-8"?>
<sst xmlns="http://schemas.openxmlformats.org/spreadsheetml/2006/main" count="2333" uniqueCount="1008">
  <si>
    <t>ESSENT-SHARON HOSPITAL</t>
  </si>
  <si>
    <t>TWELVE MONTHS ACTUAL FILING</t>
  </si>
  <si>
    <t>FISCAL YEAR 2014</t>
  </si>
  <si>
    <t>REPORT 100 - HOSPITAL BALANCE SHEET INFORMATION</t>
  </si>
  <si>
    <t>FY 2013</t>
  </si>
  <si>
    <t>FY 2014</t>
  </si>
  <si>
    <t>AMOUNT</t>
  </si>
  <si>
    <t>%</t>
  </si>
  <si>
    <t>LINE</t>
  </si>
  <si>
    <t>DESCRIPTION</t>
  </si>
  <si>
    <t>ACTUAL</t>
  </si>
  <si>
    <t>DIFFERENCE</t>
  </si>
  <si>
    <t>I.</t>
  </si>
  <si>
    <t>ASSETS</t>
  </si>
  <si>
    <t>A.</t>
  </si>
  <si>
    <t>Current Assets:</t>
  </si>
  <si>
    <t>Cash and Cash Equivalents</t>
  </si>
  <si>
    <t>Short Term Investments</t>
  </si>
  <si>
    <t>Accounts Receivable (Less: Allowance for Doubtful Accounts)</t>
  </si>
  <si>
    <t>Current Assets Whose Use is Limited for Current Liabilities</t>
  </si>
  <si>
    <t>Due From Affiliates</t>
  </si>
  <si>
    <t>Due From Third Party Payers</t>
  </si>
  <si>
    <t>Inventories of Supplies</t>
  </si>
  <si>
    <t>Prepaid Expenses</t>
  </si>
  <si>
    <t xml:space="preserve">Other Current Assets </t>
  </si>
  <si>
    <t>Total Current Assets</t>
  </si>
  <si>
    <t>B.</t>
  </si>
  <si>
    <t>Noncurrent Assets Whose Use is Limited:</t>
  </si>
  <si>
    <t>Held by Trustee</t>
  </si>
  <si>
    <t>Board Designated for Capital Acquisition</t>
  </si>
  <si>
    <t>Funds Held in Escrow</t>
  </si>
  <si>
    <t>Other Noncurrent Assets Whose Use is Limited</t>
  </si>
  <si>
    <t>Total Noncurrent Assets Whose Use is Limited:</t>
  </si>
  <si>
    <t>Interest in Net Assets of Foundation</t>
  </si>
  <si>
    <t>Long Term Investments</t>
  </si>
  <si>
    <t>Other Noncurrent Assets</t>
  </si>
  <si>
    <t>C.</t>
  </si>
  <si>
    <t>Net Fixed Assets:</t>
  </si>
  <si>
    <t xml:space="preserve">Property, Plant and Equipment </t>
  </si>
  <si>
    <t>Less: Accumulated Depreciation</t>
  </si>
  <si>
    <t>Property, Plant and Equipment, Net</t>
  </si>
  <si>
    <t>Construction in Progress</t>
  </si>
  <si>
    <t>Total Net Fixed Assets</t>
  </si>
  <si>
    <t>Total Assets</t>
  </si>
  <si>
    <t>II.</t>
  </si>
  <si>
    <t>LIABILITIES AND NET ASSETS</t>
  </si>
  <si>
    <t>Current Liabilities:</t>
  </si>
  <si>
    <t>Accounts Payable and Accrued Expenses</t>
  </si>
  <si>
    <t>Salaries, Wages and Payroll Taxes</t>
  </si>
  <si>
    <t>Due To Third Party Payers</t>
  </si>
  <si>
    <t>Due To Affiliates</t>
  </si>
  <si>
    <t>Current Portion of Long Term Debt</t>
  </si>
  <si>
    <t>Current Portion of Notes Payable</t>
  </si>
  <si>
    <t>Other Current Liabilities</t>
  </si>
  <si>
    <t>Total Current Liabilities</t>
  </si>
  <si>
    <t xml:space="preserve">Long Term Debt: </t>
  </si>
  <si>
    <t>Bonds Payable (Net of Current Portion)</t>
  </si>
  <si>
    <t>Notes Payable (Net of Current Portion)</t>
  </si>
  <si>
    <t xml:space="preserve">Total Long Term Debt </t>
  </si>
  <si>
    <t>Accrued Pension Liability</t>
  </si>
  <si>
    <t>Other Long Term Liabilities</t>
  </si>
  <si>
    <t>Total Long Term Liabilities</t>
  </si>
  <si>
    <t>Interest in Net Assets of Affiliates or Joint Ventures</t>
  </si>
  <si>
    <t>Net Assets:</t>
  </si>
  <si>
    <t>Unrestricted Net Assets or Equity</t>
  </si>
  <si>
    <t>Temporarily Restricted Net Assets</t>
  </si>
  <si>
    <t>Permanently Restricted Net Assets</t>
  </si>
  <si>
    <t>Total Net Assets</t>
  </si>
  <si>
    <t>Total Liabilities and Net Assets</t>
  </si>
  <si>
    <t>REPORT 150 - HOSPITAL STATEMENT OF OPERATIONS INFORMATION</t>
  </si>
  <si>
    <t>Operating Revenue:</t>
  </si>
  <si>
    <t>Total Gross Patient Revenue</t>
  </si>
  <si>
    <t>Less: Allowances</t>
  </si>
  <si>
    <t>Less: Charity Care</t>
  </si>
  <si>
    <t>Less: Other Deductions</t>
  </si>
  <si>
    <t>Total Net Patient Revenue</t>
  </si>
  <si>
    <t>Provision for Bad Debts</t>
  </si>
  <si>
    <t>Net Patient Service Revenue less provision for bad debts</t>
  </si>
  <si>
    <t>Other Operating Revenue</t>
  </si>
  <si>
    <t>Net Assets Released from Restrictions</t>
  </si>
  <si>
    <t>Total Operating Revenue</t>
  </si>
  <si>
    <t>Operating Expenses:</t>
  </si>
  <si>
    <t>Salaries and Wages</t>
  </si>
  <si>
    <t>Fringe Benefits</t>
  </si>
  <si>
    <t>Physicians Fees</t>
  </si>
  <si>
    <t>Supplies and Drugs</t>
  </si>
  <si>
    <t>Depreciation and Amortization</t>
  </si>
  <si>
    <t>Bad Debts</t>
  </si>
  <si>
    <t>Interest Expense</t>
  </si>
  <si>
    <t>Malpractice Insurance Cost</t>
  </si>
  <si>
    <t>Other Operating Expenses</t>
  </si>
  <si>
    <t xml:space="preserve">Total Operating Expenses </t>
  </si>
  <si>
    <t xml:space="preserve">Income/(Loss) From Operations </t>
  </si>
  <si>
    <t>Non-Operating Revenue:</t>
  </si>
  <si>
    <t>Income from Investments</t>
  </si>
  <si>
    <t>Gifts, Contributions and Donations</t>
  </si>
  <si>
    <t>Other Non-Operating Gains/(Losses)</t>
  </si>
  <si>
    <t>Total Non-Operating Revenue</t>
  </si>
  <si>
    <t>Excess/(Deficiency) of Revenue Over Expenses  (Before Other Adjustments)</t>
  </si>
  <si>
    <t>Other Adjustments:</t>
  </si>
  <si>
    <t>Unrealized Gains/(Losses)</t>
  </si>
  <si>
    <t>All Other Adjustments</t>
  </si>
  <si>
    <t>Total Other Adjustments</t>
  </si>
  <si>
    <t>Excess/(Deficiency) of Revenue Over Expenses</t>
  </si>
  <si>
    <t>Principal Payments</t>
  </si>
  <si>
    <t xml:space="preserve">REPORT 165 - HOSPITAL GROSS REVENUE, NET REVENUE AND STATISTICS BY PAYER </t>
  </si>
  <si>
    <t xml:space="preserve">DESCRIPTION </t>
  </si>
  <si>
    <t>FY 2013                ACTUAL</t>
  </si>
  <si>
    <t>FY 2014                  ACTUAL</t>
  </si>
  <si>
    <t xml:space="preserve"> AMOUNT DIFFERENCE </t>
  </si>
  <si>
    <t>%          DIFFERENCE</t>
  </si>
  <si>
    <t>GROSS REVENUE BY PAYER</t>
  </si>
  <si>
    <t>INPATIENT GROSS REVENUE</t>
  </si>
  <si>
    <t>MEDICARE TRADITIONAL</t>
  </si>
  <si>
    <t>MEDICARE MANAGED CARE</t>
  </si>
  <si>
    <t>MEDICAID</t>
  </si>
  <si>
    <t>MEDICAID MANAGED CARE</t>
  </si>
  <si>
    <t>CHAMPUS/TRICARE</t>
  </si>
  <si>
    <t>COMMERCIAL INSURANCE</t>
  </si>
  <si>
    <t>NON-GOVERNMENT MANAGED CARE</t>
  </si>
  <si>
    <t>WORKER'S COMPENSATION</t>
  </si>
  <si>
    <t>SELF- PAY/UNINSURED</t>
  </si>
  <si>
    <t>SAGA</t>
  </si>
  <si>
    <t>OTHER</t>
  </si>
  <si>
    <t>TOTAL INPATIENT GROSS REVENUE</t>
  </si>
  <si>
    <t>OUTPATIENT GROSS REVENUE</t>
  </si>
  <si>
    <t>TOTAL OUTPATIENT GROSS REVENUE</t>
  </si>
  <si>
    <t>C .</t>
  </si>
  <si>
    <t>TOTAL GROSS REVENUE</t>
  </si>
  <si>
    <t>NET REVENUE BY PAYER</t>
  </si>
  <si>
    <t>INPATIENT NET REVENUE</t>
  </si>
  <si>
    <t>TOTAL INPATIENT NET REVENUE</t>
  </si>
  <si>
    <t>OUTPATIENT NET REVENUE</t>
  </si>
  <si>
    <t>TOTAL OUTPATIENT NET REVENUE</t>
  </si>
  <si>
    <t>TOTAL NET REVENUE</t>
  </si>
  <si>
    <t>III.</t>
  </si>
  <si>
    <t>STATISTICS BY PAYER</t>
  </si>
  <si>
    <t>DISCHARGES</t>
  </si>
  <si>
    <t>TOTAL DISCHARGES</t>
  </si>
  <si>
    <t>PATIENT DAYS</t>
  </si>
  <si>
    <t>TOTAL PATIENT DAYS</t>
  </si>
  <si>
    <t>OUTPATIENT VISITS</t>
  </si>
  <si>
    <t>TOTAL OUTPATIENT VISITS</t>
  </si>
  <si>
    <t>IV.</t>
  </si>
  <si>
    <t>EMERGENCY DEPARTMENT OUTPATIENT BY PAYER</t>
  </si>
  <si>
    <t>EMERGENCY DEPARTMENT OUTPATIENT GROSS REVENUE</t>
  </si>
  <si>
    <t>TOTAL EMERGENCY DEPARTMENT OUTPATIENT GROSS REVENUE</t>
  </si>
  <si>
    <t>EMERGENCY DEPARTMENT OUTPATIENT NET REVENUE</t>
  </si>
  <si>
    <t>TOTAL EMERGENCY DEPARTMENT OUTPATIENT NET REVENUE</t>
  </si>
  <si>
    <t>EMERGENCY DEPARTMENT OUTPATIENT VISITS</t>
  </si>
  <si>
    <t>TOTAL EMERGENCY DEPARTMENT OUTPATIENT VISITS</t>
  </si>
  <si>
    <t>REPORT 175 - HOSPITAL OPERATING EXPENSES BY EXPENSE CATEGORY AND DEPARTMENT</t>
  </si>
  <si>
    <t xml:space="preserve">% </t>
  </si>
  <si>
    <t xml:space="preserve">LINE    </t>
  </si>
  <si>
    <t>OPERATING EXPENSE BY CATEGORY</t>
  </si>
  <si>
    <t>Salaries &amp; Wages:</t>
  </si>
  <si>
    <t>Nursing Salaries</t>
  </si>
  <si>
    <t>Physician Salaries</t>
  </si>
  <si>
    <t>Non-Nursing, Non-Physician Salaries</t>
  </si>
  <si>
    <t>Total Salaries &amp; Wages</t>
  </si>
  <si>
    <t>Fringe Benefits:</t>
  </si>
  <si>
    <t>Nursing Fringe Benefits</t>
  </si>
  <si>
    <t>Physician Fringe Benefits</t>
  </si>
  <si>
    <t>Non-Nursing, Non-Physician Fringe Benefits</t>
  </si>
  <si>
    <t>Total Fringe Benefits</t>
  </si>
  <si>
    <t>Contractual Labor Fees:</t>
  </si>
  <si>
    <t>Nursing Fees</t>
  </si>
  <si>
    <t>Physician Fees</t>
  </si>
  <si>
    <t>Non-Nursing, Non-Physician Fees</t>
  </si>
  <si>
    <t>Total Contractual Labor Fees</t>
  </si>
  <si>
    <t>D.</t>
  </si>
  <si>
    <t>Medical Supplies and Pharmaceutical Cost:</t>
  </si>
  <si>
    <t>Medical Supplies</t>
  </si>
  <si>
    <t>Pharmaceutical Costs</t>
  </si>
  <si>
    <t>Total Medical Supplies and Pharmaceutical Cost</t>
  </si>
  <si>
    <t>E.</t>
  </si>
  <si>
    <t>Depreciation and Amortization:</t>
  </si>
  <si>
    <t>Depreciation-Building</t>
  </si>
  <si>
    <t>Depreciation-Equipment</t>
  </si>
  <si>
    <t>Amortization</t>
  </si>
  <si>
    <t>Total Depreciation and Amortization</t>
  </si>
  <si>
    <t>F.</t>
  </si>
  <si>
    <t>Bad Debts:</t>
  </si>
  <si>
    <t>G.</t>
  </si>
  <si>
    <t>Interest Expense:</t>
  </si>
  <si>
    <t>H.</t>
  </si>
  <si>
    <t>Malpractice Insurance Cost:</t>
  </si>
  <si>
    <t>Utilities:</t>
  </si>
  <si>
    <t>Water</t>
  </si>
  <si>
    <t>Natural Gas</t>
  </si>
  <si>
    <t>Oil</t>
  </si>
  <si>
    <t>Electricity</t>
  </si>
  <si>
    <t>Telephone</t>
  </si>
  <si>
    <t>Other Utilities</t>
  </si>
  <si>
    <t>Total Utilities</t>
  </si>
  <si>
    <t>J.</t>
  </si>
  <si>
    <t>Business Expenses:</t>
  </si>
  <si>
    <t>Accounting Fees</t>
  </si>
  <si>
    <t>Legal Fees</t>
  </si>
  <si>
    <t>Consulting Fees</t>
  </si>
  <si>
    <t>Dues and Membership</t>
  </si>
  <si>
    <t>Equipment Leases</t>
  </si>
  <si>
    <t>Building Leases</t>
  </si>
  <si>
    <t>Repairs and Maintenance</t>
  </si>
  <si>
    <t>Insurance</t>
  </si>
  <si>
    <t>Travel</t>
  </si>
  <si>
    <t>Conferences</t>
  </si>
  <si>
    <t>Property Tax</t>
  </si>
  <si>
    <t>General Supplies</t>
  </si>
  <si>
    <t>Licenses and Subscriptions</t>
  </si>
  <si>
    <t>Postage and Shipping</t>
  </si>
  <si>
    <t>Advertising</t>
  </si>
  <si>
    <t>Corporate parent/system fees</t>
  </si>
  <si>
    <t>Computer Software</t>
  </si>
  <si>
    <t>Computer hardware &amp; small equipment</t>
  </si>
  <si>
    <t xml:space="preserve">Dietary / Food Services </t>
  </si>
  <si>
    <t>Lab Fees / Red Cross charges</t>
  </si>
  <si>
    <t>Billing &amp; Collection / Bank Fees</t>
  </si>
  <si>
    <t>Recruiting / Employee Education &amp; Recognition</t>
  </si>
  <si>
    <t>Laundry / Linen</t>
  </si>
  <si>
    <t>Professional / Physician Fees</t>
  </si>
  <si>
    <t>Waste disposal</t>
  </si>
  <si>
    <t>Purchased Services - Medical</t>
  </si>
  <si>
    <t>Purchased Services - Non Medical</t>
  </si>
  <si>
    <t>Other Business Expenses</t>
  </si>
  <si>
    <t>Total Business Expenses</t>
  </si>
  <si>
    <t>K.</t>
  </si>
  <si>
    <t>Other Operating Expense:</t>
  </si>
  <si>
    <t>Miscellaneous Other Operating Expenses</t>
  </si>
  <si>
    <t>Total Operating Expenses - All Expense Categories*</t>
  </si>
  <si>
    <t>*A.-K.The total operating expenses amount above must agree with the total operating expenses amount on Report 150</t>
  </si>
  <si>
    <t>OPERATING EXPENSE BY DEPARTMENT</t>
  </si>
  <si>
    <t>General Services:</t>
  </si>
  <si>
    <t>General Administration</t>
  </si>
  <si>
    <t>General Accounting</t>
  </si>
  <si>
    <t>Patient Billing &amp; Collection</t>
  </si>
  <si>
    <t>Admitting / Registration Office</t>
  </si>
  <si>
    <t>Data Processing</t>
  </si>
  <si>
    <t>Communications</t>
  </si>
  <si>
    <t>Personnel</t>
  </si>
  <si>
    <t>Public Relations</t>
  </si>
  <si>
    <t>Purchasing</t>
  </si>
  <si>
    <t>Dietary and Cafeteria</t>
  </si>
  <si>
    <t>Housekeeping</t>
  </si>
  <si>
    <t>Laundry &amp; Linen</t>
  </si>
  <si>
    <t>Operation of Plant</t>
  </si>
  <si>
    <t>Security</t>
  </si>
  <si>
    <t>Central Sterile Supply</t>
  </si>
  <si>
    <t>Pharmacy Department</t>
  </si>
  <si>
    <t>Other General Services</t>
  </si>
  <si>
    <t>Total General Services</t>
  </si>
  <si>
    <t>Professional Services:</t>
  </si>
  <si>
    <t>Medical Care Administration</t>
  </si>
  <si>
    <t>Residency Program</t>
  </si>
  <si>
    <t>Nursing Services Administration</t>
  </si>
  <si>
    <t>Medical Records</t>
  </si>
  <si>
    <t>Social Service</t>
  </si>
  <si>
    <t>Other Professional Services</t>
  </si>
  <si>
    <t>Total Professional Services</t>
  </si>
  <si>
    <t>Special Services:</t>
  </si>
  <si>
    <t>Operating Room</t>
  </si>
  <si>
    <t>Recovery Room</t>
  </si>
  <si>
    <t>Anesthesiology</t>
  </si>
  <si>
    <t>Delivery Room</t>
  </si>
  <si>
    <t>Diagnostic Radiology</t>
  </si>
  <si>
    <t>Diagnostic Ultrasound</t>
  </si>
  <si>
    <t>Radiation Therapy</t>
  </si>
  <si>
    <t>Radioisotopes</t>
  </si>
  <si>
    <t>CT Scan</t>
  </si>
  <si>
    <t>Laboratory</t>
  </si>
  <si>
    <t>Blood Storing/Processing</t>
  </si>
  <si>
    <t>Cardiology</t>
  </si>
  <si>
    <t>Electrocardiology</t>
  </si>
  <si>
    <t>Electroencephalography</t>
  </si>
  <si>
    <t>Occupational Therapy</t>
  </si>
  <si>
    <t>Speech Pathology</t>
  </si>
  <si>
    <t>Audiology</t>
  </si>
  <si>
    <t>Respiratory Therapy</t>
  </si>
  <si>
    <t>Pulmonary Function</t>
  </si>
  <si>
    <t>Intravenous Therapy</t>
  </si>
  <si>
    <t>Shock Therapy</t>
  </si>
  <si>
    <t>Psychiatry / Psychology Services</t>
  </si>
  <si>
    <t>Renal Dialysis</t>
  </si>
  <si>
    <t>Emergency Room</t>
  </si>
  <si>
    <t>MRI</t>
  </si>
  <si>
    <t>PET Scan</t>
  </si>
  <si>
    <t>PET/CT Scan</t>
  </si>
  <si>
    <t>Endoscopy</t>
  </si>
  <si>
    <t>Sleep Center</t>
  </si>
  <si>
    <t>Lithotripsy</t>
  </si>
  <si>
    <t>Cardiac Catheterization/Rehabilitation</t>
  </si>
  <si>
    <t>Occupational Therapy / Physical Therapy</t>
  </si>
  <si>
    <t>Dental Clinic</t>
  </si>
  <si>
    <t>Other Special Services</t>
  </si>
  <si>
    <t>Total Special Services</t>
  </si>
  <si>
    <t>Routine Services:</t>
  </si>
  <si>
    <t>Medical &amp; Surgical Units</t>
  </si>
  <si>
    <t>Intensive Care Unit</t>
  </si>
  <si>
    <t>Coronary Care Unit</t>
  </si>
  <si>
    <t>Psychiatric Unit</t>
  </si>
  <si>
    <t>Pediatric Unit</t>
  </si>
  <si>
    <t>Maternity Unit</t>
  </si>
  <si>
    <t>Newborn Nursery Unit</t>
  </si>
  <si>
    <t>Neonatal ICU</t>
  </si>
  <si>
    <t>Rehabilitation Unit</t>
  </si>
  <si>
    <t>Ambulatory Surgery</t>
  </si>
  <si>
    <t>Home Care</t>
  </si>
  <si>
    <t>Outpatient Clinics</t>
  </si>
  <si>
    <t>Other Routine Services</t>
  </si>
  <si>
    <t>Total Routine Services</t>
  </si>
  <si>
    <t>Other Departments:</t>
  </si>
  <si>
    <t>Miscellaneous Other Departments</t>
  </si>
  <si>
    <t>Total Operating Expenses - All Departments*</t>
  </si>
  <si>
    <t>*A.- E. The total operating expenses amount above must agree with the total operating expenses amount on Report 150.</t>
  </si>
  <si>
    <t xml:space="preserve">      FISCAL YEAR 2014</t>
  </si>
  <si>
    <t>REPORT 185 - HOSPITAL FINANCIAL AND STATISTICAL DATA ANALYSIS</t>
  </si>
  <si>
    <t xml:space="preserve">      FY 2012</t>
  </si>
  <si>
    <t xml:space="preserve">      FY 2013</t>
  </si>
  <si>
    <t xml:space="preserve">      FY 2014</t>
  </si>
  <si>
    <t>Statement of Operations Summary</t>
  </si>
  <si>
    <t xml:space="preserve">Other Operating Revenue </t>
  </si>
  <si>
    <t xml:space="preserve">Excess/(Deficiency) of Revenue Over Expenses </t>
  </si>
  <si>
    <t>Profitability Summary</t>
  </si>
  <si>
    <t>Hospital Operating Margin</t>
  </si>
  <si>
    <t>Hospital Non Operating Margin</t>
  </si>
  <si>
    <t>Hospital Total Margin</t>
  </si>
  <si>
    <t>Total Revenue</t>
  </si>
  <si>
    <t>Net Assets Summary</t>
  </si>
  <si>
    <t>Hospital Unrestricted Net Assets</t>
  </si>
  <si>
    <t>Hospital Total Net Assets</t>
  </si>
  <si>
    <t>Hospital Change in Total Net Assets</t>
  </si>
  <si>
    <t>Hospital Change in Total Net Assets %</t>
  </si>
  <si>
    <t>Cost Data Summary</t>
  </si>
  <si>
    <t>Ratio of Cost to Charges</t>
  </si>
  <si>
    <t>Total Operating Expenses</t>
  </si>
  <si>
    <t>Total Gross Revenue</t>
  </si>
  <si>
    <t>Total Other Operating Revenue</t>
  </si>
  <si>
    <t>Private Payment to Cost Ratio</t>
  </si>
  <si>
    <t>Total Non-Government Payments</t>
  </si>
  <si>
    <t>Total Uninsured Payments</t>
  </si>
  <si>
    <t>Total Non-Government Charges</t>
  </si>
  <si>
    <t>Total Uninsured Charges</t>
  </si>
  <si>
    <t>Medicare Payment to Cost Ratio</t>
  </si>
  <si>
    <t>Total Medicare Payments</t>
  </si>
  <si>
    <t>Total Medicare Charges</t>
  </si>
  <si>
    <t>Medicaid Payment to Cost Ratio</t>
  </si>
  <si>
    <t>Total Medicaid Payments</t>
  </si>
  <si>
    <t>Total Medicaid Charges</t>
  </si>
  <si>
    <t>Uncompensated Care Cost</t>
  </si>
  <si>
    <t>Charity Care</t>
  </si>
  <si>
    <t>Total Uncompensated Care</t>
  </si>
  <si>
    <t>Uncompensated Care % of Total Expenses</t>
  </si>
  <si>
    <t>Liquidity Measures Summary</t>
  </si>
  <si>
    <t>Current Ratio</t>
  </si>
  <si>
    <t>Days Cash on Hand</t>
  </si>
  <si>
    <t>Total Cash and Short Term Investments</t>
  </si>
  <si>
    <t>Depreciation Expense</t>
  </si>
  <si>
    <t>Operating Expenses less Depreciation Expense</t>
  </si>
  <si>
    <t>Days Revenue in Patient Accounts Receivable</t>
  </si>
  <si>
    <t>Net Patient Accounts Receivable</t>
  </si>
  <si>
    <t>Total Net Patient Accounts Receivable and Third Party Payer Activity</t>
  </si>
  <si>
    <t>Average Payment Period</t>
  </si>
  <si>
    <t>Total Operating Expenses less Depreciation Expense</t>
  </si>
  <si>
    <t>Solvency Measures Summary</t>
  </si>
  <si>
    <t>Equity Financing Ratio</t>
  </si>
  <si>
    <t>Cash Flow to Total Debt Ratio</t>
  </si>
  <si>
    <t>Excess/(Deficiency) of Revenues Over Expenses</t>
  </si>
  <si>
    <t>Excess of Revenues Over Expenses and Depreciation Expense</t>
  </si>
  <si>
    <t>Total Current Liabilities and Total Long Term Debt</t>
  </si>
  <si>
    <t>Long Term Debt to Capitalization Ratio</t>
  </si>
  <si>
    <t>Total Long Term Debt and Total Net Assets</t>
  </si>
  <si>
    <t>15</t>
  </si>
  <si>
    <t xml:space="preserve">Debt Service Coverage Ratio </t>
  </si>
  <si>
    <t>Excess Revenues over Expenses</t>
  </si>
  <si>
    <t>Depreciation and Amortization Expense</t>
  </si>
  <si>
    <t xml:space="preserve">Other Financial Ratios </t>
  </si>
  <si>
    <t>20</t>
  </si>
  <si>
    <t>Average Age of Plant</t>
  </si>
  <si>
    <t>Accumulated Depreciation</t>
  </si>
  <si>
    <t>Utilization Measures Summary</t>
  </si>
  <si>
    <t>Patient Days</t>
  </si>
  <si>
    <t>Discharges</t>
  </si>
  <si>
    <t>ALOS</t>
  </si>
  <si>
    <t>Staffed Beds</t>
  </si>
  <si>
    <t>Available Beds</t>
  </si>
  <si>
    <t>Licensed Beds</t>
  </si>
  <si>
    <t>Occupancy of Staffed Beds</t>
  </si>
  <si>
    <t>Occupancy of Available Beds</t>
  </si>
  <si>
    <t>Full Time Equivalent Employees</t>
  </si>
  <si>
    <t>Hospital Gross Revenue Payer Mix Percentage</t>
  </si>
  <si>
    <t>Non-Government Gross Revenue Payer Mix Percentage</t>
  </si>
  <si>
    <t>Medicare Gross Revenue Payer Mix Percentage</t>
  </si>
  <si>
    <t>Medicaid Gross Revenue Payer Mix Percentage</t>
  </si>
  <si>
    <t>Other Medical Assistance Gross Revenue Payer Mix Percentage</t>
  </si>
  <si>
    <t>Uninsured Gross Revenue Payer Mix Percentage</t>
  </si>
  <si>
    <t>CHAMPUS / TRICARE Gross Revenue Payer Mix Percentage</t>
  </si>
  <si>
    <t>Total Gross Revenue Payer Mix Percentage</t>
  </si>
  <si>
    <t>Non-Government Gross Revenue (Charges)</t>
  </si>
  <si>
    <t>Medicare Gross Revenue (Charges)</t>
  </si>
  <si>
    <t>Medicaid Gross Revenue (Charges)</t>
  </si>
  <si>
    <t>Other Medical Assistance Gross Revenue (Charges)</t>
  </si>
  <si>
    <t>Uninsured Gross Revenue (Charges)</t>
  </si>
  <si>
    <t>CHAMPUS / TRICARE Gross Revenue (Charges)</t>
  </si>
  <si>
    <t>Total Gross Revenue (Charges)</t>
  </si>
  <si>
    <t>Hospital Net Revenue Payer Mix Percentage</t>
  </si>
  <si>
    <t>Non-Government Net Revenue Payer Mix Percentage</t>
  </si>
  <si>
    <t>Medicare Net Revenue Payer Mix Percentage</t>
  </si>
  <si>
    <t>Medicaid Net Revenue Payer Mix Percentage</t>
  </si>
  <si>
    <t>Other Medical Assistance Net Revenue Payer Mix Percentage</t>
  </si>
  <si>
    <t>Uninsured Net Revenue Payer Mix Percentage</t>
  </si>
  <si>
    <t>CHAMPUS / TRICARE Net Revenue Payer Mix Percentage</t>
  </si>
  <si>
    <t>Total Net Revenue Payer Mix Percentage</t>
  </si>
  <si>
    <t>Non-Government Net Revenue (Payments)</t>
  </si>
  <si>
    <t>Medicare Net Revenue (Payments)</t>
  </si>
  <si>
    <t>Medicaid Net Revenue (Payments)</t>
  </si>
  <si>
    <t>Other Medical Assistance Net Revenue (Payments)</t>
  </si>
  <si>
    <t>Uninsured Net Revenue (Payments)</t>
  </si>
  <si>
    <t>CHAMPUS / TRICARE Net Revenue Payments)</t>
  </si>
  <si>
    <t>Total Net Revenue (Payments)</t>
  </si>
  <si>
    <t>Non-Government (Including Self Pay / Uninsured)</t>
  </si>
  <si>
    <t>Medicare</t>
  </si>
  <si>
    <t>Medical Assistance</t>
  </si>
  <si>
    <t>Medicaid</t>
  </si>
  <si>
    <t>Other Medical Assistance</t>
  </si>
  <si>
    <t>CHAMPUS / TRICARE</t>
  </si>
  <si>
    <t>Uninsured (Included In Non-Government)</t>
  </si>
  <si>
    <t>Total</t>
  </si>
  <si>
    <t>L.</t>
  </si>
  <si>
    <t>Case Mix Index</t>
  </si>
  <si>
    <t>Total Case Mix Index</t>
  </si>
  <si>
    <t>M.</t>
  </si>
  <si>
    <t>Emergency Department Visits</t>
  </si>
  <si>
    <t>Emergency Room - Treated and Admitted</t>
  </si>
  <si>
    <t>Emergency Room - Treated and Discharged</t>
  </si>
  <si>
    <t>Total Emergency Room Visits</t>
  </si>
  <si>
    <t>REPORT 200 - HOSPITAL MEDICARE MANAGED CARE ACTIVITY</t>
  </si>
  <si>
    <t>FY 2013 ACTUAL</t>
  </si>
  <si>
    <t>FY 2014 ACTUAL</t>
  </si>
  <si>
    <t>AMOUNT DIFFERENCE</t>
  </si>
  <si>
    <t>% DIFFERENCE</t>
  </si>
  <si>
    <t>ANTHEM - MEDICARE BLUE CONNECTICUT</t>
  </si>
  <si>
    <t>Inpatient Charges</t>
  </si>
  <si>
    <t>Inpatient Payments</t>
  </si>
  <si>
    <t>Outpatient Charges</t>
  </si>
  <si>
    <t>Outpatient Payments</t>
  </si>
  <si>
    <t>Outpatient Visits (Excludes ED Visits)</t>
  </si>
  <si>
    <t>Emergency Department Outpatient Visits</t>
  </si>
  <si>
    <t>Emergency Department Inpatient Admissions</t>
  </si>
  <si>
    <t>TOTAL INPATIENT &amp; OUTPATIENT CHARGES</t>
  </si>
  <si>
    <t xml:space="preserve">TOTAL INPATIENT &amp; OUTPATIENT PAYMENTS             </t>
  </si>
  <si>
    <t>CIGNA HEALTHCARE</t>
  </si>
  <si>
    <t>CONNECTICARE, INC.</t>
  </si>
  <si>
    <t>HEALTHNET OF CONNECTICUT</t>
  </si>
  <si>
    <t>OTHER MEDICARE MANAGED CARE</t>
  </si>
  <si>
    <t>OXFORD HEALTH PLANS, INC - MEDICARE ADVANTAGE</t>
  </si>
  <si>
    <t>UNITED HEALTHCARE INSURANCE COMPANY</t>
  </si>
  <si>
    <t>WELLCARE OF CONNECTICUT</t>
  </si>
  <si>
    <t>AETNA</t>
  </si>
  <si>
    <t>HUMANA</t>
  </si>
  <si>
    <t>SECURE HORIZONS</t>
  </si>
  <si>
    <t>UNICARE LIFE &amp; HEALTH INSURANCE</t>
  </si>
  <si>
    <t>UNIVERSAL AMERICAN</t>
  </si>
  <si>
    <t>N.</t>
  </si>
  <si>
    <t>EVERCARE</t>
  </si>
  <si>
    <t>TOTAL MEDICARE MANAGED CARE</t>
  </si>
  <si>
    <t>TOTAL INPATIENT CHARGES</t>
  </si>
  <si>
    <t>TOTAL INPATIENT PAYMENTS</t>
  </si>
  <si>
    <t>TOTAL OUTPATIENT CHARGES</t>
  </si>
  <si>
    <t>TOTAL OUTPATIENT PAYMENTS</t>
  </si>
  <si>
    <t>TOTAL OUTPATIENT VISITS (EXCLUDES ED VISITS)</t>
  </si>
  <si>
    <t>TOTAL EMERGENCY DEPARTMENT INPATIENT ADMISSIONS</t>
  </si>
  <si>
    <t xml:space="preserve">TOTAL INPATIENT &amp; OUTPATIENT CHARGES               </t>
  </si>
  <si>
    <t>TOTAL INPATIENT &amp; OUTPATIENT PAYMENTS</t>
  </si>
  <si>
    <t>REPORT 250 - HOSPITAL MEDICAID MANAGED CARE ACTIVITY</t>
  </si>
  <si>
    <t xml:space="preserve">      FY 2013 ACTUAL     </t>
  </si>
  <si>
    <t xml:space="preserve">      FY 2014 ACTUAL     </t>
  </si>
  <si>
    <t xml:space="preserve">A.     </t>
  </si>
  <si>
    <t>ANTHEM BLUE CROSS AND BLUE SHIELD OF CONNECTICUT</t>
  </si>
  <si>
    <t xml:space="preserve">B.     </t>
  </si>
  <si>
    <t>COMMUNITY HEALTH NETWORK OF CT</t>
  </si>
  <si>
    <t xml:space="preserve">C.     </t>
  </si>
  <si>
    <t>HEALTHNET OF THE NORTHEAST, INC.</t>
  </si>
  <si>
    <t xml:space="preserve">D.     </t>
  </si>
  <si>
    <t>OTHER MEDICAID MANAGED CARE</t>
  </si>
  <si>
    <t xml:space="preserve">E.     </t>
  </si>
  <si>
    <t xml:space="preserve">F.     </t>
  </si>
  <si>
    <t>FIRST CHOICE OF CONNECTICUT, PREFERRED ONE</t>
  </si>
  <si>
    <t xml:space="preserve">G.     </t>
  </si>
  <si>
    <t>UNITED HEALTHCARE</t>
  </si>
  <si>
    <t xml:space="preserve">H.     </t>
  </si>
  <si>
    <t>TOTAL MEDICAID MANAGED CARE</t>
  </si>
  <si>
    <t xml:space="preserve">          TOTAL INPATIENT CHARGES</t>
  </si>
  <si>
    <t xml:space="preserve">          TOTAL INPATIENT PAYMENTS</t>
  </si>
  <si>
    <t xml:space="preserve">          TOTAL OUTPATIENT CHARGES</t>
  </si>
  <si>
    <t xml:space="preserve">          TOTAL OUTPATIENT PAYMENTS</t>
  </si>
  <si>
    <t xml:space="preserve">          TOTAL DISCHARGES</t>
  </si>
  <si>
    <t xml:space="preserve">          TOTAL PATIENT DAYS</t>
  </si>
  <si>
    <t xml:space="preserve">          TOTAL OUTPATIENT VISITS (EXCLUDES ED VISITS)</t>
  </si>
  <si>
    <t xml:space="preserve">          TOTAL EMERGENCY DEPARTMENT OUTPATIENT VISITS</t>
  </si>
  <si>
    <t xml:space="preserve">          TOTAL EMERGENCY DEPARTMENT INPATIENT ADMISSIONS</t>
  </si>
  <si>
    <t>SHARON HOSPITAL HOLDING CO, INC.</t>
  </si>
  <si>
    <t>REPORT 300 - PARENT CORPORATION CONSOLIDATED BALANCE SHEET INFORMATION</t>
  </si>
  <si>
    <t>REPORT 350 - PARENT CORPORATION CONSOLIDATED STATEMENT OF OPERATIONS INFORMATION</t>
  </si>
  <si>
    <t>Excess/(Deficiency) of Revenue Over Expenses (Before Other Adjustments)</t>
  </si>
  <si>
    <t>REPORT 385 - PARENT CORPORATION CONSOLIDATED FINANCIAL DATA ANALYSIS</t>
  </si>
  <si>
    <t>FY 2012</t>
  </si>
  <si>
    <t>Parent Corporation Statement of Operations Summary</t>
  </si>
  <si>
    <t>Net Patient Revenue</t>
  </si>
  <si>
    <t>Parent Corporation Profitability Summary</t>
  </si>
  <si>
    <t>Parent Corporation Operating Margin</t>
  </si>
  <si>
    <t>Parent Corporation Non-Operating Margin</t>
  </si>
  <si>
    <t>Parent Corporation Total Margin</t>
  </si>
  <si>
    <t>Parent Corporation Net Assets Summary</t>
  </si>
  <si>
    <t>Parent Corporation Unrestricted Net Assets</t>
  </si>
  <si>
    <t>Parent Corporation Total Net Assets</t>
  </si>
  <si>
    <t>Parent Corporation Change in Total Net Assets</t>
  </si>
  <si>
    <t>Parent Corporation Change in Total Net Assets %</t>
  </si>
  <si>
    <t>REPORT 400 - HOSPITAL INPATIENT BED UTILIZATION BY DEPARTMENT</t>
  </si>
  <si>
    <t>(3a)</t>
  </si>
  <si>
    <t>(3b)</t>
  </si>
  <si>
    <t>OCCUPANCY</t>
  </si>
  <si>
    <t>PATIENT</t>
  </si>
  <si>
    <t>DISCHARGES OR</t>
  </si>
  <si>
    <t>ADMISSIONS</t>
  </si>
  <si>
    <t>STAFFED</t>
  </si>
  <si>
    <t>AVAILABLE</t>
  </si>
  <si>
    <t>OF STAFFED</t>
  </si>
  <si>
    <t>OF AVAILABLE</t>
  </si>
  <si>
    <t>DAYS</t>
  </si>
  <si>
    <t>ICU/CCU # PATIENT</t>
  </si>
  <si>
    <t/>
  </si>
  <si>
    <t>BEDS (A)</t>
  </si>
  <si>
    <t>BEDS</t>
  </si>
  <si>
    <t xml:space="preserve">Adult Medical/Surgical      </t>
  </si>
  <si>
    <t xml:space="preserve">ICU/CCU (Excludes Neonatal ICU)                          </t>
  </si>
  <si>
    <t xml:space="preserve">Psychiatric: Ages 0 to 17                                 </t>
  </si>
  <si>
    <t xml:space="preserve">Psychiatric: Ages 18+                                  </t>
  </si>
  <si>
    <t>TOTAL PSYCHIATRIC</t>
  </si>
  <si>
    <t xml:space="preserve">Rehabilitation </t>
  </si>
  <si>
    <t xml:space="preserve">Maternity                                                    </t>
  </si>
  <si>
    <t xml:space="preserve">Newborn                                                   </t>
  </si>
  <si>
    <t xml:space="preserve">Neonatal ICU                                            </t>
  </si>
  <si>
    <t xml:space="preserve">Pediatric                                                    </t>
  </si>
  <si>
    <t xml:space="preserve">Other                                                     </t>
  </si>
  <si>
    <t>TOTAL EXCLUDING NEWBORN</t>
  </si>
  <si>
    <t>TOTAL INPATIENT BED UTILIZATION</t>
  </si>
  <si>
    <t>TOTAL INPATIENT REPORTED YEAR</t>
  </si>
  <si>
    <t>TOTAL INPATIENT PRIOR YEAR</t>
  </si>
  <si>
    <t>DIFFERENCE #: REPORTED VS. PRIOR YEAR</t>
  </si>
  <si>
    <t>DIFFERENCE %: REPORTED VS. PRIOR YEAR</t>
  </si>
  <si>
    <t>Total Licensed Beds and Bassinets</t>
  </si>
  <si>
    <t>(A) This number may not exceed the number of available beds for each department or in total.</t>
  </si>
  <si>
    <t>Note: Total discharges do not include ICU/CCU patients.</t>
  </si>
  <si>
    <t>REPORT 450 -  HOSPITAL INPATIENT AND OUTPATIENT OTHER SERVICES UTILIZATION AND FTEs</t>
  </si>
  <si>
    <t>CT Scans (A)</t>
  </si>
  <si>
    <t>Inpatient Scans</t>
  </si>
  <si>
    <t>Outpatient Scans (Excluding Emergency Department Scans)</t>
  </si>
  <si>
    <t>Emergency Department Scans</t>
  </si>
  <si>
    <t>Other Non-Hospital Providers' Scans (A)</t>
  </si>
  <si>
    <t>Total CT Scans</t>
  </si>
  <si>
    <t>MRI Scans (A)</t>
  </si>
  <si>
    <t>Total MRI Scans</t>
  </si>
  <si>
    <t>PET Scans (A)</t>
  </si>
  <si>
    <t>Total PET Scans</t>
  </si>
  <si>
    <t>PET/CT Scans (A)</t>
  </si>
  <si>
    <t>Total PET/CT Scans</t>
  </si>
  <si>
    <t>(A) If the Hospital is not the primary provider of these scans, the Hospital must obtain the fiscal year</t>
  </si>
  <si>
    <t xml:space="preserve">      volume of each of these types of scans from the primary provider of the scans.</t>
  </si>
  <si>
    <t>Linear Accelerator Procedures</t>
  </si>
  <si>
    <t>Inpatient Procedures</t>
  </si>
  <si>
    <t>Outpatient Procedures</t>
  </si>
  <si>
    <t>Total Linear Accelerator Procedures</t>
  </si>
  <si>
    <t>Cardiac Catheterization Procedures</t>
  </si>
  <si>
    <t>Total Cardiac Catheterization Procedures</t>
  </si>
  <si>
    <t>Cardiac Angioplasty Procedures</t>
  </si>
  <si>
    <t>Primary Procedures</t>
  </si>
  <si>
    <t>Elective Procedures</t>
  </si>
  <si>
    <t>Total Cardiac Angioplasty Procedures</t>
  </si>
  <si>
    <t>Electrophysiology Studies</t>
  </si>
  <si>
    <t>Inpatient Studies</t>
  </si>
  <si>
    <t>Outpatient Studies</t>
  </si>
  <si>
    <t>Total Electrophysiology Studies</t>
  </si>
  <si>
    <t>Surgical Procedures</t>
  </si>
  <si>
    <t>Inpatient Surgical Procedures</t>
  </si>
  <si>
    <t>Outpatient Surgical Procedures</t>
  </si>
  <si>
    <t>Total Surgical Procedures</t>
  </si>
  <si>
    <t>Endoscopy Procedures</t>
  </si>
  <si>
    <t>Inpatient Endoscopy Procedures</t>
  </si>
  <si>
    <t>Outpatient Endoscopy Procedures</t>
  </si>
  <si>
    <t>Total Endoscopy Procedures</t>
  </si>
  <si>
    <t>Hospital Emergency Room Visits</t>
  </si>
  <si>
    <t>Emergency Room Visits: Treated and Admitted</t>
  </si>
  <si>
    <t>Emergency Room Visits: Treated and Discharged</t>
  </si>
  <si>
    <t>Hospital Clinic Visits</t>
  </si>
  <si>
    <t>Substance Abuse Treatment Clinic Visits</t>
  </si>
  <si>
    <t>Dental Clinic Visits</t>
  </si>
  <si>
    <t>Psychiatric Clinic Visits</t>
  </si>
  <si>
    <t>Medical Clinic Visits</t>
  </si>
  <si>
    <t>Medical Clinic Visits - Pediatric Clinic</t>
  </si>
  <si>
    <t>Medical Clinic Visits - Urgent Care Clinic</t>
  </si>
  <si>
    <t>Medical Clinic Visits - Family Practice Clinic</t>
  </si>
  <si>
    <t>Medical Clinic Visits - Other  Medical Clinics</t>
  </si>
  <si>
    <t>Specialty Clinic Visits</t>
  </si>
  <si>
    <t>Specialty Clinic Visits - Cardiac Clinic</t>
  </si>
  <si>
    <t>Specialty Clinic Visits - Chronic Pain Clinic</t>
  </si>
  <si>
    <t>Specialty Clinic Visits - OB-GYN Clinic</t>
  </si>
  <si>
    <t>Specialty Clinic Visits - Other Speciality Clinics</t>
  </si>
  <si>
    <t>Total Hospital Clinic Visits</t>
  </si>
  <si>
    <t>Other Hospital Outpatient Visits</t>
  </si>
  <si>
    <t>Rehabilitation (PT/OT/ST)</t>
  </si>
  <si>
    <t>Cardiac Rehabilitation</t>
  </si>
  <si>
    <t>Chemotherapy</t>
  </si>
  <si>
    <t>Gastroenterology</t>
  </si>
  <si>
    <t>Other Outpatient Visits</t>
  </si>
  <si>
    <t>Total Other Hospital Outpatient Visits</t>
  </si>
  <si>
    <t>Hospital Full Time Equivalent Employees</t>
  </si>
  <si>
    <t>Total Nursing FTEs</t>
  </si>
  <si>
    <t>Total Physician FTEs</t>
  </si>
  <si>
    <t>Total Non-Nursing and Non-Physician FTEs</t>
  </si>
  <si>
    <t>Total Hospital Full Time Equivalent Employees</t>
  </si>
  <si>
    <t>REPORT 485 -  HOSPITAL OUTPATIENT SURGICAL, ENDOSCOPY AND EMERGENCY ROOM SERVICES BY LOCATION</t>
  </si>
  <si>
    <t>Sharon Hospital</t>
  </si>
  <si>
    <t>Total Outpatient Surgical Procedures(A)</t>
  </si>
  <si>
    <t>Total Outpatient Endoscopy Procedures(B)</t>
  </si>
  <si>
    <t>Outpatient Hospital Emergency Room Visits</t>
  </si>
  <si>
    <t>Total Outpatient Hospital Emergency Room Visits(C)</t>
  </si>
  <si>
    <t>(A) Must agree with Total Outpatient Surgical Procedures on Report 450.</t>
  </si>
  <si>
    <t>(B) Must agree with Total Outpatient Endoscopy Procedures on Report 450.</t>
  </si>
  <si>
    <t>(C) Must agree with Emergency Room Visits Treated and Discharged on Report 450.</t>
  </si>
  <si>
    <t xml:space="preserve">TWELVE MONTHS ACTUAL FILING </t>
  </si>
  <si>
    <t>REPORT FORM 500 - CALCULATION OF DSH UPPER PAYMENT LIMIT</t>
  </si>
  <si>
    <t>AND BASELINE UNDERPAYMENT DATA: COMPARATIVE ANALYSIS</t>
  </si>
  <si>
    <t xml:space="preserve">ACTUAL </t>
  </si>
  <si>
    <t xml:space="preserve">AMOUNT </t>
  </si>
  <si>
    <t>DATA BY MAJOR PAYER CATEGORY</t>
  </si>
  <si>
    <t>MEDICARE</t>
  </si>
  <si>
    <t>MEDICARE INPATIENT</t>
  </si>
  <si>
    <t xml:space="preserve">INPATIENT ACCRUED CHARGES </t>
  </si>
  <si>
    <t xml:space="preserve">INPATIENT ACCRUED PAYMENTS (IP PMT) </t>
  </si>
  <si>
    <t>INPATIENT PAYMENTS / INPATIENT CHARGES</t>
  </si>
  <si>
    <t>CASE MIX INDEX (CMI)</t>
  </si>
  <si>
    <t>CASE MIX ADJUSTED DISCHARGES (CMAD)</t>
  </si>
  <si>
    <t>INPATIENT ACCRUED PAYMENT / CMAD</t>
  </si>
  <si>
    <t>INPATIENT ACCRUED PAYMENT / PATIENT DAY</t>
  </si>
  <si>
    <t>AVERAGE LENGTH OF STAY</t>
  </si>
  <si>
    <t>MEDICARE OUTPATIENT</t>
  </si>
  <si>
    <t xml:space="preserve">OUTPATIENT ACCRUED CHARGES (OP CHGS) </t>
  </si>
  <si>
    <t xml:space="preserve">OUTPATIENT ACCRUED PAYMENTS  (OP PMT) </t>
  </si>
  <si>
    <t>OUTPATIENT PAYMENTS / OUTPATIENT CHARGES</t>
  </si>
  <si>
    <t>OUTPATIENT CHARGES / INPATIENT CHARGES</t>
  </si>
  <si>
    <t>OUTPATIENT EQUIVALENT DISCHARGES (OPED)</t>
  </si>
  <si>
    <t>OUTPATIENT ACCRUED PAYMENTS / OPED</t>
  </si>
  <si>
    <t>MEDICARE TOTALS (INPATIENT + OUTPATIENT)</t>
  </si>
  <si>
    <t>TOTAL ACCRUED CHARGES</t>
  </si>
  <si>
    <t>TOTAL ACCRUED PAYMENTS</t>
  </si>
  <si>
    <t>TOTAL ALLOWANCES</t>
  </si>
  <si>
    <t>NON-GOVERNMENT (INCLUDING SELF PAY / UNINSURED)</t>
  </si>
  <si>
    <t>NON-GOVERNMENT INPATIENT</t>
  </si>
  <si>
    <t>MEDICARE - NON-GOVERNMENT IP PMT / CMAD</t>
  </si>
  <si>
    <t>INPATIENT UPPER LIMIT (OVER) / UNDERPAYMENT</t>
  </si>
  <si>
    <t>NON-GOVERNMENT OUTPATIENT</t>
  </si>
  <si>
    <t>MEDICARE- NON-GOVERNMENT OP PMT / OPED</t>
  </si>
  <si>
    <t>OUTPATIENT UPPER LIMIT (OVER) / UNDERPAYMENT</t>
  </si>
  <si>
    <t>NON-GOVERNMENT TOTALS (INPATIENT + OUTPATIENT)</t>
  </si>
  <si>
    <t>TOTAL UPPER LIMIT (OVER) / UNDERPAYMENT</t>
  </si>
  <si>
    <t>NON-GOVERNMENT CONTRACTUAL ALLOWANCES (NGCA) DATA</t>
  </si>
  <si>
    <t>ACCRUED CHARGES ASSOCIATED WITH NGCA</t>
  </si>
  <si>
    <t>ACCRUED PAYMENTS ASSOCIATED WITH NGCA</t>
  </si>
  <si>
    <t>(PRIOR TO ANY REDUCTION FOR UNCOMPENSATED CARE)</t>
  </si>
  <si>
    <t>TOTAL NON-GOVERNMENT  CONTRACTUAL ALLOWANCES</t>
  </si>
  <si>
    <t>TOTAL ACTUAL DISCOUNT PERCENTAGE</t>
  </si>
  <si>
    <t>UNINSURED</t>
  </si>
  <si>
    <t>UNINSURED INPATIENT</t>
  </si>
  <si>
    <t>NON-GOVERNMENT - UNINSURED IP PMT / CMAD</t>
  </si>
  <si>
    <t>MEDICARE - UNINSURED IP PMT / CMAD</t>
  </si>
  <si>
    <t xml:space="preserve">UNINSURED OUTPATIENT </t>
  </si>
  <si>
    <t>NON-GOVERNMENT - UNINSURED OP PMT / OPED</t>
  </si>
  <si>
    <t>MEDICARE - UNINSURED OP PMT / OPED</t>
  </si>
  <si>
    <t>UNINSURED TOTALS (INPATIENT AND OUTPATIENT)</t>
  </si>
  <si>
    <t>STATE OF CONNECTICUT MEDICAID</t>
  </si>
  <si>
    <t>MEDICAID INPATIENT</t>
  </si>
  <si>
    <t>NON-GOVERNMENT - MEDICAID  IP PMT / CMAD</t>
  </si>
  <si>
    <t>MEDICARE - MEDICAID IP PMT / CMAD</t>
  </si>
  <si>
    <t>MEDICAID OUTPATIENT</t>
  </si>
  <si>
    <t>NON-GOVERNMENT - MEDICAID OP PMT / OPED</t>
  </si>
  <si>
    <t>MEDICARE - MEDICAID OP PMT / OPED</t>
  </si>
  <si>
    <t>MEDICAID TOTALS (INPATIENT + OUTPATIENT)</t>
  </si>
  <si>
    <t>OTHER MEDICAL ASSISTANCE (O.M.A.)</t>
  </si>
  <si>
    <t>OTHER MEDICAL ASSISTANCE INPATIENT</t>
  </si>
  <si>
    <t>NON-GOVERNMENT - O.M.A  IP PMT / CMAD</t>
  </si>
  <si>
    <t>MEDICARE - O.M.A. IP PMT / CMAD</t>
  </si>
  <si>
    <t>OTHER MEDICAL ASSISTANCE OUTPATIENT</t>
  </si>
  <si>
    <t>NON-GOVERNMENT - O.M.A  OP PMT / CMAD</t>
  </si>
  <si>
    <t>MEDICARE - O.M.A. OP PMT / CMAD</t>
  </si>
  <si>
    <t>OTHER MEDICAL ASSISTANCE TOTALS (INPATIENT + OUTPATIENT)</t>
  </si>
  <si>
    <t>TOTAL OTHER MEDICAL ASSISTANCE UPPER LIMIT UNDERPAYMENT</t>
  </si>
  <si>
    <t>TOTAL MEDICAL ASSISTANCE (MEDICAID + OTHER MEDICAL ASSISTANCE)</t>
  </si>
  <si>
    <t>TOTAL  MEDICAL ASSISTANCE INPATIENT</t>
  </si>
  <si>
    <t>NON-GOVERNMENT - TOTAL MEDICAL ASSISTANCE IP PMT / CMAD</t>
  </si>
  <si>
    <t>MEDICARE - TOTAL MEDICAL ASSISTANCE IP PMT / CMAD</t>
  </si>
  <si>
    <t>TOTAL MEDICAL ASSISTANCE OUTPATIENT</t>
  </si>
  <si>
    <t>NON-GOVERNMENT - TOTAL MEDICAL ASSISTANCE OP PMT / OPED</t>
  </si>
  <si>
    <t>MEDICARE - TOTAL MEDICAL ASSISTANCE OP PMT / OPED</t>
  </si>
  <si>
    <t>TOTAL MEDICAL ASSISTANCE TOTALS (INPATIENT + OUTPATIENT)</t>
  </si>
  <si>
    <t xml:space="preserve">CHAMPUS / TRICARE </t>
  </si>
  <si>
    <t>CHAMPUS / TRICARE INPATIENT</t>
  </si>
  <si>
    <t>CHAMPUS / TRICARE OUTPATIENT</t>
  </si>
  <si>
    <t>CHAMPUS / TRICARE TOTALS (INPATIENT + OUTPATIENT)</t>
  </si>
  <si>
    <t xml:space="preserve">OTHER DATA </t>
  </si>
  <si>
    <t>OTHER OPERATING REVENUE</t>
  </si>
  <si>
    <t>TOTAL OPERATING EXPENSES</t>
  </si>
  <si>
    <t>UCP DSH PAYMENTS (Gross DSH plus Upper Limit Adjustment)</t>
  </si>
  <si>
    <t>COST OF UNCOMPENSATED CARE (BASELINE METHODOLOGY)</t>
  </si>
  <si>
    <t>CHARITY CARE (CHARGES)</t>
  </si>
  <si>
    <t>BAD DEBTS (CHARGES)</t>
  </si>
  <si>
    <t>UNCOMPENSATED CARE (CHARGES)</t>
  </si>
  <si>
    <t>COST OF UNCOMPENSATED CARE</t>
  </si>
  <si>
    <t>TOTAL MEDICAL ASSISTANCE UNDERPAYMENT (BASELINE METHODOLOGY)</t>
  </si>
  <si>
    <t xml:space="preserve">COST OF TOTAL MEDICAL ASSISTANCE </t>
  </si>
  <si>
    <t>MEDICAL ASSISTANCE (OVER) / UNDERPAYMENT</t>
  </si>
  <si>
    <t xml:space="preserve">AGGREGATE DATA </t>
  </si>
  <si>
    <t>TOTALS - ALL PAYERS</t>
  </si>
  <si>
    <t>TOTAL INPATIENT PAYMENTS / CHARGES</t>
  </si>
  <si>
    <t>TOTAL CASE MIX INDEX</t>
  </si>
  <si>
    <t>TOTAL CASE MIX ADJUSTED DISCHARGES</t>
  </si>
  <si>
    <t>TOTAL CHARGES</t>
  </si>
  <si>
    <t>TOTAL PAYMENTS</t>
  </si>
  <si>
    <t>TOTAL PAYMENTS / TOTAL CHARGES</t>
  </si>
  <si>
    <t>TOTALS - ALL GOVERNMENT PAYERS</t>
  </si>
  <si>
    <t xml:space="preserve"> INPATIENT CHARGES</t>
  </si>
  <si>
    <t xml:space="preserve"> INPATIENT PAYMENTS</t>
  </si>
  <si>
    <t>GOVT. INPATIENT PAYMENTS / CHARGES</t>
  </si>
  <si>
    <t xml:space="preserve"> DISCHARGES</t>
  </si>
  <si>
    <t xml:space="preserve"> CASE MIX INDEX</t>
  </si>
  <si>
    <t>CASE MIX ADJUSTED  DISCHARGES</t>
  </si>
  <si>
    <t xml:space="preserve"> OUTPATIENT CHARGES</t>
  </si>
  <si>
    <t xml:space="preserve"> OUTPATIENT CHARGES / INPATIENT CHARGES</t>
  </si>
  <si>
    <t xml:space="preserve"> OUTPATIENT PAYMENTS</t>
  </si>
  <si>
    <t xml:space="preserve"> OUTPATIENT PAYMENTS / OUTPATIENT CHARGES</t>
  </si>
  <si>
    <t>TOTAL  CHARGES</t>
  </si>
  <si>
    <t>TOTAL  PAYMENTS</t>
  </si>
  <si>
    <t>TOTAL  PAYMENTS /  CHARGES</t>
  </si>
  <si>
    <t>TOTAL GOVERNMENT DEDUCTIONS</t>
  </si>
  <si>
    <t>OTHER MEDICAL ASSISTANCE</t>
  </si>
  <si>
    <t>TOTAL AVERAGE LENGTH OF STAY</t>
  </si>
  <si>
    <t>DATA USED IN BASELINE UNDERPAYMENT CALCULATION</t>
  </si>
  <si>
    <t>UNCOMPENSATED CARE</t>
  </si>
  <si>
    <t>TOTAL NON-GOVERNMENT CONTRACTUAL ALLOWANCES</t>
  </si>
  <si>
    <t>EMPLOYEE SELF INSURANCE ALLOWANCE</t>
  </si>
  <si>
    <t>TOTAL ADJUSTMENTS</t>
  </si>
  <si>
    <t xml:space="preserve">TOTAL ACCRUED PAYMENTS </t>
  </si>
  <si>
    <r>
      <t xml:space="preserve">UCP DSH PAYMENTS. (Gross DSH+Upper Limit Adj.- </t>
    </r>
    <r>
      <rPr>
        <b/>
        <sz val="8"/>
        <rFont val="Arial"/>
        <family val="2"/>
      </rPr>
      <t>OHCA Input</t>
    </r>
    <r>
      <rPr>
        <sz val="8"/>
        <rFont val="Arial"/>
        <family val="2"/>
      </rPr>
      <t>)</t>
    </r>
  </si>
  <si>
    <t>NET REVENUE USED TO CALCULATE DSH FUTURE PYMNTS.</t>
  </si>
  <si>
    <t xml:space="preserve">RATIO OF NET REVENUE TO TOTAL CHARGES </t>
  </si>
  <si>
    <r>
      <t xml:space="preserve">PLUS OHCA ADJUSTMENT </t>
    </r>
    <r>
      <rPr>
        <b/>
        <sz val="8"/>
        <rFont val="Arial"/>
        <family val="2"/>
      </rPr>
      <t>(OHCA INPUT)</t>
    </r>
  </si>
  <si>
    <t>TOTAL COST OF UNCOMPENSATED CARE AND</t>
  </si>
  <si>
    <t>MEDICAL ASSISTANCE UNDERPAYMENT</t>
  </si>
  <si>
    <t>CALCULATED UNDERPAYMENT (UPPER LIMIT METHODOLOGY)</t>
  </si>
  <si>
    <t>UNINSURED (INCLUDED IN NON-GOVERNMENT)</t>
  </si>
  <si>
    <t>TOTAL CALCULATED UNDERPAYMENT (UPPER LIMIT METHODOLOGY)</t>
  </si>
  <si>
    <t>V.</t>
  </si>
  <si>
    <t>DATA USED IN RECONCILIATIONS IN REPORTS 550 AND 600</t>
  </si>
  <si>
    <t>EMPLOYEE SELF INSURANCE GROSS REVENUE</t>
  </si>
  <si>
    <t>PLUS/MINUS OTHER ADJUST. TO OHCA DEFINED NET REVENUE</t>
  </si>
  <si>
    <t>NET REVENUE FROM HOSPITAL AUDITED FINANCIAL STATEMENTS</t>
  </si>
  <si>
    <t>PLUS/MINUS  OTHER ADJUST. TO OHCA DEFINED GROSS REVENUE</t>
  </si>
  <si>
    <t>GROSS REVENUE FROM HOSP.AUDIT. FINANCIAL STATEMENTS</t>
  </si>
  <si>
    <t>PLUS/MINUS OTHER ADJUST. TO  OHCA DEFINED  UNCOMP. CARE</t>
  </si>
  <si>
    <t>UNCOMP. CARE FROM HOSPITAL AUDITED FINANCIAL STATEMENTS</t>
  </si>
  <si>
    <t xml:space="preserve">           FISCAL YEAR 2014</t>
  </si>
  <si>
    <t>REPORT 550 - CALCULATION OF DSH UPPER PAYMENT LIMIT AND</t>
  </si>
  <si>
    <t>BASELINE UNDERPAYMENT DATA</t>
  </si>
  <si>
    <r>
      <t xml:space="preserve">ACTUAL            </t>
    </r>
    <r>
      <rPr>
        <b/>
        <u/>
        <sz val="12"/>
        <rFont val="Arial"/>
        <family val="2"/>
      </rPr>
      <t>FY 2013</t>
    </r>
  </si>
  <si>
    <r>
      <t xml:space="preserve">ACTUAL            </t>
    </r>
    <r>
      <rPr>
        <b/>
        <u/>
        <sz val="12"/>
        <rFont val="Arial"/>
        <family val="2"/>
      </rPr>
      <t>FY 2014</t>
    </r>
  </si>
  <si>
    <r>
      <t xml:space="preserve">AMOUNT  </t>
    </r>
    <r>
      <rPr>
        <b/>
        <u/>
        <sz val="12"/>
        <rFont val="Arial"/>
        <family val="2"/>
      </rPr>
      <t>DIFFERENCE</t>
    </r>
  </si>
  <si>
    <t xml:space="preserve">ACCRUED CHARGES AND PAYMENTS </t>
  </si>
  <si>
    <t>INPATIENT ACCRUED CHARGES</t>
  </si>
  <si>
    <t>MEDICAL ASSISTANCE (INCLUDING OTHER MEDICAL ASSISTANCE)</t>
  </si>
  <si>
    <t>TOTAL INPATIENT GOVERNMENT CHARGES</t>
  </si>
  <si>
    <t>OUTPATIENT ACCRUED CHARGES</t>
  </si>
  <si>
    <t>TOTAL OUTPATIENT GOVERNMENT CHARGES</t>
  </si>
  <si>
    <t>TOTAL NONGOVERNMENT (INCLUDING SELF PAY / UNINSURED)</t>
  </si>
  <si>
    <t>TOTAL MEDICARE</t>
  </si>
  <si>
    <t>TOTAL MEDICAL ASSISTANCE (INCLUDING OTHER MEDICAL ASSISTANCE)</t>
  </si>
  <si>
    <t>TOTAL MEDICAID</t>
  </si>
  <si>
    <t>TOTAL OTHER MEDICAL ASSISTANCE</t>
  </si>
  <si>
    <t>TOTAL CHAMPUS / TRICARE</t>
  </si>
  <si>
    <t>TOTAL UNINSURED (INCLUDED IN NON-GOVERNMENT)</t>
  </si>
  <si>
    <t>TOTAL GOVERNMENT CHARGES</t>
  </si>
  <si>
    <t>INPATIENT ACCRUED PAYMENTS</t>
  </si>
  <si>
    <t>TOTAL INPATIENT GOVERNMENT PAYMENTS</t>
  </si>
  <si>
    <t>OUTPATIENT ACCRUED PAYMENTS</t>
  </si>
  <si>
    <t>TOTAL OUTPATIENT GOVERNMENT PAYMENTS</t>
  </si>
  <si>
    <t>TOTAL GOVERNMENT PAYMENTS</t>
  </si>
  <si>
    <t>PAYER MIX</t>
  </si>
  <si>
    <t>INPATIENT PAYER MIX BASED ON ACCRUED CHARGES</t>
  </si>
  <si>
    <t>TOTAL INPATIENT GOVERNMENT PAYER MIX</t>
  </si>
  <si>
    <t>TOTAL INPATIENT PAYER MIX</t>
  </si>
  <si>
    <t>OUTPATIENT PAYER MIX BASED ON ACCRUED CHARGES</t>
  </si>
  <si>
    <t>TOTAL OUTPATIENT GOVERNMENT PAYER MIX</t>
  </si>
  <si>
    <t>TOTAL OUTPATIENT PAYER MIX</t>
  </si>
  <si>
    <t>TOTAL PAYER MIX BASED ON ACCRUED CHARGES</t>
  </si>
  <si>
    <t>INPATIENT PAYER MIX BASED ON ACCRUED PAYMENTS</t>
  </si>
  <si>
    <t>OUTPATIENT PAYER MIX BASED ON ACCRUED PAYMENTS</t>
  </si>
  <si>
    <t>TOTAL PAYER MIX BASED ON ACCRUED PAYMENTS</t>
  </si>
  <si>
    <t>DISCHARGES, PATIENT DAYS, ALOS, CASE MIX INDEX AND OTHER REQUIRED DATA</t>
  </si>
  <si>
    <t xml:space="preserve">DISCHARGES </t>
  </si>
  <si>
    <t>TOTAL GOVERNMENT DISCHARGES</t>
  </si>
  <si>
    <t>TOTAL GOVERNMENT PATIENT DAYS</t>
  </si>
  <si>
    <t>AVERAGE LENGTH OF STAY (ALOS)</t>
  </si>
  <si>
    <t>TOTAL GOVERNMENT AVERAGE LENGTH OF STAY</t>
  </si>
  <si>
    <t>CASE MIX INDEX</t>
  </si>
  <si>
    <t>TOTAL GOVERNMENT CASE MIX INDEX</t>
  </si>
  <si>
    <t>OTHER REQUIRED DATA</t>
  </si>
  <si>
    <t>TOTAL CHARGES ASSOCIATED WITH NON-GOVERNMENT CONTRACTUAL ALLOWANCES</t>
  </si>
  <si>
    <t>ACCRUED PAYMENTS ASSOCIATED WITH NON-GOVERNMENT CONTRACTUAL ALLOWANCES</t>
  </si>
  <si>
    <r>
      <t>UCP DSH PAYMENTS (GROSS DSH PAYMENTS PLUS UPPER LIMIT ADJUSTMENT-</t>
    </r>
    <r>
      <rPr>
        <b/>
        <sz val="11"/>
        <rFont val="Arial"/>
        <family val="2"/>
      </rPr>
      <t>OHCA INPUT</t>
    </r>
    <r>
      <rPr>
        <sz val="11"/>
        <rFont val="Arial"/>
        <family val="2"/>
      </rPr>
      <t>)</t>
    </r>
  </si>
  <si>
    <t>CHARITY CARE</t>
  </si>
  <si>
    <t>BAD DEBTS</t>
  </si>
  <si>
    <t>TOTAL UNCOMPENSATED CARE</t>
  </si>
  <si>
    <t>TOTAL OTHER OPERATING REVENUE</t>
  </si>
  <si>
    <t>DSH UPPER PAYMENT LIMIT  CALCULATIONS</t>
  </si>
  <si>
    <t>CASE MIX ADJUSTED DISCHARGES</t>
  </si>
  <si>
    <t>TOTAL GOVERNMENT CASE MIX ADJUSTED DISCHARGES</t>
  </si>
  <si>
    <t>OUTPATIENT EQUIVALENT DISCHARGES CALCULATION (REVENUE METHODOLOGY)</t>
  </si>
  <si>
    <t>TOTAL GOVERNMENT OUTPATIENT EQUIVALENT DISCHARGES</t>
  </si>
  <si>
    <t>TOTAL OUTPATIENT EQUIVALENT DISCHARGES</t>
  </si>
  <si>
    <t>INPATIENT PAYMENT PER CASE MIX ADJUSTED DISCHARGE</t>
  </si>
  <si>
    <t>TOTAL GOVERNMENT INPATIENT PAYMENT PER CASE MIX ADJUSTED DISCHARGE</t>
  </si>
  <si>
    <t>TOTAL INPATIENT PAYMENT PER CASE MIX ADJUSTED DISCHARGE</t>
  </si>
  <si>
    <t>OUTPATIENT PAYMENT PER OUTPATIENT EQUIVALENT DISCHARGE</t>
  </si>
  <si>
    <t>TOTAL GOVERNMENT OUTPATIENT PAYMENT PER OUTPATIENT EQUIVALENT DISCHARGE</t>
  </si>
  <si>
    <t>TOTAL OUTPATIENT PAYMENT PER OUTPATIENT EQUIVALENT DISCHARGE</t>
  </si>
  <si>
    <t>VI.</t>
  </si>
  <si>
    <t>CALCULATED UNDERPAYMENT BEFORE UPPER LIMIT (BASELINE METHODOLOGY)</t>
  </si>
  <si>
    <r>
      <t xml:space="preserve">UCP DSH PAYMENTS </t>
    </r>
    <r>
      <rPr>
        <b/>
        <sz val="10"/>
        <rFont val="Arial"/>
        <family val="2"/>
      </rPr>
      <t>(OHCA INPUT)</t>
    </r>
  </si>
  <si>
    <t xml:space="preserve">NET REVENUE USED TO DETERMINE DSH FUTURE PAYMENTS </t>
  </si>
  <si>
    <t>RATIO OF NET REVENUE TO TOTAL CHARGES</t>
  </si>
  <si>
    <t xml:space="preserve">MEDICAL ASSISTANCE UNDERPAYMENT </t>
  </si>
  <si>
    <r>
      <t xml:space="preserve">PLUS OHCA ADJUSTMENT </t>
    </r>
    <r>
      <rPr>
        <b/>
        <sz val="10"/>
        <rFont val="Arial"/>
        <family val="2"/>
      </rPr>
      <t>(OHCA INPUT)</t>
    </r>
  </si>
  <si>
    <t>TOTAL COST OF UNCOMPENSATED CARE AND MEDICAL ASSISTANCE UNDERPAYMENT</t>
  </si>
  <si>
    <t>VII.</t>
  </si>
  <si>
    <t>RATIOS</t>
  </si>
  <si>
    <t>RATIO OF INPATIENT PAYMENTS TO INPATIENT CHARGES</t>
  </si>
  <si>
    <t>TOTAL GOVERNMENT RATIO OF INPATIENT PAYMENTS TO INPATIENT CHARGES</t>
  </si>
  <si>
    <t>TOTAL RATIO OF INPATIENT PAYMENTS TO INPATIENT CHARGES</t>
  </si>
  <si>
    <t>RATIO OF OUTPATIENT PAYMENTS TO OUTPATIENT CHARGES</t>
  </si>
  <si>
    <t>TOTAL GOVERNMENT RATIO OF OUTPATIENT PAYMENTS TO OUTPATIENT CHARGES</t>
  </si>
  <si>
    <t>TOTAL RATIO OF OUTPATIENT PAYMENTS TO OUTPATIENT CHARGES</t>
  </si>
  <si>
    <t>VIII.</t>
  </si>
  <si>
    <t>NET REVENUE, GROSS REVENUE AND UNCOMPENSATED CARE  RECONCILIATIONS</t>
  </si>
  <si>
    <t>RECONCILIATION OF OHCA DEFINED NET REVENUE TO HOSPITAL AUDITED FIN. STATEMENTS</t>
  </si>
  <si>
    <r>
      <t xml:space="preserve">PLUS DSH PAYMENTS RECEIVED (GROSS DSH PAYMENTS  PLUS UPPER LIMIT ADJ.) </t>
    </r>
    <r>
      <rPr>
        <b/>
        <sz val="10"/>
        <rFont val="Arial"/>
        <family val="2"/>
      </rPr>
      <t>(OHCA INPUT)</t>
    </r>
  </si>
  <si>
    <t>OHCA DEFINED NET REVENUE</t>
  </si>
  <si>
    <t>PLUS/(MINUS) OTHER ADJUSTMENTS TO OHCA DEFINED NET REVENUE</t>
  </si>
  <si>
    <t>CALCULATED NET REVENUE</t>
  </si>
  <si>
    <r>
      <t xml:space="preserve">NET REVENUE FROM HOSPITAL AUDITED FINANCIAL STATEMENTS </t>
    </r>
    <r>
      <rPr>
        <b/>
        <sz val="10"/>
        <rFont val="Arial"/>
        <family val="2"/>
      </rPr>
      <t>(FROM ANNUAL REPORTING)</t>
    </r>
  </si>
  <si>
    <t>VARIANCE (MUST BE LESS THAN OR EQUAL TO $500)</t>
  </si>
  <si>
    <t>RECONCILIATION OF OHCA DEFINED GROSS REVENUE TO HOSPITAL AUDITED FIN. STATEMENTS</t>
  </si>
  <si>
    <t>OHCA DEFINED GROSS REVENUE</t>
  </si>
  <si>
    <t>PLUS/(MINUS) OTHER ADJUSTMENTS TO OHCA DEFINED GROSS REVENUE</t>
  </si>
  <si>
    <t>CALCULATED GROSS REVENUE</t>
  </si>
  <si>
    <r>
      <t xml:space="preserve">GROSS REVENUE FROM HOSPITAL AUDITED FINANCIAL STATEMENTS </t>
    </r>
    <r>
      <rPr>
        <b/>
        <sz val="10"/>
        <rFont val="Arial"/>
        <family val="2"/>
      </rPr>
      <t>(FROM ANNUAL REPORTING)</t>
    </r>
  </si>
  <si>
    <t>RECONCILIATION OF OHCA DEFINED UNCOMP. CARE TO HOSPITAL AUDITED FIN. STATEMENTS</t>
  </si>
  <si>
    <r>
      <t xml:space="preserve">OHCA DEFINED UNCOMPENSATED CARE </t>
    </r>
    <r>
      <rPr>
        <b/>
        <sz val="10"/>
        <rFont val="Arial"/>
        <family val="2"/>
      </rPr>
      <t>(CHARITY CARE AND BAD DEBTS)</t>
    </r>
  </si>
  <si>
    <t>PLUS OTHER ADJUSTMENTS TO OHCA DEFINED UNCOMPENSATED CARE</t>
  </si>
  <si>
    <t>CALCULATED UNCOMPENSATED CARE (CHARITY CARE AND BAD DEBTS)</t>
  </si>
  <si>
    <r>
      <t xml:space="preserve">UNCOMP. CARE FROM HOSPITAL AUDITED FIN. STATEMENTS </t>
    </r>
    <r>
      <rPr>
        <b/>
        <sz val="10"/>
        <rFont val="Arial"/>
        <family val="2"/>
      </rPr>
      <t>(FROM ANNUAL REPORTING)</t>
    </r>
  </si>
  <si>
    <t xml:space="preserve">VARIANCE (MUST BE LESS THAN OR EQUAL TO $500) </t>
  </si>
  <si>
    <t>REPORT 600 - SUMMARY OF DSH UPPER PAYMENT LIMIT AND</t>
  </si>
  <si>
    <t>BASELINE UNDERPAYMENT DATA:  AGREED-UPON PROCEDURES</t>
  </si>
  <si>
    <r>
      <t xml:space="preserve">ACTUAL        </t>
    </r>
    <r>
      <rPr>
        <b/>
        <u/>
        <sz val="12"/>
        <rFont val="Arial"/>
        <family val="2"/>
      </rPr>
      <t>FY 2014</t>
    </r>
  </si>
  <si>
    <t>ACCRUED CHARGES AND PAYMENTS</t>
  </si>
  <si>
    <t>TOTAL NON-GOVERNMENT ACCRUED CHARGES (INCLUDING SELF PAY / UNINSURED)</t>
  </si>
  <si>
    <t>TOTAL GOVERNMENT ACCRUED CHARGES</t>
  </si>
  <si>
    <t>TOTAL NON-GOVERNMENT ACCRUED PAYMENTS (INCLUDING SELF PAY / UNINSURED)</t>
  </si>
  <si>
    <t>TOTAL GOVERNMENT ACCRUED PAYMENTS</t>
  </si>
  <si>
    <t>ACCRUED DISCHARGES, CASE MIX INDEX AND OTHER REQUIRED DATA</t>
  </si>
  <si>
    <t xml:space="preserve">ACCRUED DISCHARGES </t>
  </si>
  <si>
    <r>
      <t xml:space="preserve">UCP DSH PAYMENTS (GROSS DSH PAYMENTS PLUS UPPER LIMIT ADJUSTMENT - </t>
    </r>
    <r>
      <rPr>
        <b/>
        <sz val="12"/>
        <rFont val="Arial"/>
        <family val="2"/>
      </rPr>
      <t>OHCA INPUT</t>
    </r>
    <r>
      <rPr>
        <sz val="12"/>
        <rFont val="Arial"/>
        <family val="2"/>
      </rPr>
      <t>)</t>
    </r>
  </si>
  <si>
    <t>PLUS/(MINUS) OTHER ADJUSTMENTS TO OHCA DEFINED UNCOMPENSATED CARE</t>
  </si>
  <si>
    <r>
      <t xml:space="preserve">UNCOMPENSATED CARE FROM HOSPITAL AUDITED FIN. STATEMENTS </t>
    </r>
    <r>
      <rPr>
        <b/>
        <sz val="10"/>
        <rFont val="Arial"/>
        <family val="2"/>
      </rPr>
      <t>(FROM ANNUAL REPORTING)</t>
    </r>
  </si>
  <si>
    <t>REPORT 650 - HOSPITAL UNCOMPENSATED CARE</t>
  </si>
  <si>
    <t xml:space="preserve"> Hospital Charity Care (from HRS Report 500)</t>
  </si>
  <si>
    <t>Number of Applicants</t>
  </si>
  <si>
    <t>Number of Approved Applicants</t>
  </si>
  <si>
    <t xml:space="preserve"> Total Charges (A)</t>
  </si>
  <si>
    <t xml:space="preserve"> Average Charges</t>
  </si>
  <si>
    <t xml:space="preserve"> Ratio of Cost to Charges (RCC)</t>
  </si>
  <si>
    <t>Total Cost</t>
  </si>
  <si>
    <t>Average Cost</t>
  </si>
  <si>
    <t xml:space="preserve"> Charity Care - Inpatient Charges</t>
  </si>
  <si>
    <t xml:space="preserve"> Charity Care - Outpatient Charges (Excludes ED Charges)</t>
  </si>
  <si>
    <t xml:space="preserve"> Charity Care - Emergency Department Charges</t>
  </si>
  <si>
    <t>Total Charges (A)</t>
  </si>
  <si>
    <t>Charity Care - Number of Patient Days</t>
  </si>
  <si>
    <t>Charity Care - Number of Discharges</t>
  </si>
  <si>
    <t>Charity Care - Number of Outpatient ED Visits</t>
  </si>
  <si>
    <t>Charity Care - Number of Outpatient Visits (Excludes ED Visits)</t>
  </si>
  <si>
    <t xml:space="preserve"> Hospital Bad Debts (from HRS Report 500)</t>
  </si>
  <si>
    <t xml:space="preserve"> Bad Debts - Inpatient Services</t>
  </si>
  <si>
    <t xml:space="preserve"> Bad Debts - Outpatient Services (Excludes ED Bad Debts)</t>
  </si>
  <si>
    <t xml:space="preserve"> Bad Debts - Emergency Department</t>
  </si>
  <si>
    <t>Total Bad Debts (A)</t>
  </si>
  <si>
    <t xml:space="preserve"> Hospital Uncompensated Care (from HRS Report 500)</t>
  </si>
  <si>
    <t>Charity Care (A)</t>
  </si>
  <si>
    <t>Bad Debts (A)</t>
  </si>
  <si>
    <t>Total Uncompensated Care (A)</t>
  </si>
  <si>
    <t xml:space="preserve"> Uncompensated Care - Inpatient Services</t>
  </si>
  <si>
    <t xml:space="preserve"> Uncompensated Care - Outpatient Services (Excludes ED Unc. Care)</t>
  </si>
  <si>
    <t xml:space="preserve"> Uncompensated Care - Emergency Department</t>
  </si>
  <si>
    <t xml:space="preserve">  (A) The amount must agree with the amount listed on Hospital Reporting System - Report 500.</t>
  </si>
  <si>
    <t>REPORT 685 - HOSPITAL NON-GOVERNMENT GROSS REVENUE, CONTRACTUAL ALLOWANCES,</t>
  </si>
  <si>
    <t>ACCRUED PAYMENTS AND DISCOUNT PERCENTAGE</t>
  </si>
  <si>
    <t xml:space="preserve">ACTUAL TOTAL </t>
  </si>
  <si>
    <t>NON-GOVERNMENT</t>
  </si>
  <si>
    <t>COMMERCIAL - ALL PAYERS</t>
  </si>
  <si>
    <t>Total Contractual Allowances</t>
  </si>
  <si>
    <t>Total Accrued Payments (A)</t>
  </si>
  <si>
    <t xml:space="preserve"> Total Discount Percentage</t>
  </si>
  <si>
    <t xml:space="preserve"> (A) Accrued Payments associated with Non-Government Contractual Allowances must exclude any reduction for Uncompensated Care.</t>
  </si>
  <si>
    <t>REPORT 700 - STATISTICAL ANALYSIS OF HOSPITAL REVENUE AND EXPENSE</t>
  </si>
  <si>
    <t>(1)</t>
  </si>
  <si>
    <t>(2)</t>
  </si>
  <si>
    <t>(3)</t>
  </si>
  <si>
    <t>(4)</t>
  </si>
  <si>
    <t>(5)</t>
  </si>
  <si>
    <r>
      <t xml:space="preserve">ACTUAL          </t>
    </r>
    <r>
      <rPr>
        <b/>
        <u/>
        <sz val="14"/>
        <rFont val="Arial"/>
        <family val="2"/>
      </rPr>
      <t>FY 2012</t>
    </r>
  </si>
  <si>
    <r>
      <t xml:space="preserve">ACTUAL          </t>
    </r>
    <r>
      <rPr>
        <b/>
        <u/>
        <sz val="14"/>
        <rFont val="Arial"/>
        <family val="2"/>
      </rPr>
      <t>FY 2013</t>
    </r>
  </si>
  <si>
    <r>
      <t xml:space="preserve">ACTUAL          </t>
    </r>
    <r>
      <rPr>
        <b/>
        <u/>
        <sz val="14"/>
        <rFont val="Arial"/>
        <family val="2"/>
      </rPr>
      <t>FY 2014</t>
    </r>
  </si>
  <si>
    <t>Gross and Net Revenue</t>
  </si>
  <si>
    <t>Inpatient Gross Revenue</t>
  </si>
  <si>
    <t>Outpatient Gross Revenue</t>
  </si>
  <si>
    <t>Total Operating Expense</t>
  </si>
  <si>
    <t>Utilization Statistics</t>
  </si>
  <si>
    <t>Average Length of Stay</t>
  </si>
  <si>
    <t>Equivalent (Adjusted) Patient Days (EPD)</t>
  </si>
  <si>
    <t xml:space="preserve">Equivalent (Adjusted) Discharges (ED) </t>
  </si>
  <si>
    <t>Case Mix Statistics</t>
  </si>
  <si>
    <t>Case Mix Adjusted Patient Days (CMAPD)</t>
  </si>
  <si>
    <t>Case Mix Adjusted Discharges (CMAD)</t>
  </si>
  <si>
    <t>Case Mix Adjusted Equivalent Patient Days (CMAEPD)</t>
  </si>
  <si>
    <t>Case Mix Adjusted Equivalent Discharges (CMAED)</t>
  </si>
  <si>
    <t>Gross Revenue Per Statistic</t>
  </si>
  <si>
    <t>Total Gross Revenue per Patient Day</t>
  </si>
  <si>
    <t>Total Gross Revenue per Discharge</t>
  </si>
  <si>
    <t>Total Gross Revenue per EPD</t>
  </si>
  <si>
    <t>Total Gross Revenue per ED</t>
  </si>
  <si>
    <t>Total Gross Revenue per CMAEPD</t>
  </si>
  <si>
    <t>Total Gross Revenue per CMAED</t>
  </si>
  <si>
    <t>Inpatient Gross Revenue per EPD</t>
  </si>
  <si>
    <t>Inpatient Gross Revenue per ED</t>
  </si>
  <si>
    <t>Net Revenue Per Statistic</t>
  </si>
  <si>
    <t>Net Patient Revenue per Patient Day</t>
  </si>
  <si>
    <t>Net Patient Revenue per Discharge</t>
  </si>
  <si>
    <t>Net Patient Revenue per EPD</t>
  </si>
  <si>
    <t>Net Patient Revenue per ED</t>
  </si>
  <si>
    <t>Net Patient Revenue per CMAEPD</t>
  </si>
  <si>
    <t>Net Patient Revenue per CMAED</t>
  </si>
  <si>
    <t>Operating Expense Per Statistic</t>
  </si>
  <si>
    <t>Total Operating Expense per Patient Day</t>
  </si>
  <si>
    <t>Total Operating Expense per Discharge</t>
  </si>
  <si>
    <t>Total Operating Expense per EPD</t>
  </si>
  <si>
    <t>Total Operating Expense per ED</t>
  </si>
  <si>
    <t>Total Operating Expense per CMAEPD</t>
  </si>
  <si>
    <t>Total Operating Expense per CMAED</t>
  </si>
  <si>
    <t>Nursing Salary and Fringe Benefits Expense</t>
  </si>
  <si>
    <t>Nursing Salary Expense</t>
  </si>
  <si>
    <t>Nursing Fringe Benefits Expense</t>
  </si>
  <si>
    <t>Total Nursing Salary and Fringe Benefits Expense</t>
  </si>
  <si>
    <t>Physician Salary and Fringe Expense</t>
  </si>
  <si>
    <t>Physician Salary Expense</t>
  </si>
  <si>
    <t>Physician Fringe Benefits Expense</t>
  </si>
  <si>
    <t>Total Physician Salary and Fringe Benefits Expense</t>
  </si>
  <si>
    <t>Non-Nursing, Non-Physician Salary and Fringe Benefits Expense</t>
  </si>
  <si>
    <t>Non-Nursing, Non-Physician Salary Expense</t>
  </si>
  <si>
    <t>Non-Nursing, Non-Physician Fringe Benefits Expense</t>
  </si>
  <si>
    <t>Total Non-Nurs., Non-Phys. Salary and Fringe Ben. Expense</t>
  </si>
  <si>
    <t>Total Salary and Fringe Benefits Expense</t>
  </si>
  <si>
    <t>Total Salary Expense</t>
  </si>
  <si>
    <t>Total Fringe Benefits Expense</t>
  </si>
  <si>
    <t>Total Full Time Equivalent Employees (FTEs)</t>
  </si>
  <si>
    <t>Total Non-Nursing, Non-Physician FTEs</t>
  </si>
  <si>
    <t>Nursing Salaries and Fringe Benefits Expense per FTE</t>
  </si>
  <si>
    <t>Nursing Salary Expense per FTE</t>
  </si>
  <si>
    <t>Nursing Fringe Benefits Expense per FTE</t>
  </si>
  <si>
    <t>Total Nursing Salary and Fringe Benefits Expense per FTE</t>
  </si>
  <si>
    <t>Physician Salary and Fringe Expense per FTE</t>
  </si>
  <si>
    <t>Physician Salary Expense per FTE</t>
  </si>
  <si>
    <t>Physician Fringe Benefits Expense per FTE</t>
  </si>
  <si>
    <t>Total Physician Salary and Fringe Benefits Expense per FTE</t>
  </si>
  <si>
    <t>O.</t>
  </si>
  <si>
    <t>Non-Nursing, Non-Physician Salaries and Fringe Benefits Expense per FTE</t>
  </si>
  <si>
    <t>Non-Nursing, Non-Physician Salary Expense per FTE</t>
  </si>
  <si>
    <t>Non-Nursing, Non-Physician Fringe Benefits Expense per FTE</t>
  </si>
  <si>
    <t>Total Non-Nurs., Non-Phys. Sal. and Fringe Ben. Exp. per FTE</t>
  </si>
  <si>
    <t>P.</t>
  </si>
  <si>
    <t>Total Salary and Fringe Benefits Expense per FTE</t>
  </si>
  <si>
    <t>Total Salary Expense per FTE</t>
  </si>
  <si>
    <t>Total Fringe Benefits Expense per FTE</t>
  </si>
  <si>
    <t>Q.</t>
  </si>
  <si>
    <t>Total Salary and Fringe Ben. Expense per Statistic</t>
  </si>
  <si>
    <t>Total Salary and Fringe Benefits Expense per Patient Day</t>
  </si>
  <si>
    <t>Total Salary and Fringe Benefits Expense per Discharge</t>
  </si>
  <si>
    <t>Total Salary and Fringe Benefits Expense per EPD</t>
  </si>
  <si>
    <t>Total Salary and Fringe Benefits Expense per ED</t>
  </si>
  <si>
    <t>Total Salary and Fringe Benefits Expense per CMAEPD</t>
  </si>
  <si>
    <t>Total Salary and Fringe Benefits Expense per CMAED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</si>
</sst>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&quot;$&quot;#,##0"/>
    <numFmt numFmtId="166" formatCode="#,##0.0_);\(#,##0.0\)"/>
    <numFmt numFmtId="167" formatCode="0.0%"/>
    <numFmt numFmtId="168" formatCode="_(* #,##0.0_);_(* \(#,##0.0\);_(* &quot;-&quot;?_);_(@_)"/>
    <numFmt numFmtId="169" formatCode="#,##0.00000_);\(#,##0.00000\)"/>
    <numFmt numFmtId="170" formatCode="#,##0.0"/>
    <numFmt numFmtId="171" formatCode="0.00000_)"/>
    <numFmt numFmtId="172" formatCode="0.00000_);\(0.00000\)"/>
    <numFmt numFmtId="173" formatCode="0.0000_)"/>
    <numFmt numFmtId="174" formatCode="_(* #,##0.0_);_(* \(#,##0.0\);_(* &quot;-&quot;??_);_(@_)"/>
    <numFmt numFmtId="175" formatCode="0.0000_);\(0.0000\)"/>
    <numFmt numFmtId="176" formatCode="_(* #,##0_);_(* \(#,##0\);_(* &quot;-&quot;??_);_(@_)"/>
    <numFmt numFmtId="177" formatCode="_(* #,##0.0000_);_(* \(#,##0.0000\);_(* &quot;-&quot;??_);_(@_)"/>
    <numFmt numFmtId="178" formatCode="0.0000000000_);\(0.0000000000\)"/>
    <numFmt numFmtId="179" formatCode="_(* #,##0.00000000_);_(* \(#,##0.00000000\);_(* &quot;-&quot;??_);_(@_)"/>
    <numFmt numFmtId="180" formatCode="0.00000"/>
    <numFmt numFmtId="181" formatCode="#,##0.00000"/>
    <numFmt numFmtId="182" formatCode="#,##0.0000"/>
    <numFmt numFmtId="183" formatCode="_(* #,##0.0000000000_);_(* \(#,##0.0000000000\);_(* &quot;-&quot;??_);_(@_)"/>
    <numFmt numFmtId="184" formatCode="#,##0.0000000000_);\(#,##0.0000000000\)"/>
    <numFmt numFmtId="185" formatCode="0.0000"/>
    <numFmt numFmtId="186" formatCode="#,##0.000000_);\(#,##0.000000\)"/>
    <numFmt numFmtId="187" formatCode="0.0"/>
    <numFmt numFmtId="188" formatCode="#,##0.0_);[Red]\(#,##0.0\)"/>
  </numFmts>
  <fonts count="37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u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name val="Times New Roman"/>
      <family val="1"/>
    </font>
    <font>
      <b/>
      <u/>
      <sz val="16"/>
      <name val="Arial"/>
      <family val="2"/>
    </font>
    <font>
      <i/>
      <sz val="10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u/>
      <sz val="11"/>
      <name val="Arial"/>
      <family val="2"/>
    </font>
    <font>
      <sz val="12"/>
      <color indexed="12"/>
      <name val="Arial"/>
      <family val="2"/>
    </font>
    <font>
      <sz val="12"/>
      <color indexed="20"/>
      <name val="Arial"/>
      <family val="2"/>
    </font>
    <font>
      <sz val="12"/>
      <color indexed="17"/>
      <name val="Arial"/>
      <family val="2"/>
    </font>
    <font>
      <sz val="12"/>
      <color indexed="25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18"/>
      <name val="Arial"/>
      <family val="2"/>
    </font>
    <font>
      <b/>
      <sz val="12"/>
      <color indexed="2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C0C0C0"/>
        <bgColor indexed="64"/>
      </patternFill>
    </fill>
  </fills>
  <borders count="38">
    <border>
      <left/>
      <right/>
      <top/>
      <bottom/>
      <diagonal/>
    </border>
    <border>
      <left style="medium">
        <color indexed="0"/>
      </left>
      <right/>
      <top style="medium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/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medium">
        <color indexed="0"/>
      </bottom>
      <diagonal/>
    </border>
    <border>
      <left/>
      <right style="thin">
        <color indexed="0"/>
      </right>
      <top/>
      <bottom style="medium">
        <color indexed="0"/>
      </bottom>
      <diagonal/>
    </border>
    <border>
      <left/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medium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/>
      <bottom style="medium">
        <color indexed="0"/>
      </bottom>
      <diagonal/>
    </border>
    <border>
      <left style="thin">
        <color indexed="0"/>
      </left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/>
      <top style="medium">
        <color indexed="0"/>
      </top>
      <bottom style="thin">
        <color indexed="0"/>
      </bottom>
      <diagonal/>
    </border>
    <border>
      <left/>
      <right/>
      <top style="medium">
        <color indexed="0"/>
      </top>
      <bottom style="thin">
        <color indexed="0"/>
      </bottom>
      <diagonal/>
    </border>
    <border>
      <left/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 style="thin">
        <color rgb="FFC0C0C0"/>
      </right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  <xf numFmtId="0" fontId="8" fillId="0" borderId="0"/>
    <xf numFmtId="0" fontId="17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840">
    <xf numFmtId="0" fontId="0" fillId="0" borderId="0" xfId="0"/>
    <xf numFmtId="0" fontId="1" fillId="0" borderId="35" xfId="6" applyBorder="1" applyAlignment="1"/>
    <xf numFmtId="0" fontId="2" fillId="0" borderId="35" xfId="6" applyFont="1" applyBorder="1" applyAlignment="1">
      <alignment horizontal="centerContinuous"/>
    </xf>
    <xf numFmtId="0" fontId="1" fillId="0" borderId="35" xfId="6" applyFont="1" applyBorder="1" applyAlignment="1">
      <alignment horizontal="centerContinuous"/>
    </xf>
    <xf numFmtId="0" fontId="1" fillId="0" borderId="35" xfId="6" applyFont="1" applyBorder="1" applyAlignment="1"/>
    <xf numFmtId="164" fontId="2" fillId="0" borderId="35" xfId="6" applyNumberFormat="1" applyFont="1" applyBorder="1" applyAlignment="1">
      <alignment horizontal="center"/>
    </xf>
    <xf numFmtId="0" fontId="1" fillId="0" borderId="35" xfId="6" applyFill="1" applyBorder="1" applyAlignment="1"/>
    <xf numFmtId="0" fontId="2" fillId="0" borderId="35" xfId="6" applyFont="1" applyFill="1" applyBorder="1" applyAlignment="1">
      <alignment horizontal="left"/>
    </xf>
    <xf numFmtId="0" fontId="2" fillId="0" borderId="35" xfId="6" applyFont="1" applyFill="1" applyBorder="1" applyAlignment="1">
      <alignment horizontal="centerContinuous"/>
    </xf>
    <xf numFmtId="164" fontId="3" fillId="0" borderId="35" xfId="6" applyNumberFormat="1" applyFont="1" applyBorder="1" applyAlignment="1">
      <alignment horizontal="center"/>
    </xf>
    <xf numFmtId="0" fontId="2" fillId="0" borderId="35" xfId="6" applyFont="1" applyFill="1" applyBorder="1" applyAlignment="1">
      <alignment horizontal="center"/>
    </xf>
    <xf numFmtId="0" fontId="1" fillId="0" borderId="35" xfId="6" applyFill="1" applyBorder="1" applyAlignment="1">
      <alignment horizontal="center"/>
    </xf>
    <xf numFmtId="0" fontId="4" fillId="0" borderId="35" xfId="6" applyFont="1" applyFill="1" applyBorder="1" applyAlignment="1">
      <alignment horizontal="center"/>
    </xf>
    <xf numFmtId="164" fontId="5" fillId="0" borderId="35" xfId="6" applyNumberFormat="1" applyFont="1" applyBorder="1" applyAlignment="1">
      <alignment horizontal="center" wrapText="1"/>
    </xf>
    <xf numFmtId="0" fontId="5" fillId="0" borderId="35" xfId="6" applyFont="1" applyFill="1" applyBorder="1" applyAlignment="1">
      <alignment horizontal="center"/>
    </xf>
    <xf numFmtId="0" fontId="4" fillId="0" borderId="35" xfId="6" applyFont="1" applyFill="1" applyBorder="1" applyAlignment="1">
      <alignment horizontal="left"/>
    </xf>
    <xf numFmtId="0" fontId="1" fillId="0" borderId="35" xfId="6" applyFont="1" applyFill="1" applyBorder="1" applyAlignment="1">
      <alignment horizontal="center"/>
    </xf>
    <xf numFmtId="0" fontId="1" fillId="0" borderId="35" xfId="6" applyFont="1" applyFill="1" applyBorder="1" applyAlignment="1"/>
    <xf numFmtId="0" fontId="1" fillId="0" borderId="35" xfId="6" applyFont="1" applyFill="1" applyBorder="1" applyAlignment="1">
      <alignment horizontal="center" wrapText="1"/>
    </xf>
    <xf numFmtId="0" fontId="3" fillId="0" borderId="35" xfId="6" applyFont="1" applyFill="1" applyBorder="1" applyAlignment="1">
      <alignment horizontal="center"/>
    </xf>
    <xf numFmtId="0" fontId="1" fillId="0" borderId="35" xfId="6" applyFont="1" applyBorder="1" applyAlignment="1">
      <alignment horizontal="center"/>
    </xf>
    <xf numFmtId="0" fontId="1" fillId="0" borderId="35" xfId="6" applyFont="1" applyBorder="1" applyAlignment="1">
      <alignment horizontal="left"/>
    </xf>
    <xf numFmtId="5" fontId="1" fillId="0" borderId="35" xfId="6" applyNumberFormat="1" applyFont="1" applyBorder="1" applyAlignment="1">
      <alignment horizontal="right"/>
    </xf>
    <xf numFmtId="9" fontId="1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center"/>
    </xf>
    <xf numFmtId="0" fontId="2" fillId="0" borderId="35" xfId="6" applyFont="1" applyBorder="1" applyAlignment="1">
      <alignment horizontal="left"/>
    </xf>
    <xf numFmtId="5" fontId="3" fillId="0" borderId="35" xfId="6" applyNumberFormat="1" applyFont="1" applyBorder="1" applyAlignment="1">
      <alignment horizontal="right"/>
    </xf>
    <xf numFmtId="9" fontId="3" fillId="0" borderId="35" xfId="6" applyNumberFormat="1" applyFont="1" applyBorder="1" applyAlignment="1">
      <alignment horizontal="right"/>
    </xf>
    <xf numFmtId="37" fontId="1" fillId="0" borderId="35" xfId="6" applyNumberFormat="1" applyFont="1" applyBorder="1" applyAlignment="1">
      <alignment horizontal="right"/>
    </xf>
    <xf numFmtId="0" fontId="3" fillId="0" borderId="35" xfId="6" applyFont="1" applyBorder="1" applyAlignment="1">
      <alignment horizontal="center"/>
    </xf>
    <xf numFmtId="0" fontId="5" fillId="0" borderId="35" xfId="6" applyFont="1" applyBorder="1" applyAlignment="1">
      <alignment horizontal="left"/>
    </xf>
    <xf numFmtId="37" fontId="1" fillId="0" borderId="35" xfId="6" applyNumberFormat="1" applyFont="1" applyBorder="1" applyAlignment="1"/>
    <xf numFmtId="0" fontId="1" fillId="0" borderId="35" xfId="6" applyBorder="1" applyAlignment="1">
      <alignment horizontal="left"/>
    </xf>
    <xf numFmtId="6" fontId="1" fillId="0" borderId="35" xfId="6" applyNumberFormat="1" applyBorder="1" applyAlignment="1">
      <alignment horizontal="right"/>
    </xf>
    <xf numFmtId="9" fontId="1" fillId="0" borderId="35" xfId="6" applyNumberFormat="1" applyBorder="1" applyAlignment="1">
      <alignment horizontal="right"/>
    </xf>
    <xf numFmtId="0" fontId="2" fillId="0" borderId="35" xfId="6" applyFont="1" applyBorder="1" applyAlignment="1">
      <alignment horizontal="center"/>
    </xf>
    <xf numFmtId="37" fontId="2" fillId="0" borderId="35" xfId="6" applyNumberFormat="1" applyFont="1" applyBorder="1" applyAlignment="1">
      <alignment horizontal="centerContinuous"/>
    </xf>
    <xf numFmtId="37" fontId="1" fillId="0" borderId="35" xfId="6" applyNumberFormat="1" applyFont="1" applyBorder="1" applyAlignment="1">
      <alignment horizontal="centerContinuous"/>
    </xf>
    <xf numFmtId="37" fontId="4" fillId="0" borderId="35" xfId="6" applyNumberFormat="1" applyFont="1" applyFill="1" applyBorder="1" applyAlignment="1">
      <alignment horizontal="center"/>
    </xf>
    <xf numFmtId="37" fontId="1" fillId="0" borderId="35" xfId="6" applyNumberFormat="1" applyFont="1" applyFill="1" applyBorder="1" applyAlignment="1"/>
    <xf numFmtId="37" fontId="1" fillId="0" borderId="35" xfId="6" applyNumberFormat="1" applyFont="1" applyFill="1" applyBorder="1" applyAlignment="1">
      <alignment horizontal="center"/>
    </xf>
    <xf numFmtId="0" fontId="4" fillId="0" borderId="35" xfId="6" applyFont="1" applyBorder="1" applyAlignment="1">
      <alignment horizontal="left"/>
    </xf>
    <xf numFmtId="37" fontId="3" fillId="0" borderId="35" xfId="6" applyNumberFormat="1" applyFont="1" applyBorder="1" applyAlignment="1">
      <alignment horizontal="right"/>
    </xf>
    <xf numFmtId="0" fontId="6" fillId="0" borderId="35" xfId="6" applyFont="1" applyFill="1" applyBorder="1" applyAlignment="1">
      <alignment horizontal="center"/>
    </xf>
    <xf numFmtId="0" fontId="6" fillId="0" borderId="35" xfId="6" applyFont="1" applyFill="1" applyBorder="1" applyAlignment="1">
      <alignment horizontal="left"/>
    </xf>
    <xf numFmtId="9" fontId="6" fillId="0" borderId="35" xfId="6" applyNumberFormat="1" applyFont="1" applyFill="1" applyBorder="1" applyAlignment="1">
      <alignment horizontal="right"/>
    </xf>
    <xf numFmtId="0" fontId="7" fillId="0" borderId="35" xfId="6" applyFont="1" applyBorder="1" applyAlignment="1"/>
    <xf numFmtId="0" fontId="3" fillId="0" borderId="35" xfId="6" applyFont="1" applyBorder="1"/>
    <xf numFmtId="0" fontId="6" fillId="0" borderId="35" xfId="6" applyFont="1" applyBorder="1" applyAlignment="1">
      <alignment horizontal="left"/>
    </xf>
    <xf numFmtId="37" fontId="6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left" wrapText="1"/>
    </xf>
    <xf numFmtId="5" fontId="6" fillId="0" borderId="35" xfId="6" applyNumberFormat="1" applyFont="1" applyBorder="1" applyAlignment="1">
      <alignment horizontal="right"/>
    </xf>
    <xf numFmtId="165" fontId="6" fillId="0" borderId="35" xfId="6" applyNumberFormat="1" applyFont="1" applyBorder="1" applyAlignment="1">
      <alignment horizontal="right"/>
    </xf>
    <xf numFmtId="165" fontId="3" fillId="0" borderId="35" xfId="6" applyNumberFormat="1" applyFont="1" applyBorder="1" applyAlignment="1">
      <alignment horizontal="right"/>
    </xf>
    <xf numFmtId="0" fontId="1" fillId="0" borderId="35" xfId="6" applyFont="1" applyBorder="1" applyAlignment="1">
      <alignment horizontal="right"/>
    </xf>
    <xf numFmtId="0" fontId="6" fillId="0" borderId="35" xfId="6" applyFont="1" applyBorder="1" applyAlignment="1"/>
    <xf numFmtId="0" fontId="8" fillId="0" borderId="0" xfId="7" applyBorder="1" applyAlignment="1"/>
    <xf numFmtId="164" fontId="3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right"/>
    </xf>
    <xf numFmtId="0" fontId="3" fillId="0" borderId="35" xfId="7" applyFont="1" applyBorder="1" applyAlignment="1"/>
    <xf numFmtId="164" fontId="3" fillId="0" borderId="35" xfId="7" applyNumberFormat="1" applyFont="1" applyBorder="1" applyAlignment="1">
      <alignment horizontal="center"/>
    </xf>
    <xf numFmtId="0" fontId="5" fillId="0" borderId="35" xfId="7" applyFont="1" applyBorder="1" applyAlignment="1">
      <alignment horizontal="right"/>
    </xf>
    <xf numFmtId="0" fontId="5" fillId="0" borderId="35" xfId="7" applyFont="1" applyBorder="1" applyAlignment="1"/>
    <xf numFmtId="164" fontId="5" fillId="0" borderId="35" xfId="7" applyNumberFormat="1" applyFont="1" applyBorder="1" applyAlignment="1">
      <alignment horizontal="center" wrapText="1"/>
    </xf>
    <xf numFmtId="6" fontId="5" fillId="0" borderId="35" xfId="7" applyNumberFormat="1" applyFont="1" applyBorder="1" applyAlignment="1">
      <alignment horizontal="center"/>
    </xf>
    <xf numFmtId="0" fontId="8" fillId="0" borderId="0" xfId="7" applyFill="1" applyBorder="1" applyAlignment="1"/>
    <xf numFmtId="0" fontId="8" fillId="0" borderId="36" xfId="7" applyFill="1" applyBorder="1" applyAlignment="1">
      <alignment horizontal="center"/>
    </xf>
    <xf numFmtId="0" fontId="6" fillId="0" borderId="35" xfId="7" applyFont="1" applyBorder="1" applyAlignment="1"/>
    <xf numFmtId="164" fontId="6" fillId="0" borderId="35" xfId="7" applyNumberFormat="1" applyFont="1" applyFill="1" applyBorder="1" applyAlignment="1">
      <alignment horizontal="center"/>
    </xf>
    <xf numFmtId="6" fontId="3" fillId="0" borderId="35" xfId="7" applyNumberFormat="1" applyFont="1" applyBorder="1" applyAlignment="1">
      <alignment horizontal="center"/>
    </xf>
    <xf numFmtId="0" fontId="8" fillId="0" borderId="35" xfId="7" applyBorder="1" applyAlignment="1"/>
    <xf numFmtId="0" fontId="3" fillId="0" borderId="35" xfId="7" applyFont="1" applyBorder="1" applyAlignment="1">
      <alignment horizontal="center"/>
    </xf>
    <xf numFmtId="0" fontId="5" fillId="0" borderId="35" xfId="7" applyFont="1" applyBorder="1" applyAlignment="1">
      <alignment horizontal="left"/>
    </xf>
    <xf numFmtId="6" fontId="6" fillId="0" borderId="35" xfId="7" applyNumberFormat="1" applyFont="1" applyBorder="1" applyAlignment="1">
      <alignment horizontal="center"/>
    </xf>
    <xf numFmtId="0" fontId="6" fillId="0" borderId="35" xfId="7" applyFont="1" applyBorder="1" applyAlignment="1">
      <alignment horizontal="center"/>
    </xf>
    <xf numFmtId="0" fontId="6" fillId="0" borderId="35" xfId="7" applyFont="1" applyBorder="1" applyAlignment="1">
      <alignment horizontal="left"/>
    </xf>
    <xf numFmtId="5" fontId="6" fillId="0" borderId="35" xfId="7" applyNumberFormat="1" applyFont="1" applyBorder="1" applyAlignment="1">
      <alignment horizontal="right"/>
    </xf>
    <xf numFmtId="9" fontId="6" fillId="0" borderId="35" xfId="7" applyNumberFormat="1" applyFont="1" applyBorder="1" applyAlignment="1">
      <alignment horizontal="right"/>
    </xf>
    <xf numFmtId="0" fontId="3" fillId="0" borderId="35" xfId="7" applyFont="1" applyBorder="1" applyAlignment="1">
      <alignment horizontal="left"/>
    </xf>
    <xf numFmtId="5" fontId="3" fillId="0" borderId="35" xfId="7" applyNumberFormat="1" applyFont="1" applyBorder="1" applyAlignment="1">
      <alignment horizontal="right"/>
    </xf>
    <xf numFmtId="9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 wrapText="1"/>
    </xf>
    <xf numFmtId="0" fontId="6" fillId="0" borderId="35" xfId="7" applyFont="1" applyFill="1" applyBorder="1" applyAlignment="1">
      <alignment horizontal="left" wrapText="1"/>
    </xf>
    <xf numFmtId="0" fontId="3" fillId="0" borderId="35" xfId="7" applyFont="1" applyFill="1" applyBorder="1" applyAlignment="1">
      <alignment horizontal="center"/>
    </xf>
    <xf numFmtId="0" fontId="6" fillId="0" borderId="35" xfId="7" applyFont="1" applyBorder="1" applyAlignment="1">
      <alignment horizontal="right"/>
    </xf>
    <xf numFmtId="0" fontId="6" fillId="0" borderId="35" xfId="7" applyFont="1" applyFill="1" applyBorder="1" applyAlignment="1">
      <alignment horizontal="center"/>
    </xf>
    <xf numFmtId="37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/>
    </xf>
    <xf numFmtId="165" fontId="3" fillId="0" borderId="35" xfId="7" applyNumberFormat="1" applyFont="1" applyBorder="1" applyAlignment="1">
      <alignment horizontal="right"/>
    </xf>
    <xf numFmtId="42" fontId="6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centerContinuous"/>
    </xf>
    <xf numFmtId="0" fontId="6" fillId="0" borderId="0" xfId="7" applyFont="1" applyBorder="1" applyAlignment="1"/>
    <xf numFmtId="164" fontId="3" fillId="0" borderId="0" xfId="6" applyNumberFormat="1" applyFont="1" applyBorder="1" applyAlignment="1">
      <alignment horizontal="center"/>
    </xf>
    <xf numFmtId="164" fontId="5" fillId="0" borderId="0" xfId="6" applyNumberFormat="1" applyFont="1" applyBorder="1" applyAlignment="1">
      <alignment horizontal="left"/>
    </xf>
    <xf numFmtId="5" fontId="3" fillId="0" borderId="0" xfId="6" applyNumberFormat="1" applyFont="1" applyBorder="1" applyAlignment="1">
      <alignment horizontal="right"/>
    </xf>
    <xf numFmtId="9" fontId="3" fillId="0" borderId="0" xfId="6" applyNumberFormat="1" applyFont="1" applyBorder="1" applyAlignment="1">
      <alignment horizontal="right"/>
    </xf>
    <xf numFmtId="0" fontId="6" fillId="0" borderId="0" xfId="6" applyFont="1" applyBorder="1"/>
    <xf numFmtId="164" fontId="3" fillId="0" borderId="0" xfId="6" applyNumberFormat="1" applyFont="1" applyBorder="1" applyAlignment="1">
      <alignment horizontal="left"/>
    </xf>
    <xf numFmtId="0" fontId="3" fillId="0" borderId="0" xfId="6" applyFont="1" applyBorder="1" applyAlignment="1">
      <alignment horizontal="centerContinuous"/>
    </xf>
    <xf numFmtId="164" fontId="3" fillId="0" borderId="1" xfId="6" applyNumberFormat="1" applyFont="1" applyBorder="1" applyAlignment="1">
      <alignment horizontal="center"/>
    </xf>
    <xf numFmtId="164" fontId="3" fillId="0" borderId="2" xfId="6" applyNumberFormat="1" applyFont="1" applyBorder="1" applyAlignment="1">
      <alignment horizontal="center"/>
    </xf>
    <xf numFmtId="164" fontId="3" fillId="0" borderId="3" xfId="6" applyNumberFormat="1" applyFont="1" applyBorder="1" applyAlignment="1">
      <alignment horizontal="center"/>
    </xf>
    <xf numFmtId="164" fontId="3" fillId="0" borderId="4" xfId="6" applyNumberFormat="1" applyFont="1" applyBorder="1" applyAlignment="1"/>
    <xf numFmtId="164" fontId="3" fillId="0" borderId="5" xfId="6" applyNumberFormat="1" applyFont="1" applyBorder="1" applyAlignment="1">
      <alignment horizontal="left"/>
    </xf>
    <xf numFmtId="164" fontId="3" fillId="0" borderId="6" xfId="6" applyNumberFormat="1" applyFont="1" applyBorder="1" applyAlignment="1">
      <alignment horizontal="center" wrapText="1"/>
    </xf>
    <xf numFmtId="164" fontId="3" fillId="0" borderId="5" xfId="6" applyNumberFormat="1" applyFont="1" applyBorder="1" applyAlignment="1">
      <alignment horizontal="center" wrapText="1"/>
    </xf>
    <xf numFmtId="0" fontId="3" fillId="0" borderId="5" xfId="6" applyFont="1" applyBorder="1" applyAlignment="1">
      <alignment horizontal="center" wrapText="1"/>
    </xf>
    <xf numFmtId="164" fontId="3" fillId="0" borderId="7" xfId="6" applyNumberFormat="1" applyFont="1" applyBorder="1" applyAlignment="1">
      <alignment horizontal="center" wrapText="1"/>
    </xf>
    <xf numFmtId="164" fontId="3" fillId="3" borderId="8" xfId="6" applyNumberFormat="1" applyFont="1" applyFill="1" applyBorder="1" applyAlignment="1"/>
    <xf numFmtId="164" fontId="3" fillId="3" borderId="8" xfId="6" applyNumberFormat="1" applyFont="1" applyFill="1" applyBorder="1" applyAlignment="1">
      <alignment horizontal="left"/>
    </xf>
    <xf numFmtId="164" fontId="3" fillId="0" borderId="16" xfId="6" applyNumberFormat="1" applyFont="1" applyBorder="1" applyAlignment="1">
      <alignment horizontal="center"/>
    </xf>
    <xf numFmtId="164" fontId="5" fillId="0" borderId="16" xfId="6" applyNumberFormat="1" applyFont="1" applyBorder="1" applyAlignment="1">
      <alignment horizontal="left" wrapText="1"/>
    </xf>
    <xf numFmtId="5" fontId="6" fillId="0" borderId="16" xfId="6" applyNumberFormat="1" applyFont="1" applyBorder="1" applyAlignment="1">
      <alignment horizontal="center"/>
    </xf>
    <xf numFmtId="5" fontId="6" fillId="0" borderId="8" xfId="6" applyNumberFormat="1" applyFont="1" applyBorder="1" applyAlignment="1">
      <alignment horizontal="right"/>
    </xf>
    <xf numFmtId="9" fontId="6" fillId="0" borderId="8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center" vertical="center"/>
    </xf>
    <xf numFmtId="43" fontId="6" fillId="0" borderId="16" xfId="1" applyFont="1" applyBorder="1" applyProtection="1">
      <protection locked="0"/>
    </xf>
    <xf numFmtId="164" fontId="3" fillId="0" borderId="16" xfId="6" applyNumberFormat="1" applyFont="1" applyBorder="1" applyAlignment="1">
      <alignment horizontal="center" vertical="center"/>
    </xf>
    <xf numFmtId="164" fontId="3" fillId="0" borderId="16" xfId="6" applyNumberFormat="1" applyFont="1" applyBorder="1" applyAlignment="1">
      <alignment horizontal="left" wrapText="1"/>
    </xf>
    <xf numFmtId="5" fontId="3" fillId="0" borderId="16" xfId="6" applyNumberFormat="1" applyFont="1" applyBorder="1" applyAlignment="1">
      <alignment horizontal="right"/>
    </xf>
    <xf numFmtId="9" fontId="3" fillId="0" borderId="16" xfId="6" applyNumberFormat="1" applyFont="1" applyBorder="1" applyAlignment="1">
      <alignment horizontal="right"/>
    </xf>
    <xf numFmtId="164" fontId="3" fillId="0" borderId="16" xfId="6" applyNumberFormat="1" applyFont="1" applyBorder="1" applyAlignment="1">
      <alignment horizontal="right"/>
    </xf>
    <xf numFmtId="43" fontId="3" fillId="0" borderId="16" xfId="1" applyFont="1" applyBorder="1" applyProtection="1">
      <protection locked="0"/>
    </xf>
    <xf numFmtId="5" fontId="3" fillId="0" borderId="8" xfId="6" applyNumberFormat="1" applyFont="1" applyBorder="1" applyAlignment="1">
      <alignment horizontal="right"/>
    </xf>
    <xf numFmtId="9" fontId="3" fillId="0" borderId="8" xfId="6" applyNumberFormat="1" applyFont="1" applyBorder="1" applyAlignment="1">
      <alignment horizontal="right"/>
    </xf>
    <xf numFmtId="164" fontId="3" fillId="0" borderId="17" xfId="6" applyNumberFormat="1" applyFont="1" applyFill="1" applyBorder="1" applyAlignment="1">
      <alignment horizontal="center"/>
    </xf>
    <xf numFmtId="164" fontId="3" fillId="0" borderId="18" xfId="6" applyNumberFormat="1" applyFont="1" applyBorder="1" applyAlignment="1">
      <alignment horizontal="left"/>
    </xf>
    <xf numFmtId="5" fontId="3" fillId="0" borderId="17" xfId="6" applyNumberFormat="1" applyFont="1" applyBorder="1" applyAlignment="1">
      <alignment horizontal="right"/>
    </xf>
    <xf numFmtId="5" fontId="3" fillId="0" borderId="19" xfId="6" applyNumberFormat="1" applyFont="1" applyBorder="1" applyAlignment="1">
      <alignment horizontal="right"/>
    </xf>
    <xf numFmtId="9" fontId="3" fillId="0" borderId="19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right"/>
    </xf>
    <xf numFmtId="164" fontId="3" fillId="0" borderId="19" xfId="6" applyNumberFormat="1" applyFont="1" applyFill="1" applyBorder="1" applyAlignment="1">
      <alignment horizontal="center"/>
    </xf>
    <xf numFmtId="164" fontId="3" fillId="0" borderId="17" xfId="6" applyNumberFormat="1" applyFont="1" applyBorder="1" applyAlignment="1">
      <alignment horizontal="left"/>
    </xf>
    <xf numFmtId="37" fontId="6" fillId="0" borderId="8" xfId="6" applyNumberFormat="1" applyFont="1" applyBorder="1" applyAlignment="1">
      <alignment horizontal="right"/>
    </xf>
    <xf numFmtId="37" fontId="3" fillId="0" borderId="8" xfId="6" applyNumberFormat="1" applyFont="1" applyBorder="1" applyAlignment="1">
      <alignment horizontal="right"/>
    </xf>
    <xf numFmtId="0" fontId="6" fillId="0" borderId="0" xfId="6" applyFont="1" applyBorder="1" applyAlignment="1">
      <alignment horizontal="right"/>
    </xf>
    <xf numFmtId="0" fontId="3" fillId="0" borderId="20" xfId="7" applyFont="1" applyBorder="1" applyAlignment="1">
      <alignment horizontal="center"/>
    </xf>
    <xf numFmtId="0" fontId="6" fillId="0" borderId="0" xfId="7" applyFont="1" applyBorder="1"/>
    <xf numFmtId="164" fontId="3" fillId="0" borderId="16" xfId="7" applyNumberFormat="1" applyFont="1" applyBorder="1" applyAlignment="1">
      <alignment horizontal="center"/>
    </xf>
    <xf numFmtId="164" fontId="3" fillId="0" borderId="23" xfId="7" applyNumberFormat="1" applyFont="1" applyBorder="1" applyAlignment="1">
      <alignment horizontal="center"/>
    </xf>
    <xf numFmtId="164" fontId="3" fillId="0" borderId="23" xfId="7" applyNumberFormat="1" applyFont="1" applyBorder="1" applyAlignment="1"/>
    <xf numFmtId="0" fontId="3" fillId="0" borderId="23" xfId="7" applyFont="1" applyBorder="1" applyAlignment="1">
      <alignment horizontal="center" wrapText="1"/>
    </xf>
    <xf numFmtId="164" fontId="3" fillId="0" borderId="23" xfId="7" applyNumberFormat="1" applyFont="1" applyBorder="1" applyAlignment="1">
      <alignment horizontal="center" wrapText="1"/>
    </xf>
    <xf numFmtId="164" fontId="5" fillId="0" borderId="23" xfId="7" applyNumberFormat="1" applyFont="1" applyBorder="1" applyAlignment="1">
      <alignment horizontal="center"/>
    </xf>
    <xf numFmtId="164" fontId="5" fillId="0" borderId="23" xfId="7" applyNumberFormat="1" applyFont="1" applyBorder="1" applyAlignment="1">
      <alignment horizontal="left"/>
    </xf>
    <xf numFmtId="164" fontId="5" fillId="0" borderId="23" xfId="7" applyNumberFormat="1" applyFont="1" applyBorder="1" applyAlignment="1">
      <alignment horizontal="center" wrapText="1"/>
    </xf>
    <xf numFmtId="0" fontId="5" fillId="0" borderId="23" xfId="7" applyFont="1" applyBorder="1" applyAlignment="1">
      <alignment horizontal="center" wrapText="1"/>
    </xf>
    <xf numFmtId="164" fontId="6" fillId="0" borderId="16" xfId="7" applyNumberFormat="1" applyFont="1" applyBorder="1" applyAlignment="1">
      <alignment horizontal="center"/>
    </xf>
    <xf numFmtId="0" fontId="5" fillId="0" borderId="16" xfId="7" applyNumberFormat="1" applyFont="1" applyBorder="1" applyAlignment="1">
      <alignment horizontal="left" wrapText="1"/>
    </xf>
    <xf numFmtId="164" fontId="6" fillId="0" borderId="16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horizontal="right"/>
    </xf>
    <xf numFmtId="0" fontId="6" fillId="0" borderId="16" xfId="7" applyFont="1" applyBorder="1" applyAlignment="1">
      <alignment horizontal="right"/>
    </xf>
    <xf numFmtId="164" fontId="9" fillId="0" borderId="8" xfId="7" applyNumberFormat="1" applyFont="1" applyBorder="1" applyAlignment="1">
      <alignment horizontal="center"/>
    </xf>
    <xf numFmtId="0" fontId="5" fillId="0" borderId="8" xfId="7" applyNumberFormat="1" applyFont="1" applyBorder="1" applyAlignment="1">
      <alignment horizontal="left" wrapText="1"/>
    </xf>
    <xf numFmtId="164" fontId="6" fillId="0" borderId="8" xfId="7" applyNumberFormat="1" applyFont="1" applyBorder="1" applyAlignment="1">
      <alignment horizontal="right"/>
    </xf>
    <xf numFmtId="0" fontId="3" fillId="0" borderId="16" xfId="7" applyFont="1" applyBorder="1" applyAlignment="1">
      <alignment horizontal="center"/>
    </xf>
    <xf numFmtId="0" fontId="5" fillId="0" borderId="16" xfId="7" applyNumberFormat="1" applyFont="1" applyBorder="1"/>
    <xf numFmtId="5" fontId="6" fillId="0" borderId="16" xfId="7" applyNumberFormat="1" applyFont="1" applyBorder="1" applyAlignment="1">
      <alignment horizontal="right"/>
    </xf>
    <xf numFmtId="5" fontId="3" fillId="0" borderId="16" xfId="7" applyNumberFormat="1" applyFont="1" applyBorder="1" applyAlignment="1">
      <alignment horizontal="right"/>
    </xf>
    <xf numFmtId="9" fontId="3" fillId="0" borderId="16" xfId="7" applyNumberFormat="1" applyFont="1" applyBorder="1" applyAlignment="1">
      <alignment horizontal="right"/>
    </xf>
    <xf numFmtId="0" fontId="6" fillId="0" borderId="16" xfId="2" applyNumberFormat="1" applyFont="1" applyBorder="1" applyProtection="1">
      <protection locked="0"/>
    </xf>
    <xf numFmtId="9" fontId="6" fillId="0" borderId="16" xfId="7" applyNumberFormat="1" applyFont="1" applyBorder="1" applyAlignment="1">
      <alignment horizontal="right"/>
    </xf>
    <xf numFmtId="0" fontId="3" fillId="0" borderId="16" xfId="7" applyNumberFormat="1" applyFont="1" applyBorder="1"/>
    <xf numFmtId="43" fontId="6" fillId="0" borderId="16" xfId="2" applyFont="1" applyBorder="1" applyProtection="1">
      <protection locked="0"/>
    </xf>
    <xf numFmtId="164" fontId="6" fillId="0" borderId="16" xfId="7" applyNumberFormat="1" applyFont="1" applyFill="1" applyBorder="1" applyAlignment="1">
      <alignment horizontal="center"/>
    </xf>
    <xf numFmtId="3" fontId="3" fillId="0" borderId="16" xfId="7" applyNumberFormat="1" applyFont="1" applyBorder="1" applyAlignment="1" applyProtection="1"/>
    <xf numFmtId="9" fontId="6" fillId="0" borderId="16" xfId="9" applyFont="1" applyBorder="1" applyAlignment="1">
      <alignment horizontal="right"/>
    </xf>
    <xf numFmtId="0" fontId="3" fillId="0" borderId="16" xfId="7" applyNumberFormat="1" applyFont="1" applyBorder="1" applyAlignment="1">
      <alignment horizontal="left"/>
    </xf>
    <xf numFmtId="164" fontId="9" fillId="0" borderId="16" xfId="7" applyNumberFormat="1" applyFont="1" applyBorder="1" applyAlignment="1">
      <alignment horizontal="center"/>
    </xf>
    <xf numFmtId="0" fontId="6" fillId="0" borderId="16" xfId="7" applyFont="1" applyBorder="1"/>
    <xf numFmtId="3" fontId="6" fillId="0" borderId="16" xfId="7" applyNumberFormat="1" applyFont="1" applyBorder="1" applyAlignment="1" applyProtection="1"/>
    <xf numFmtId="0" fontId="8" fillId="0" borderId="16" xfId="7" applyBorder="1"/>
    <xf numFmtId="0" fontId="6" fillId="0" borderId="0" xfId="7" applyFont="1" applyBorder="1" applyAlignment="1">
      <alignment horizontal="right"/>
    </xf>
    <xf numFmtId="0" fontId="1" fillId="0" borderId="35" xfId="7" applyFont="1" applyBorder="1" applyAlignment="1">
      <alignment horizontal="center"/>
    </xf>
    <xf numFmtId="0" fontId="2" fillId="0" borderId="35" xfId="7" applyFont="1" applyBorder="1" applyAlignment="1">
      <alignment horizontal="centerContinuous"/>
    </xf>
    <xf numFmtId="0" fontId="1" fillId="0" borderId="35" xfId="7" applyFont="1" applyBorder="1" applyAlignment="1">
      <alignment horizontal="centerContinuous"/>
    </xf>
    <xf numFmtId="0" fontId="1" fillId="0" borderId="35" xfId="7" applyFont="1" applyBorder="1" applyAlignment="1"/>
    <xf numFmtId="0" fontId="2" fillId="0" borderId="35" xfId="7" applyFont="1" applyBorder="1" applyAlignment="1">
      <alignment horizontal="center"/>
    </xf>
    <xf numFmtId="164" fontId="2" fillId="0" borderId="35" xfId="7" applyNumberFormat="1" applyFont="1" applyBorder="1" applyAlignment="1">
      <alignment horizontal="center"/>
    </xf>
    <xf numFmtId="0" fontId="2" fillId="0" borderId="35" xfId="7" applyFont="1" applyFill="1" applyBorder="1" applyAlignment="1">
      <alignment horizontal="center"/>
    </xf>
    <xf numFmtId="0" fontId="2" fillId="0" borderId="35" xfId="7" applyFont="1" applyFill="1" applyBorder="1" applyAlignment="1">
      <alignment horizontal="centerContinuous"/>
    </xf>
    <xf numFmtId="0" fontId="4" fillId="0" borderId="35" xfId="7" applyFont="1" applyFill="1" applyBorder="1" applyAlignment="1">
      <alignment horizontal="center"/>
    </xf>
    <xf numFmtId="0" fontId="4" fillId="0" borderId="35" xfId="7" applyFont="1" applyFill="1" applyBorder="1" applyAlignment="1">
      <alignment horizontal="left"/>
    </xf>
    <xf numFmtId="5" fontId="1" fillId="0" borderId="35" xfId="7" applyNumberFormat="1" applyFont="1" applyBorder="1" applyAlignment="1"/>
    <xf numFmtId="0" fontId="6" fillId="0" borderId="32" xfId="7" applyFont="1" applyFill="1" applyBorder="1" applyAlignment="1">
      <alignment horizontal="left"/>
    </xf>
    <xf numFmtId="37" fontId="6" fillId="0" borderId="35" xfId="7" applyNumberFormat="1" applyFont="1" applyBorder="1" applyAlignment="1">
      <alignment horizontal="right"/>
    </xf>
    <xf numFmtId="0" fontId="6" fillId="0" borderId="32" xfId="7" applyFont="1" applyBorder="1" applyAlignment="1">
      <alignment horizontal="left"/>
    </xf>
    <xf numFmtId="166" fontId="6" fillId="0" borderId="35" xfId="7" applyNumberFormat="1" applyFont="1" applyBorder="1" applyAlignment="1">
      <alignment horizontal="right"/>
    </xf>
    <xf numFmtId="166" fontId="3" fillId="0" borderId="35" xfId="7" applyNumberFormat="1" applyFont="1" applyBorder="1" applyAlignment="1">
      <alignment horizontal="right"/>
    </xf>
    <xf numFmtId="10" fontId="6" fillId="0" borderId="35" xfId="7" applyNumberFormat="1" applyFont="1" applyBorder="1" applyAlignment="1">
      <alignment horizontal="right"/>
    </xf>
    <xf numFmtId="0" fontId="8" fillId="0" borderId="35" xfId="7" applyBorder="1"/>
    <xf numFmtId="0" fontId="4" fillId="0" borderId="35" xfId="7" applyFont="1" applyBorder="1" applyAlignment="1">
      <alignment horizontal="left"/>
    </xf>
    <xf numFmtId="0" fontId="1" fillId="0" borderId="35" xfId="7" applyFont="1" applyBorder="1" applyAlignment="1">
      <alignment horizontal="left"/>
    </xf>
    <xf numFmtId="167" fontId="6" fillId="0" borderId="35" xfId="7" applyNumberFormat="1" applyFont="1" applyBorder="1" applyAlignment="1">
      <alignment horizontal="right"/>
    </xf>
    <xf numFmtId="0" fontId="2" fillId="0" borderId="35" xfId="7" applyFont="1" applyBorder="1" applyAlignment="1">
      <alignment horizontal="left"/>
    </xf>
    <xf numFmtId="43" fontId="3" fillId="0" borderId="35" xfId="7" applyNumberFormat="1" applyFont="1" applyBorder="1" applyAlignment="1">
      <alignment horizontal="right"/>
    </xf>
    <xf numFmtId="5" fontId="1" fillId="0" borderId="35" xfId="7" applyNumberFormat="1" applyFont="1" applyBorder="1" applyAlignment="1">
      <alignment horizontal="right"/>
    </xf>
    <xf numFmtId="39" fontId="3" fillId="0" borderId="35" xfId="7" applyNumberFormat="1" applyFont="1" applyBorder="1" applyAlignment="1">
      <alignment horizontal="right"/>
    </xf>
    <xf numFmtId="4" fontId="3" fillId="0" borderId="35" xfId="7" applyNumberFormat="1" applyFont="1" applyBorder="1" applyAlignment="1">
      <alignment horizontal="right"/>
    </xf>
    <xf numFmtId="165" fontId="6" fillId="0" borderId="35" xfId="7" applyNumberFormat="1" applyFont="1" applyFill="1" applyBorder="1" applyAlignment="1">
      <alignment horizontal="right"/>
    </xf>
    <xf numFmtId="0" fontId="10" fillId="0" borderId="35" xfId="7" applyFont="1" applyBorder="1" applyAlignment="1">
      <alignment horizontal="left"/>
    </xf>
    <xf numFmtId="165" fontId="6" fillId="0" borderId="35" xfId="7" applyNumberFormat="1" applyFont="1" applyBorder="1" applyAlignment="1">
      <alignment horizontal="right"/>
    </xf>
    <xf numFmtId="167" fontId="3" fillId="0" borderId="35" xfId="7" applyNumberFormat="1" applyFont="1" applyFill="1" applyBorder="1" applyAlignment="1">
      <alignment horizontal="right"/>
    </xf>
    <xf numFmtId="164" fontId="3" fillId="0" borderId="35" xfId="7" applyNumberFormat="1" applyFont="1" applyBorder="1" applyAlignment="1">
      <alignment horizontal="right"/>
    </xf>
    <xf numFmtId="5" fontId="6" fillId="0" borderId="35" xfId="7" applyNumberFormat="1" applyFont="1" applyBorder="1" applyAlignment="1"/>
    <xf numFmtId="0" fontId="1" fillId="0" borderId="32" xfId="7" applyFont="1" applyBorder="1" applyAlignment="1">
      <alignment horizontal="left"/>
    </xf>
    <xf numFmtId="37" fontId="6" fillId="0" borderId="35" xfId="7" applyNumberFormat="1" applyFont="1" applyBorder="1" applyAlignment="1"/>
    <xf numFmtId="0" fontId="2" fillId="0" borderId="35" xfId="7" applyFont="1" applyFill="1" applyBorder="1" applyAlignment="1">
      <alignment horizontal="left"/>
    </xf>
    <xf numFmtId="5" fontId="3" fillId="0" borderId="35" xfId="7" applyNumberFormat="1" applyFont="1" applyBorder="1" applyAlignment="1"/>
    <xf numFmtId="165" fontId="3" fillId="0" borderId="35" xfId="7" applyNumberFormat="1" applyFont="1" applyBorder="1" applyAlignment="1"/>
    <xf numFmtId="0" fontId="5" fillId="0" borderId="35" xfId="7" applyFont="1" applyFill="1" applyBorder="1" applyAlignment="1">
      <alignment horizontal="left"/>
    </xf>
    <xf numFmtId="0" fontId="1" fillId="0" borderId="35" xfId="7" applyFont="1" applyFill="1" applyBorder="1" applyAlignment="1">
      <alignment horizontal="left"/>
    </xf>
    <xf numFmtId="165" fontId="1" fillId="0" borderId="35" xfId="7" applyNumberFormat="1" applyFont="1" applyBorder="1" applyAlignment="1"/>
    <xf numFmtId="42" fontId="6" fillId="0" borderId="35" xfId="7" applyNumberFormat="1" applyFont="1" applyBorder="1" applyAlignment="1">
      <alignment horizontal="right"/>
    </xf>
    <xf numFmtId="168" fontId="3" fillId="0" borderId="35" xfId="7" applyNumberFormat="1" applyFont="1" applyBorder="1" applyAlignment="1">
      <alignment horizontal="right"/>
    </xf>
    <xf numFmtId="1" fontId="3" fillId="0" borderId="35" xfId="7" applyNumberFormat="1" applyFont="1" applyBorder="1" applyAlignment="1">
      <alignment horizontal="right"/>
    </xf>
    <xf numFmtId="165" fontId="6" fillId="0" borderId="35" xfId="7" applyNumberFormat="1" applyFont="1" applyBorder="1" applyAlignment="1"/>
    <xf numFmtId="0" fontId="1" fillId="0" borderId="35" xfId="7" applyFont="1" applyFill="1" applyBorder="1" applyAlignment="1">
      <alignment horizontal="center"/>
    </xf>
    <xf numFmtId="41" fontId="6" fillId="0" borderId="35" xfId="7" applyNumberFormat="1" applyFont="1" applyBorder="1" applyAlignment="1">
      <alignment horizontal="right"/>
    </xf>
    <xf numFmtId="168" fontId="6" fillId="0" borderId="35" xfId="7" applyNumberFormat="1" applyFont="1" applyBorder="1" applyAlignment="1">
      <alignment horizontal="right"/>
    </xf>
    <xf numFmtId="0" fontId="8" fillId="0" borderId="35" xfId="7" applyFill="1" applyBorder="1" applyAlignment="1"/>
    <xf numFmtId="0" fontId="8" fillId="0" borderId="35" xfId="7" applyFill="1" applyBorder="1" applyAlignment="1">
      <alignment horizontal="center"/>
    </xf>
    <xf numFmtId="0" fontId="11" fillId="0" borderId="35" xfId="7" applyFont="1" applyBorder="1" applyAlignment="1"/>
    <xf numFmtId="0" fontId="3" fillId="0" borderId="0" xfId="7" applyFont="1" applyFill="1" applyBorder="1" applyAlignment="1">
      <alignment horizontal="center"/>
    </xf>
    <xf numFmtId="0" fontId="1" fillId="0" borderId="0" xfId="7" applyFont="1" applyBorder="1" applyAlignment="1"/>
    <xf numFmtId="0" fontId="11" fillId="0" borderId="0" xfId="7" applyFont="1" applyBorder="1" applyAlignment="1"/>
    <xf numFmtId="0" fontId="6" fillId="0" borderId="0" xfId="7" applyFont="1" applyFill="1" applyBorder="1" applyAlignment="1">
      <alignment horizontal="center"/>
    </xf>
    <xf numFmtId="167" fontId="6" fillId="0" borderId="0" xfId="7" applyNumberFormat="1" applyFont="1" applyBorder="1" applyAlignment="1">
      <alignment horizontal="right"/>
    </xf>
    <xf numFmtId="165" fontId="6" fillId="0" borderId="0" xfId="7" applyNumberFormat="1" applyFont="1" applyBorder="1" applyAlignment="1"/>
    <xf numFmtId="5" fontId="6" fillId="0" borderId="0" xfId="7" applyNumberFormat="1" applyFont="1" applyBorder="1" applyAlignment="1"/>
    <xf numFmtId="165" fontId="1" fillId="0" borderId="0" xfId="7" applyNumberFormat="1" applyFont="1" applyBorder="1" applyAlignment="1"/>
    <xf numFmtId="169" fontId="6" fillId="0" borderId="35" xfId="7" applyNumberFormat="1" applyFont="1" applyBorder="1" applyProtection="1">
      <protection locked="0"/>
    </xf>
    <xf numFmtId="0" fontId="12" fillId="0" borderId="0" xfId="6" applyFont="1" applyBorder="1" applyAlignment="1">
      <alignment horizontal="left"/>
    </xf>
    <xf numFmtId="0" fontId="12" fillId="0" borderId="0" xfId="6" applyFont="1" applyBorder="1" applyAlignment="1">
      <alignment horizontal="right"/>
    </xf>
    <xf numFmtId="0" fontId="12" fillId="0" borderId="0" xfId="6" applyFont="1" applyBorder="1" applyAlignment="1">
      <alignment horizontal="centerContinuous"/>
    </xf>
    <xf numFmtId="0" fontId="13" fillId="0" borderId="0" xfId="6" applyFont="1" applyBorder="1"/>
    <xf numFmtId="164" fontId="12" fillId="0" borderId="24" xfId="6" applyNumberFormat="1" applyFont="1" applyBorder="1" applyAlignment="1">
      <alignment horizontal="center"/>
    </xf>
    <xf numFmtId="164" fontId="12" fillId="0" borderId="2" xfId="6" applyNumberFormat="1" applyFont="1" applyBorder="1" applyAlignment="1">
      <alignment horizontal="center"/>
    </xf>
    <xf numFmtId="164" fontId="12" fillId="0" borderId="3" xfId="6" applyNumberFormat="1" applyFont="1" applyBorder="1" applyAlignment="1">
      <alignment horizontal="center"/>
    </xf>
    <xf numFmtId="164" fontId="13" fillId="0" borderId="0" xfId="6" applyNumberFormat="1" applyFont="1" applyBorder="1" applyAlignment="1">
      <alignment horizontal="center"/>
    </xf>
    <xf numFmtId="164" fontId="12" fillId="0" borderId="25" xfId="6" applyNumberFormat="1" applyFont="1" applyBorder="1" applyAlignment="1">
      <alignment horizontal="center" wrapText="1"/>
    </xf>
    <xf numFmtId="164" fontId="12" fillId="0" borderId="6" xfId="6" applyNumberFormat="1" applyFont="1" applyBorder="1" applyAlignment="1">
      <alignment horizontal="left" wrapText="1"/>
    </xf>
    <xf numFmtId="164" fontId="12" fillId="0" borderId="6" xfId="6" applyNumberFormat="1" applyFont="1" applyBorder="1" applyAlignment="1">
      <alignment horizontal="center" wrapText="1"/>
    </xf>
    <xf numFmtId="164" fontId="12" fillId="0" borderId="5" xfId="6" applyNumberFormat="1" applyFont="1" applyBorder="1" applyAlignment="1">
      <alignment horizontal="center" wrapText="1"/>
    </xf>
    <xf numFmtId="9" fontId="12" fillId="0" borderId="26" xfId="10" applyFont="1" applyBorder="1" applyAlignment="1">
      <alignment horizontal="center" wrapText="1"/>
    </xf>
    <xf numFmtId="0" fontId="13" fillId="0" borderId="0" xfId="6" applyFont="1" applyBorder="1" applyAlignment="1">
      <alignment horizontal="right"/>
    </xf>
    <xf numFmtId="164" fontId="12" fillId="3" borderId="8" xfId="6" applyNumberFormat="1" applyFont="1" applyFill="1" applyBorder="1" applyAlignment="1">
      <alignment horizontal="center" wrapText="1"/>
    </xf>
    <xf numFmtId="164" fontId="12" fillId="3" borderId="8" xfId="6" applyNumberFormat="1" applyFont="1" applyFill="1" applyBorder="1" applyAlignment="1">
      <alignment horizontal="left" wrapText="1"/>
    </xf>
    <xf numFmtId="0" fontId="14" fillId="0" borderId="16" xfId="6" applyFont="1" applyBorder="1" applyAlignment="1">
      <alignment horizontal="center" vertical="center"/>
    </xf>
    <xf numFmtId="0" fontId="12" fillId="0" borderId="16" xfId="6" applyFont="1" applyBorder="1" applyAlignment="1">
      <alignment horizontal="left" vertical="center"/>
    </xf>
    <xf numFmtId="164" fontId="12" fillId="0" borderId="16" xfId="6" applyNumberFormat="1" applyFont="1" applyBorder="1" applyAlignment="1">
      <alignment horizontal="center" wrapText="1"/>
    </xf>
    <xf numFmtId="164" fontId="12" fillId="0" borderId="8" xfId="6" applyNumberFormat="1" applyFont="1" applyBorder="1" applyAlignment="1">
      <alignment horizontal="center"/>
    </xf>
    <xf numFmtId="43" fontId="12" fillId="0" borderId="30" xfId="1" applyFont="1" applyBorder="1" applyProtection="1">
      <protection locked="0"/>
    </xf>
    <xf numFmtId="164" fontId="12" fillId="0" borderId="8" xfId="6" applyNumberFormat="1" applyFont="1" applyBorder="1" applyAlignment="1">
      <alignment horizontal="right" wrapText="1"/>
    </xf>
    <xf numFmtId="164" fontId="12" fillId="0" borderId="8" xfId="6" applyNumberFormat="1" applyFont="1" applyBorder="1" applyAlignment="1">
      <alignment horizontal="right"/>
    </xf>
    <xf numFmtId="9" fontId="12" fillId="0" borderId="8" xfId="10" applyFont="1" applyBorder="1" applyAlignment="1">
      <alignment horizontal="center"/>
    </xf>
    <xf numFmtId="164" fontId="13" fillId="0" borderId="16" xfId="6" applyNumberFormat="1" applyFont="1" applyBorder="1" applyAlignment="1">
      <alignment horizontal="center"/>
    </xf>
    <xf numFmtId="0" fontId="13" fillId="0" borderId="16" xfId="6" applyFont="1" applyBorder="1"/>
    <xf numFmtId="5" fontId="13" fillId="0" borderId="16" xfId="6" applyNumberFormat="1" applyFont="1" applyBorder="1" applyAlignment="1">
      <alignment horizontal="right"/>
    </xf>
    <xf numFmtId="9" fontId="13" fillId="0" borderId="16" xfId="10" applyNumberFormat="1" applyFont="1" applyBorder="1" applyAlignment="1">
      <alignment horizontal="right"/>
    </xf>
    <xf numFmtId="37" fontId="13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left"/>
    </xf>
    <xf numFmtId="5" fontId="12" fillId="0" borderId="16" xfId="6" applyNumberFormat="1" applyFont="1" applyBorder="1" applyAlignment="1">
      <alignment horizontal="right"/>
    </xf>
    <xf numFmtId="9" fontId="12" fillId="0" borderId="16" xfId="10" applyNumberFormat="1" applyFont="1" applyBorder="1" applyAlignment="1">
      <alignment horizontal="right"/>
    </xf>
    <xf numFmtId="0" fontId="12" fillId="0" borderId="0" xfId="6" applyFont="1" applyBorder="1"/>
    <xf numFmtId="164" fontId="12" fillId="0" borderId="16" xfId="6" applyNumberFormat="1" applyFont="1" applyFill="1" applyBorder="1" applyAlignment="1">
      <alignment horizontal="center"/>
    </xf>
    <xf numFmtId="0" fontId="13" fillId="0" borderId="0" xfId="6" applyFont="1" applyBorder="1" applyAlignment="1">
      <alignment horizontal="center"/>
    </xf>
    <xf numFmtId="0" fontId="14" fillId="0" borderId="8" xfId="6" applyFont="1" applyBorder="1" applyAlignment="1">
      <alignment horizontal="center" vertical="center"/>
    </xf>
    <xf numFmtId="0" fontId="12" fillId="0" borderId="8" xfId="6" applyFont="1" applyBorder="1" applyAlignment="1">
      <alignment horizontal="left" vertical="center"/>
    </xf>
    <xf numFmtId="164" fontId="12" fillId="0" borderId="8" xfId="6" applyNumberFormat="1" applyFont="1" applyBorder="1" applyAlignment="1">
      <alignment horizontal="center" wrapText="1"/>
    </xf>
    <xf numFmtId="0" fontId="12" fillId="0" borderId="16" xfId="6" applyFont="1" applyBorder="1" applyAlignment="1">
      <alignment horizontal="center"/>
    </xf>
    <xf numFmtId="0" fontId="12" fillId="0" borderId="16" xfId="6" applyFont="1" applyBorder="1" applyAlignment="1">
      <alignment wrapText="1"/>
    </xf>
    <xf numFmtId="9" fontId="12" fillId="0" borderId="16" xfId="10" applyFont="1" applyBorder="1" applyAlignment="1">
      <alignment horizontal="right"/>
    </xf>
    <xf numFmtId="37" fontId="12" fillId="0" borderId="16" xfId="6" applyNumberFormat="1" applyFont="1" applyFill="1" applyBorder="1" applyAlignment="1">
      <alignment horizontal="right"/>
    </xf>
    <xf numFmtId="164" fontId="12" fillId="0" borderId="25" xfId="6" applyNumberFormat="1" applyFont="1" applyBorder="1" applyAlignment="1">
      <alignment horizontal="center"/>
    </xf>
    <xf numFmtId="164" fontId="12" fillId="0" borderId="6" xfId="6" applyNumberFormat="1" applyFont="1" applyBorder="1" applyAlignment="1">
      <alignment horizontal="left"/>
    </xf>
    <xf numFmtId="164" fontId="12" fillId="3" borderId="8" xfId="6" applyNumberFormat="1" applyFont="1" applyFill="1" applyBorder="1" applyAlignment="1">
      <alignment horizontal="center"/>
    </xf>
    <xf numFmtId="164" fontId="12" fillId="3" borderId="11" xfId="6" applyNumberFormat="1" applyFont="1" applyFill="1" applyBorder="1" applyAlignment="1">
      <alignment horizontal="left"/>
    </xf>
    <xf numFmtId="164" fontId="12" fillId="3" borderId="9" xfId="6" applyNumberFormat="1" applyFont="1" applyFill="1" applyBorder="1" applyAlignment="1">
      <alignment horizontal="center" wrapText="1"/>
    </xf>
    <xf numFmtId="164" fontId="12" fillId="3" borderId="10" xfId="6" applyNumberFormat="1" applyFont="1" applyFill="1" applyBorder="1" applyAlignment="1">
      <alignment horizontal="center" wrapText="1"/>
    </xf>
    <xf numFmtId="9" fontId="12" fillId="3" borderId="11" xfId="10" applyFont="1" applyFill="1" applyBorder="1" applyAlignment="1">
      <alignment horizontal="center" wrapText="1"/>
    </xf>
    <xf numFmtId="0" fontId="15" fillId="0" borderId="16" xfId="6" applyFont="1" applyBorder="1" applyAlignment="1">
      <alignment horizontal="center" vertical="center"/>
    </xf>
    <xf numFmtId="43" fontId="12" fillId="0" borderId="8" xfId="1" applyFont="1" applyBorder="1" applyAlignment="1" applyProtection="1">
      <alignment horizontal="left" wrapText="1"/>
      <protection locked="0"/>
    </xf>
    <xf numFmtId="164" fontId="12" fillId="0" borderId="16" xfId="6" applyNumberFormat="1" applyFont="1" applyFill="1" applyBorder="1" applyAlignment="1">
      <alignment horizontal="left" wrapText="1"/>
    </xf>
    <xf numFmtId="0" fontId="12" fillId="0" borderId="16" xfId="6" applyFont="1" applyBorder="1" applyAlignment="1">
      <alignment horizontal="center" vertical="center"/>
    </xf>
    <xf numFmtId="0" fontId="12" fillId="0" borderId="16" xfId="6" applyFont="1" applyFill="1" applyBorder="1" applyAlignment="1">
      <alignment wrapText="1"/>
    </xf>
    <xf numFmtId="37" fontId="12" fillId="0" borderId="16" xfId="1" applyNumberFormat="1" applyFont="1" applyBorder="1" applyAlignment="1">
      <alignment horizontal="right"/>
    </xf>
    <xf numFmtId="0" fontId="1" fillId="0" borderId="35" xfId="6" applyBorder="1" applyAlignment="1">
      <alignment wrapText="1"/>
    </xf>
    <xf numFmtId="0" fontId="2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wrapText="1"/>
    </xf>
    <xf numFmtId="164" fontId="2" fillId="0" borderId="35" xfId="6" applyNumberFormat="1" applyFont="1" applyBorder="1" applyAlignment="1">
      <alignment horizontal="center" wrapText="1"/>
    </xf>
    <xf numFmtId="0" fontId="1" fillId="0" borderId="35" xfId="6" applyFill="1" applyBorder="1" applyAlignment="1">
      <alignment wrapText="1"/>
    </xf>
    <xf numFmtId="0" fontId="2" fillId="0" borderId="35" xfId="6" applyFont="1" applyFill="1" applyBorder="1" applyAlignment="1">
      <alignment horizontal="left" wrapText="1"/>
    </xf>
    <xf numFmtId="0" fontId="2" fillId="0" borderId="35" xfId="6" applyFont="1" applyFill="1" applyBorder="1" applyAlignment="1">
      <alignment horizontal="centerContinuous" wrapText="1"/>
    </xf>
    <xf numFmtId="164" fontId="3" fillId="0" borderId="35" xfId="6" applyNumberFormat="1" applyFont="1" applyBorder="1" applyAlignment="1">
      <alignment horizontal="center" wrapText="1"/>
    </xf>
    <xf numFmtId="0" fontId="2" fillId="0" borderId="35" xfId="6" applyFont="1" applyFill="1" applyBorder="1" applyAlignment="1">
      <alignment horizontal="center" wrapText="1"/>
    </xf>
    <xf numFmtId="0" fontId="1" fillId="0" borderId="35" xfId="6" applyFill="1" applyBorder="1" applyAlignment="1">
      <alignment horizontal="center" wrapText="1"/>
    </xf>
    <xf numFmtId="0" fontId="4" fillId="0" borderId="35" xfId="6" applyFont="1" applyFill="1" applyBorder="1" applyAlignment="1">
      <alignment horizontal="center" wrapText="1"/>
    </xf>
    <xf numFmtId="0" fontId="5" fillId="0" borderId="35" xfId="6" applyFont="1" applyFill="1" applyBorder="1" applyAlignment="1">
      <alignment horizontal="center" wrapText="1"/>
    </xf>
    <xf numFmtId="0" fontId="4" fillId="0" borderId="35" xfId="6" applyFont="1" applyFill="1" applyBorder="1" applyAlignment="1">
      <alignment horizontal="left" wrapText="1"/>
    </xf>
    <xf numFmtId="0" fontId="1" fillId="0" borderId="35" xfId="6" applyFont="1" applyFill="1" applyBorder="1" applyAlignment="1">
      <alignment wrapText="1"/>
    </xf>
    <xf numFmtId="0" fontId="3" fillId="0" borderId="35" xfId="6" applyFont="1" applyFill="1" applyBorder="1" applyAlignment="1">
      <alignment horizontal="center" wrapText="1"/>
    </xf>
    <xf numFmtId="0" fontId="1" fillId="0" borderId="35" xfId="6" applyFont="1" applyBorder="1" applyAlignment="1">
      <alignment horizontal="center" wrapText="1"/>
    </xf>
    <xf numFmtId="0" fontId="1" fillId="0" borderId="35" xfId="6" applyFont="1" applyBorder="1" applyAlignment="1">
      <alignment horizontal="left" wrapText="1"/>
    </xf>
    <xf numFmtId="9" fontId="1" fillId="0" borderId="35" xfId="6" applyNumberFormat="1" applyFont="1" applyBorder="1" applyAlignment="1">
      <alignment horizontal="right" wrapText="1"/>
    </xf>
    <xf numFmtId="0" fontId="6" fillId="0" borderId="35" xfId="6" applyFont="1" applyBorder="1" applyAlignment="1">
      <alignment horizontal="center" wrapText="1"/>
    </xf>
    <xf numFmtId="0" fontId="2" fillId="0" borderId="35" xfId="6" applyFont="1" applyBorder="1" applyAlignment="1">
      <alignment horizontal="left" wrapText="1"/>
    </xf>
    <xf numFmtId="5" fontId="3" fillId="0" borderId="35" xfId="6" applyNumberFormat="1" applyFont="1" applyBorder="1" applyAlignment="1">
      <alignment horizontal="right" wrapText="1"/>
    </xf>
    <xf numFmtId="9" fontId="3" fillId="0" borderId="35" xfId="6" applyNumberFormat="1" applyFont="1" applyBorder="1" applyAlignment="1">
      <alignment horizontal="right" wrapText="1"/>
    </xf>
    <xf numFmtId="37" fontId="1" fillId="0" borderId="35" xfId="6" applyNumberFormat="1" applyFont="1" applyBorder="1" applyAlignment="1">
      <alignment horizontal="right" wrapText="1"/>
    </xf>
    <xf numFmtId="0" fontId="3" fillId="0" borderId="35" xfId="6" applyFont="1" applyBorder="1" applyAlignment="1">
      <alignment horizontal="center" wrapText="1"/>
    </xf>
    <xf numFmtId="0" fontId="5" fillId="0" borderId="35" xfId="6" applyFont="1" applyBorder="1" applyAlignment="1">
      <alignment horizontal="left" wrapText="1"/>
    </xf>
    <xf numFmtId="0" fontId="1" fillId="0" borderId="35" xfId="6" applyBorder="1" applyAlignment="1">
      <alignment horizontal="left" wrapText="1"/>
    </xf>
    <xf numFmtId="6" fontId="1" fillId="0" borderId="35" xfId="6" applyNumberFormat="1" applyBorder="1" applyAlignment="1">
      <alignment horizontal="right" wrapText="1"/>
    </xf>
    <xf numFmtId="9" fontId="1" fillId="0" borderId="35" xfId="6" applyNumberFormat="1" applyBorder="1" applyAlignment="1">
      <alignment horizontal="right" wrapText="1"/>
    </xf>
    <xf numFmtId="0" fontId="2" fillId="0" borderId="35" xfId="6" applyFont="1" applyBorder="1" applyAlignment="1">
      <alignment horizontal="center" wrapText="1"/>
    </xf>
    <xf numFmtId="0" fontId="4" fillId="0" borderId="35" xfId="6" applyFont="1" applyBorder="1" applyAlignment="1">
      <alignment horizontal="left" wrapText="1"/>
    </xf>
    <xf numFmtId="0" fontId="6" fillId="0" borderId="35" xfId="6" applyFont="1" applyFill="1" applyBorder="1" applyAlignment="1">
      <alignment horizontal="center" wrapText="1"/>
    </xf>
    <xf numFmtId="0" fontId="6" fillId="0" borderId="35" xfId="6" applyFont="1" applyFill="1" applyBorder="1" applyAlignment="1">
      <alignment horizontal="left" wrapText="1"/>
    </xf>
    <xf numFmtId="9" fontId="6" fillId="0" borderId="35" xfId="6" applyNumberFormat="1" applyFont="1" applyFill="1" applyBorder="1" applyAlignment="1">
      <alignment horizontal="right" wrapText="1"/>
    </xf>
    <xf numFmtId="0" fontId="16" fillId="0" borderId="35" xfId="6" applyFont="1" applyBorder="1" applyAlignment="1">
      <alignment wrapText="1"/>
    </xf>
    <xf numFmtId="5" fontId="6" fillId="0" borderId="35" xfId="6" applyNumberFormat="1" applyFont="1" applyBorder="1" applyAlignment="1">
      <alignment horizontal="right" wrapText="1"/>
    </xf>
    <xf numFmtId="165" fontId="6" fillId="0" borderId="35" xfId="6" applyNumberFormat="1" applyFont="1" applyBorder="1" applyAlignment="1">
      <alignment horizontal="right" wrapText="1"/>
    </xf>
    <xf numFmtId="165" fontId="3" fillId="0" borderId="35" xfId="6" applyNumberFormat="1" applyFont="1" applyBorder="1" applyAlignment="1">
      <alignment horizontal="right" wrapText="1"/>
    </xf>
    <xf numFmtId="0" fontId="1" fillId="0" borderId="35" xfId="6" applyFont="1" applyBorder="1" applyAlignment="1">
      <alignment horizontal="right" wrapText="1"/>
    </xf>
    <xf numFmtId="0" fontId="11" fillId="0" borderId="35" xfId="6" applyFont="1" applyBorder="1" applyAlignment="1">
      <alignment wrapText="1"/>
    </xf>
    <xf numFmtId="164" fontId="5" fillId="0" borderId="35" xfId="7" applyNumberFormat="1" applyFont="1" applyFill="1" applyBorder="1" applyAlignment="1">
      <alignment horizontal="center"/>
    </xf>
    <xf numFmtId="0" fontId="3" fillId="0" borderId="0" xfId="7" applyFont="1" applyBorder="1" applyAlignment="1">
      <alignment horizontal="center"/>
    </xf>
    <xf numFmtId="0" fontId="6" fillId="0" borderId="35" xfId="7" applyFont="1" applyFill="1" applyBorder="1" applyAlignment="1">
      <alignment horizontal="left"/>
    </xf>
    <xf numFmtId="0" fontId="8" fillId="0" borderId="0" xfId="7" applyNumberFormat="1" applyFont="1" applyFill="1" applyBorder="1" applyAlignment="1" applyProtection="1"/>
    <xf numFmtId="0" fontId="6" fillId="0" borderId="37" xfId="7" applyFont="1" applyFill="1" applyBorder="1" applyAlignment="1">
      <alignment horizontal="center"/>
    </xf>
    <xf numFmtId="0" fontId="3" fillId="2" borderId="35" xfId="7" applyFont="1" applyFill="1" applyBorder="1" applyAlignment="1">
      <alignment horizontal="center"/>
    </xf>
    <xf numFmtId="0" fontId="4" fillId="2" borderId="35" xfId="7" applyFont="1" applyFill="1" applyBorder="1" applyAlignment="1">
      <alignment horizontal="left"/>
    </xf>
    <xf numFmtId="5" fontId="3" fillId="2" borderId="35" xfId="7" applyNumberFormat="1" applyFont="1" applyFill="1" applyBorder="1" applyAlignment="1">
      <alignment horizontal="right"/>
    </xf>
    <xf numFmtId="165" fontId="3" fillId="2" borderId="35" xfId="7" applyNumberFormat="1" applyFont="1" applyFill="1" applyBorder="1" applyAlignment="1">
      <alignment horizontal="right"/>
    </xf>
    <xf numFmtId="0" fontId="5" fillId="2" borderId="35" xfId="7" applyFont="1" applyFill="1" applyBorder="1" applyAlignment="1">
      <alignment horizontal="left"/>
    </xf>
    <xf numFmtId="43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center"/>
    </xf>
    <xf numFmtId="0" fontId="6" fillId="2" borderId="35" xfId="7" applyFont="1" applyFill="1" applyBorder="1" applyAlignment="1">
      <alignment horizontal="left" wrapText="1"/>
    </xf>
    <xf numFmtId="5" fontId="6" fillId="2" borderId="35" xfId="7" applyNumberFormat="1" applyFont="1" applyFill="1" applyBorder="1" applyAlignment="1"/>
    <xf numFmtId="0" fontId="2" fillId="2" borderId="35" xfId="7" applyFont="1" applyFill="1" applyBorder="1" applyAlignment="1">
      <alignment horizontal="left"/>
    </xf>
    <xf numFmtId="164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left"/>
    </xf>
    <xf numFmtId="5" fontId="1" fillId="2" borderId="35" xfId="7" applyNumberFormat="1" applyFont="1" applyFill="1" applyBorder="1" applyAlignment="1"/>
    <xf numFmtId="0" fontId="1" fillId="2" borderId="32" xfId="7" applyFont="1" applyFill="1" applyBorder="1" applyAlignment="1">
      <alignment horizontal="left"/>
    </xf>
    <xf numFmtId="0" fontId="8" fillId="2" borderId="35" xfId="7" applyFill="1" applyBorder="1"/>
    <xf numFmtId="5" fontId="3" fillId="2" borderId="35" xfId="7" applyNumberFormat="1" applyFont="1" applyFill="1" applyBorder="1" applyAlignment="1"/>
    <xf numFmtId="165" fontId="3" fillId="2" borderId="35" xfId="7" applyNumberFormat="1" applyFont="1" applyFill="1" applyBorder="1" applyAlignment="1"/>
    <xf numFmtId="1" fontId="3" fillId="2" borderId="35" xfId="7" applyNumberFormat="1" applyFont="1" applyFill="1" applyBorder="1" applyAlignment="1"/>
    <xf numFmtId="42" fontId="1" fillId="2" borderId="35" xfId="7" applyNumberFormat="1" applyFont="1" applyFill="1" applyBorder="1" applyAlignment="1"/>
    <xf numFmtId="42" fontId="6" fillId="2" borderId="35" xfId="7" applyNumberFormat="1" applyFont="1" applyFill="1" applyBorder="1" applyAlignment="1"/>
    <xf numFmtId="5" fontId="6" fillId="2" borderId="35" xfId="7" applyNumberFormat="1" applyFont="1" applyFill="1" applyBorder="1" applyAlignment="1">
      <alignment horizontal="right"/>
    </xf>
    <xf numFmtId="42" fontId="6" fillId="2" borderId="35" xfId="7" applyNumberFormat="1" applyFont="1" applyFill="1" applyBorder="1" applyAlignment="1">
      <alignment horizontal="right"/>
    </xf>
    <xf numFmtId="1" fontId="3" fillId="2" borderId="35" xfId="7" applyNumberFormat="1" applyFont="1" applyFill="1" applyBorder="1" applyAlignment="1">
      <alignment horizontal="right"/>
    </xf>
    <xf numFmtId="165" fontId="6" fillId="2" borderId="35" xfId="7" applyNumberFormat="1" applyFont="1" applyFill="1" applyBorder="1" applyAlignment="1">
      <alignment horizontal="right"/>
    </xf>
    <xf numFmtId="168" fontId="3" fillId="2" borderId="35" xfId="7" applyNumberFormat="1" applyFont="1" applyFill="1" applyBorder="1" applyAlignment="1">
      <alignment horizontal="right"/>
    </xf>
    <xf numFmtId="0" fontId="6" fillId="2" borderId="0" xfId="7" applyFont="1" applyFill="1" applyBorder="1" applyAlignment="1"/>
    <xf numFmtId="168" fontId="3" fillId="2" borderId="35" xfId="7" applyNumberFormat="1" applyFont="1" applyFill="1" applyBorder="1" applyAlignment="1"/>
    <xf numFmtId="0" fontId="1" fillId="0" borderId="20" xfId="7" applyFont="1" applyBorder="1" applyAlignment="1">
      <alignment horizontal="center"/>
    </xf>
    <xf numFmtId="164" fontId="2" fillId="0" borderId="16" xfId="7" applyNumberFormat="1" applyFont="1" applyBorder="1" applyAlignment="1"/>
    <xf numFmtId="164" fontId="2" fillId="0" borderId="16" xfId="7" applyNumberFormat="1" applyFont="1" applyBorder="1" applyAlignment="1">
      <alignment horizontal="center"/>
    </xf>
    <xf numFmtId="0" fontId="2" fillId="0" borderId="0" xfId="7" applyFont="1" applyBorder="1" applyAlignment="1">
      <alignment horizontal="center"/>
    </xf>
    <xf numFmtId="164" fontId="11" fillId="0" borderId="0" xfId="7" applyNumberFormat="1" applyFont="1" applyBorder="1" applyAlignment="1">
      <alignment horizontal="center"/>
    </xf>
    <xf numFmtId="0" fontId="8" fillId="0" borderId="0" xfId="7" applyBorder="1"/>
    <xf numFmtId="0" fontId="2" fillId="0" borderId="0" xfId="7" applyFont="1" applyFill="1" applyBorder="1" applyAlignment="1">
      <alignment horizontal="center"/>
    </xf>
    <xf numFmtId="164" fontId="6" fillId="0" borderId="0" xfId="7" applyNumberFormat="1" applyFont="1" applyBorder="1" applyAlignment="1">
      <alignment horizontal="center"/>
    </xf>
    <xf numFmtId="0" fontId="11" fillId="0" borderId="0" xfId="7" applyFont="1" applyBorder="1" applyAlignment="1">
      <alignment horizontal="center"/>
    </xf>
    <xf numFmtId="0" fontId="5" fillId="0" borderId="20" xfId="7" applyFont="1" applyBorder="1" applyAlignment="1">
      <alignment horizontal="center"/>
    </xf>
    <xf numFmtId="164" fontId="5" fillId="0" borderId="16" xfId="7" applyNumberFormat="1" applyFont="1" applyFill="1" applyBorder="1" applyAlignment="1"/>
    <xf numFmtId="164" fontId="5" fillId="0" borderId="16" xfId="7" applyNumberFormat="1" applyFont="1" applyBorder="1" applyAlignment="1">
      <alignment horizontal="center"/>
    </xf>
    <xf numFmtId="0" fontId="11" fillId="0" borderId="0" xfId="7" applyFont="1" applyBorder="1"/>
    <xf numFmtId="164" fontId="1" fillId="0" borderId="16" xfId="7" applyNumberFormat="1" applyFont="1" applyBorder="1" applyAlignment="1">
      <alignment horizontal="center"/>
    </xf>
    <xf numFmtId="0" fontId="6" fillId="0" borderId="20" xfId="7" applyFont="1" applyBorder="1" applyAlignment="1">
      <alignment horizontal="center"/>
    </xf>
    <xf numFmtId="164" fontId="6" fillId="0" borderId="16" xfId="7" applyNumberFormat="1" applyFont="1" applyBorder="1" applyAlignment="1"/>
    <xf numFmtId="3" fontId="1" fillId="0" borderId="16" xfId="7" applyNumberFormat="1" applyFont="1" applyBorder="1" applyAlignment="1">
      <alignment horizontal="right"/>
    </xf>
    <xf numFmtId="1" fontId="1" fillId="0" borderId="16" xfId="7" applyNumberFormat="1" applyFont="1" applyBorder="1" applyAlignment="1">
      <alignment horizontal="right"/>
    </xf>
    <xf numFmtId="167" fontId="1" fillId="0" borderId="16" xfId="9" applyNumberFormat="1" applyFont="1" applyBorder="1" applyAlignment="1">
      <alignment horizontal="right"/>
    </xf>
    <xf numFmtId="5" fontId="11" fillId="0" borderId="0" xfId="7" applyNumberFormat="1" applyFont="1" applyBorder="1"/>
    <xf numFmtId="164" fontId="3" fillId="0" borderId="16" xfId="7" applyNumberFormat="1" applyFont="1" applyBorder="1" applyAlignment="1"/>
    <xf numFmtId="3" fontId="3" fillId="0" borderId="16" xfId="7" applyNumberFormat="1" applyFont="1" applyBorder="1" applyAlignment="1">
      <alignment horizontal="right"/>
    </xf>
    <xf numFmtId="167" fontId="3" fillId="0" borderId="16" xfId="9" applyNumberFormat="1" applyFont="1" applyBorder="1" applyAlignment="1">
      <alignment horizontal="right"/>
    </xf>
    <xf numFmtId="164" fontId="1" fillId="0" borderId="16" xfId="7" applyNumberFormat="1" applyFont="1" applyBorder="1" applyAlignment="1"/>
    <xf numFmtId="3" fontId="2" fillId="0" borderId="16" xfId="7" applyNumberFormat="1" applyFont="1" applyBorder="1" applyAlignment="1">
      <alignment horizontal="right"/>
    </xf>
    <xf numFmtId="167" fontId="2" fillId="0" borderId="16" xfId="9" applyNumberFormat="1" applyFont="1" applyBorder="1" applyAlignment="1">
      <alignment horizontal="right"/>
    </xf>
    <xf numFmtId="1" fontId="2" fillId="0" borderId="16" xfId="7" applyNumberFormat="1" applyFont="1" applyBorder="1" applyAlignment="1">
      <alignment horizontal="right"/>
    </xf>
    <xf numFmtId="167" fontId="2" fillId="0" borderId="16" xfId="7" applyNumberFormat="1" applyFont="1" applyBorder="1" applyAlignment="1">
      <alignment horizontal="right"/>
    </xf>
    <xf numFmtId="37" fontId="2" fillId="0" borderId="16" xfId="7" applyNumberFormat="1" applyFont="1" applyBorder="1" applyAlignment="1">
      <alignment horizontal="right"/>
    </xf>
    <xf numFmtId="9" fontId="2" fillId="0" borderId="16" xfId="7" applyNumberFormat="1" applyFont="1" applyBorder="1" applyAlignment="1">
      <alignment horizontal="right"/>
    </xf>
    <xf numFmtId="9" fontId="6" fillId="0" borderId="0" xfId="9" applyFont="1" applyBorder="1" applyAlignment="1">
      <alignment horizontal="center"/>
    </xf>
    <xf numFmtId="0" fontId="3" fillId="0" borderId="0" xfId="7" applyFont="1" applyBorder="1" applyAlignment="1"/>
    <xf numFmtId="164" fontId="3" fillId="0" borderId="0" xfId="7" applyNumberFormat="1" applyFont="1" applyBorder="1" applyAlignment="1"/>
    <xf numFmtId="0" fontId="1" fillId="0" borderId="0" xfId="7" applyFont="1" applyBorder="1"/>
    <xf numFmtId="164" fontId="1" fillId="0" borderId="0" xfId="7" applyNumberFormat="1" applyFont="1" applyBorder="1" applyAlignment="1">
      <alignment horizontal="center"/>
    </xf>
    <xf numFmtId="164" fontId="2" fillId="0" borderId="0" xfId="7" applyNumberFormat="1" applyFont="1" applyBorder="1" applyAlignment="1"/>
    <xf numFmtId="0" fontId="8" fillId="0" borderId="0" xfId="7" applyBorder="1" applyAlignment="1">
      <alignment horizontal="center"/>
    </xf>
    <xf numFmtId="164" fontId="6" fillId="0" borderId="0" xfId="7" applyNumberFormat="1" applyFont="1" applyBorder="1" applyAlignment="1"/>
    <xf numFmtId="164" fontId="6" fillId="0" borderId="0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wrapText="1"/>
    </xf>
    <xf numFmtId="37" fontId="3" fillId="0" borderId="16" xfId="2" applyNumberFormat="1" applyFont="1" applyBorder="1" applyAlignment="1">
      <alignment horizontal="right"/>
    </xf>
    <xf numFmtId="3" fontId="3" fillId="0" borderId="16" xfId="2" applyNumberFormat="1" applyFont="1" applyBorder="1" applyAlignment="1">
      <alignment horizontal="right"/>
    </xf>
    <xf numFmtId="9" fontId="3" fillId="0" borderId="16" xfId="2" applyNumberFormat="1" applyFont="1" applyBorder="1" applyAlignment="1">
      <alignment horizontal="right"/>
    </xf>
    <xf numFmtId="0" fontId="1" fillId="0" borderId="0" xfId="7" applyFont="1"/>
    <xf numFmtId="164" fontId="2" fillId="0" borderId="0" xfId="7" applyNumberFormat="1" applyFont="1" applyBorder="1" applyAlignment="1">
      <alignment horizontal="center"/>
    </xf>
    <xf numFmtId="0" fontId="1" fillId="0" borderId="9" xfId="7" applyFont="1" applyBorder="1" applyAlignment="1">
      <alignment horizontal="center"/>
    </xf>
    <xf numFmtId="164" fontId="5" fillId="0" borderId="16" xfId="7" applyNumberFormat="1" applyFont="1" applyBorder="1" applyAlignment="1">
      <alignment wrapText="1"/>
    </xf>
    <xf numFmtId="164" fontId="4" fillId="0" borderId="16" xfId="7" applyNumberFormat="1" applyFont="1" applyBorder="1" applyAlignment="1">
      <alignment horizontal="center"/>
    </xf>
    <xf numFmtId="164" fontId="6" fillId="0" borderId="16" xfId="7" applyNumberFormat="1" applyFont="1" applyBorder="1" applyAlignment="1">
      <alignment wrapText="1"/>
    </xf>
    <xf numFmtId="3" fontId="1" fillId="0" borderId="16" xfId="2" applyNumberFormat="1" applyFont="1" applyBorder="1" applyAlignment="1">
      <alignment horizontal="right"/>
    </xf>
    <xf numFmtId="9" fontId="1" fillId="0" borderId="16" xfId="2" applyNumberFormat="1" applyFont="1" applyBorder="1" applyAlignment="1">
      <alignment horizontal="right"/>
    </xf>
    <xf numFmtId="3" fontId="1" fillId="0" borderId="0" xfId="2" applyNumberFormat="1" applyFont="1" applyBorder="1" applyAlignment="1">
      <alignment horizontal="right"/>
    </xf>
    <xf numFmtId="9" fontId="6" fillId="0" borderId="16" xfId="2" applyNumberFormat="1" applyFont="1" applyBorder="1" applyAlignment="1">
      <alignment horizontal="right"/>
    </xf>
    <xf numFmtId="37" fontId="6" fillId="0" borderId="0" xfId="7" applyNumberFormat="1" applyFont="1" applyBorder="1" applyAlignment="1">
      <alignment horizontal="right"/>
    </xf>
    <xf numFmtId="3" fontId="6" fillId="0" borderId="16" xfId="7" applyNumberFormat="1" applyFont="1" applyBorder="1" applyAlignment="1">
      <alignment horizontal="right"/>
    </xf>
    <xf numFmtId="3" fontId="6" fillId="0" borderId="16" xfId="2" applyNumberFormat="1" applyFont="1" applyBorder="1" applyAlignment="1">
      <alignment horizontal="right"/>
    </xf>
    <xf numFmtId="170" fontId="1" fillId="0" borderId="16" xfId="7" applyNumberFormat="1" applyFont="1" applyBorder="1" applyAlignment="1">
      <alignment horizontal="right"/>
    </xf>
    <xf numFmtId="170" fontId="1" fillId="0" borderId="16" xfId="2" applyNumberFormat="1" applyFont="1" applyBorder="1" applyAlignment="1">
      <alignment horizontal="right"/>
    </xf>
    <xf numFmtId="170" fontId="3" fillId="0" borderId="16" xfId="2" applyNumberFormat="1" applyFont="1" applyBorder="1" applyAlignment="1">
      <alignment horizontal="right"/>
    </xf>
    <xf numFmtId="0" fontId="3" fillId="0" borderId="0" xfId="8" applyFont="1" applyAlignment="1" applyProtection="1">
      <alignment horizontal="center"/>
      <protection locked="0"/>
    </xf>
    <xf numFmtId="0" fontId="11" fillId="0" borderId="0" xfId="8" applyFont="1" applyBorder="1" applyProtection="1">
      <protection locked="0"/>
    </xf>
    <xf numFmtId="0" fontId="11" fillId="0" borderId="0" xfId="8" applyFont="1" applyProtection="1">
      <protection locked="0"/>
    </xf>
    <xf numFmtId="0" fontId="3" fillId="0" borderId="16" xfId="8" applyFont="1" applyBorder="1" applyAlignment="1" applyProtection="1">
      <alignment horizontal="left"/>
      <protection locked="0"/>
    </xf>
    <xf numFmtId="0" fontId="3" fillId="0" borderId="16" xfId="8" applyFont="1" applyBorder="1" applyAlignment="1" applyProtection="1">
      <alignment horizontal="center"/>
      <protection locked="0"/>
    </xf>
    <xf numFmtId="0" fontId="11" fillId="0" borderId="12" xfId="8" applyFont="1" applyBorder="1" applyProtection="1">
      <protection locked="0"/>
    </xf>
    <xf numFmtId="0" fontId="18" fillId="0" borderId="16" xfId="8" applyFont="1" applyBorder="1" applyAlignment="1" applyProtection="1">
      <alignment horizontal="center"/>
      <protection locked="0"/>
    </xf>
    <xf numFmtId="0" fontId="18" fillId="0" borderId="12" xfId="8" applyFont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alignment horizontal="center"/>
      <protection locked="0"/>
    </xf>
    <xf numFmtId="0" fontId="19" fillId="0" borderId="0" xfId="8" applyFont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left"/>
      <protection locked="0"/>
    </xf>
    <xf numFmtId="0" fontId="20" fillId="0" borderId="8" xfId="8" applyFont="1" applyBorder="1" applyAlignment="1" applyProtection="1">
      <alignment horizontal="center" wrapText="1"/>
      <protection locked="0"/>
    </xf>
    <xf numFmtId="0" fontId="19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left"/>
      <protection locked="0"/>
    </xf>
    <xf numFmtId="0" fontId="18" fillId="0" borderId="0" xfId="8" applyFont="1" applyBorder="1" applyAlignment="1" applyProtection="1">
      <alignment horizontal="center" wrapText="1"/>
      <protection locked="0"/>
    </xf>
    <xf numFmtId="0" fontId="3" fillId="0" borderId="0" xfId="8" applyFont="1" applyBorder="1" applyAlignment="1" applyProtection="1">
      <alignment horizontal="center"/>
      <protection locked="0"/>
    </xf>
    <xf numFmtId="0" fontId="5" fillId="0" borderId="0" xfId="8" applyFont="1" applyBorder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right"/>
      <protection locked="0"/>
    </xf>
    <xf numFmtId="165" fontId="11" fillId="0" borderId="0" xfId="8" applyNumberFormat="1" applyFont="1" applyFill="1" applyBorder="1" applyAlignment="1" applyProtection="1">
      <alignment horizontal="center"/>
      <protection locked="0"/>
    </xf>
    <xf numFmtId="9" fontId="11" fillId="0" borderId="0" xfId="11" applyNumberFormat="1" applyFont="1" applyFill="1" applyBorder="1" applyAlignment="1" applyProtection="1">
      <alignment horizontal="center"/>
      <protection locked="0"/>
    </xf>
    <xf numFmtId="5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center"/>
      <protection locked="0"/>
    </xf>
    <xf numFmtId="0" fontId="5" fillId="0" borderId="0" xfId="8" applyFont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left"/>
      <protection locked="0"/>
    </xf>
    <xf numFmtId="0" fontId="21" fillId="0" borderId="0" xfId="8" quotePrefix="1" applyFont="1" applyFill="1" applyBorder="1" applyAlignment="1" applyProtection="1">
      <alignment horizontal="left"/>
      <protection locked="0"/>
    </xf>
    <xf numFmtId="0" fontId="19" fillId="0" borderId="0" xfId="8" applyFont="1" applyFill="1" applyBorder="1" applyAlignment="1" applyProtection="1">
      <alignment horizontal="left" wrapText="1"/>
      <protection locked="0"/>
    </xf>
    <xf numFmtId="5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Protection="1">
      <protection locked="0"/>
    </xf>
    <xf numFmtId="5" fontId="22" fillId="0" borderId="0" xfId="8" applyNumberFormat="1" applyFont="1" applyFill="1" applyBorder="1" applyProtection="1">
      <protection locked="0"/>
    </xf>
    <xf numFmtId="0" fontId="11" fillId="0" borderId="0" xfId="8" applyFont="1" applyFill="1" applyBorder="1" applyAlignment="1" applyProtection="1">
      <alignment horizontal="center"/>
      <protection locked="0"/>
    </xf>
    <xf numFmtId="0" fontId="19" fillId="0" borderId="0" xfId="8" quotePrefix="1" applyFont="1" applyFill="1" applyBorder="1" applyAlignment="1" applyProtection="1">
      <alignment horizontal="left" wrapText="1"/>
      <protection locked="0"/>
    </xf>
    <xf numFmtId="10" fontId="11" fillId="0" borderId="0" xfId="11" applyNumberFormat="1" applyFont="1" applyFill="1" applyBorder="1" applyAlignment="1" applyProtection="1">
      <alignment horizontal="right"/>
      <protection locked="0"/>
    </xf>
    <xf numFmtId="10" fontId="11" fillId="0" borderId="0" xfId="11" applyNumberFormat="1" applyFont="1" applyFill="1" applyBorder="1" applyProtection="1">
      <protection locked="0"/>
    </xf>
    <xf numFmtId="9" fontId="22" fillId="0" borderId="0" xfId="11" applyFont="1" applyFill="1" applyBorder="1" applyAlignment="1" applyProtection="1">
      <alignment horizontal="right"/>
      <protection locked="0"/>
    </xf>
    <xf numFmtId="37" fontId="19" fillId="0" borderId="0" xfId="8" applyNumberFormat="1" applyFont="1" applyFill="1" applyBorder="1" applyProtection="1">
      <protection locked="0"/>
    </xf>
    <xf numFmtId="37" fontId="22" fillId="0" borderId="0" xfId="8" applyNumberFormat="1" applyFont="1" applyFill="1" applyBorder="1" applyProtection="1">
      <protection locked="0"/>
    </xf>
    <xf numFmtId="9" fontId="11" fillId="0" borderId="0" xfId="11" applyFont="1" applyFill="1" applyBorder="1" applyAlignment="1" applyProtection="1">
      <alignment horizontal="right"/>
      <protection locked="0"/>
    </xf>
    <xf numFmtId="171" fontId="11" fillId="0" borderId="0" xfId="8" applyNumberFormat="1" applyFont="1" applyFill="1" applyBorder="1" applyProtection="1">
      <protection locked="0"/>
    </xf>
    <xf numFmtId="172" fontId="11" fillId="0" borderId="0" xfId="8" applyNumberFormat="1" applyFont="1" applyFill="1" applyBorder="1" applyProtection="1">
      <protection locked="0"/>
    </xf>
    <xf numFmtId="173" fontId="22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right"/>
      <protection locked="0"/>
    </xf>
    <xf numFmtId="169" fontId="11" fillId="0" borderId="0" xfId="8" applyNumberFormat="1" applyFont="1" applyFill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right"/>
      <protection locked="0"/>
    </xf>
    <xf numFmtId="7" fontId="11" fillId="0" borderId="0" xfId="8" applyNumberFormat="1" applyFont="1" applyFill="1" applyBorder="1" applyProtection="1">
      <protection locked="0"/>
    </xf>
    <xf numFmtId="174" fontId="11" fillId="0" borderId="0" xfId="3" applyNumberFormat="1" applyFont="1" applyFill="1" applyBorder="1" applyProtection="1">
      <protection locked="0"/>
    </xf>
    <xf numFmtId="165" fontId="11" fillId="0" borderId="0" xfId="8" applyNumberFormat="1" applyFont="1" applyFill="1" applyBorder="1" applyProtection="1">
      <protection locked="0"/>
    </xf>
    <xf numFmtId="165" fontId="22" fillId="0" borderId="0" xfId="8" applyNumberFormat="1" applyFont="1" applyFill="1" applyBorder="1" applyProtection="1">
      <protection locked="0"/>
    </xf>
    <xf numFmtId="43" fontId="11" fillId="0" borderId="0" xfId="3" applyFont="1" applyFill="1" applyBorder="1" applyAlignment="1" applyProtection="1">
      <alignment horizontal="right"/>
      <protection locked="0"/>
    </xf>
    <xf numFmtId="0" fontId="21" fillId="0" borderId="0" xfId="8" applyFont="1" applyFill="1" applyBorder="1" applyAlignment="1" applyProtection="1">
      <alignment horizontal="left"/>
      <protection locked="0"/>
    </xf>
    <xf numFmtId="165" fontId="11" fillId="0" borderId="0" xfId="8" applyNumberFormat="1" applyFont="1" applyFill="1" applyBorder="1" applyAlignment="1" applyProtection="1">
      <alignment horizontal="right"/>
      <protection locked="0"/>
    </xf>
    <xf numFmtId="9" fontId="22" fillId="0" borderId="0" xfId="11" applyFont="1" applyFill="1" applyBorder="1" applyProtection="1">
      <protection locked="0"/>
    </xf>
    <xf numFmtId="0" fontId="11" fillId="0" borderId="30" xfId="8" applyFont="1" applyFill="1" applyBorder="1" applyAlignment="1" applyProtection="1">
      <alignment horizontal="center"/>
      <protection locked="0"/>
    </xf>
    <xf numFmtId="167" fontId="11" fillId="0" borderId="0" xfId="11" applyNumberFormat="1" applyFont="1" applyFill="1" applyBorder="1" applyProtection="1">
      <protection locked="0"/>
    </xf>
    <xf numFmtId="167" fontId="22" fillId="0" borderId="0" xfId="11" applyNumberFormat="1" applyFont="1" applyFill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right"/>
      <protection locked="0"/>
    </xf>
    <xf numFmtId="5" fontId="22" fillId="0" borderId="0" xfId="8" applyNumberFormat="1" applyFont="1" applyFill="1" applyBorder="1" applyAlignment="1" applyProtection="1">
      <alignment horizontal="right"/>
      <protection locked="0"/>
    </xf>
    <xf numFmtId="37" fontId="22" fillId="0" borderId="0" xfId="8" applyNumberFormat="1" applyFont="1" applyFill="1" applyBorder="1" applyAlignment="1" applyProtection="1">
      <alignment horizontal="right"/>
      <protection locked="0"/>
    </xf>
    <xf numFmtId="5" fontId="11" fillId="0" borderId="0" xfId="11" applyNumberFormat="1" applyFont="1" applyFill="1" applyBorder="1" applyProtection="1">
      <protection locked="0"/>
    </xf>
    <xf numFmtId="5" fontId="22" fillId="0" borderId="0" xfId="11" applyNumberFormat="1" applyFont="1" applyFill="1" applyBorder="1" applyProtection="1">
      <protection locked="0"/>
    </xf>
    <xf numFmtId="5" fontId="11" fillId="0" borderId="0" xfId="11" applyNumberFormat="1" applyFont="1" applyFill="1" applyBorder="1" applyAlignment="1" applyProtection="1">
      <alignment horizontal="right"/>
      <protection locked="0"/>
    </xf>
    <xf numFmtId="39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Protection="1">
      <protection locked="0"/>
    </xf>
    <xf numFmtId="0" fontId="11" fillId="0" borderId="0" xfId="8" applyFont="1" applyAlignment="1" applyProtection="1">
      <alignment horizontal="left"/>
      <protection locked="0"/>
    </xf>
    <xf numFmtId="6" fontId="11" fillId="0" borderId="0" xfId="4" applyNumberFormat="1" applyFont="1" applyBorder="1" applyProtection="1">
      <protection locked="0"/>
    </xf>
    <xf numFmtId="0" fontId="11" fillId="0" borderId="0" xfId="8" applyFont="1" applyAlignment="1" applyProtection="1">
      <alignment horizontal="right"/>
      <protection locked="0"/>
    </xf>
    <xf numFmtId="5" fontId="11" fillId="0" borderId="0" xfId="4" applyNumberFormat="1" applyFont="1" applyBorder="1" applyProtection="1">
      <protection locked="0"/>
    </xf>
    <xf numFmtId="9" fontId="11" fillId="0" borderId="0" xfId="11" applyNumberFormat="1" applyFont="1" applyBorder="1" applyProtection="1">
      <protection locked="0"/>
    </xf>
    <xf numFmtId="5" fontId="23" fillId="0" borderId="0" xfId="4" applyNumberFormat="1" applyFont="1" applyBorder="1" applyProtection="1">
      <protection locked="0"/>
    </xf>
    <xf numFmtId="6" fontId="11" fillId="0" borderId="0" xfId="4" applyNumberFormat="1" applyFont="1" applyBorder="1" applyAlignment="1" applyProtection="1">
      <alignment horizontal="right"/>
      <protection locked="0"/>
    </xf>
    <xf numFmtId="5" fontId="11" fillId="0" borderId="0" xfId="4" applyNumberFormat="1" applyFont="1" applyBorder="1" applyAlignment="1" applyProtection="1">
      <alignment horizontal="right"/>
      <protection locked="0"/>
    </xf>
    <xf numFmtId="10" fontId="11" fillId="0" borderId="0" xfId="11" applyNumberFormat="1" applyFont="1" applyBorder="1" applyProtection="1">
      <protection locked="0"/>
    </xf>
    <xf numFmtId="0" fontId="11" fillId="0" borderId="0" xfId="8" applyFont="1" applyFill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left"/>
      <protection locked="0"/>
    </xf>
    <xf numFmtId="0" fontId="11" fillId="0" borderId="0" xfId="8" applyFont="1" applyFill="1" applyBorder="1" applyProtection="1">
      <protection locked="0"/>
    </xf>
    <xf numFmtId="9" fontId="11" fillId="0" borderId="0" xfId="8" applyNumberFormat="1" applyFont="1" applyFill="1" applyBorder="1" applyProtection="1">
      <protection locked="0"/>
    </xf>
    <xf numFmtId="0" fontId="22" fillId="0" borderId="0" xfId="8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right"/>
      <protection locked="0"/>
    </xf>
    <xf numFmtId="165" fontId="22" fillId="0" borderId="0" xfId="8" applyNumberFormat="1" applyFont="1" applyFill="1" applyBorder="1" applyAlignment="1" applyProtection="1">
      <alignment horizontal="right"/>
      <protection locked="0"/>
    </xf>
    <xf numFmtId="7" fontId="22" fillId="0" borderId="0" xfId="8" applyNumberFormat="1" applyFont="1" applyFill="1" applyBorder="1" applyProtection="1">
      <protection locked="0"/>
    </xf>
    <xf numFmtId="0" fontId="11" fillId="0" borderId="0" xfId="8" applyFont="1" applyFill="1" applyAlignment="1" applyProtection="1">
      <alignment horizontal="center"/>
      <protection locked="0"/>
    </xf>
    <xf numFmtId="9" fontId="11" fillId="0" borderId="0" xfId="11" applyFont="1" applyFill="1" applyBorder="1" applyProtection="1">
      <protection locked="0"/>
    </xf>
    <xf numFmtId="175" fontId="22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Alignment="1" applyProtection="1">
      <alignment horizontal="right"/>
      <protection locked="0"/>
    </xf>
    <xf numFmtId="176" fontId="11" fillId="0" borderId="0" xfId="3" applyNumberFormat="1" applyFont="1" applyFill="1" applyBorder="1" applyProtection="1">
      <protection locked="0"/>
    </xf>
    <xf numFmtId="176" fontId="22" fillId="0" borderId="0" xfId="3" applyNumberFormat="1" applyFont="1" applyFill="1" applyBorder="1" applyProtection="1">
      <protection locked="0"/>
    </xf>
    <xf numFmtId="176" fontId="11" fillId="0" borderId="0" xfId="3" applyNumberFormat="1" applyFont="1" applyFill="1" applyBorder="1" applyAlignment="1" applyProtection="1">
      <alignment horizontal="right"/>
      <protection locked="0"/>
    </xf>
    <xf numFmtId="37" fontId="24" fillId="0" borderId="0" xfId="8" applyNumberFormat="1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left"/>
      <protection locked="0"/>
    </xf>
    <xf numFmtId="5" fontId="11" fillId="0" borderId="0" xfId="4" applyNumberFormat="1" applyFont="1" applyFill="1" applyBorder="1" applyProtection="1">
      <protection locked="0"/>
    </xf>
    <xf numFmtId="5" fontId="22" fillId="0" borderId="0" xfId="4" applyNumberFormat="1" applyFont="1" applyFill="1" applyBorder="1" applyProtection="1">
      <protection locked="0"/>
    </xf>
    <xf numFmtId="5" fontId="11" fillId="0" borderId="0" xfId="4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Alignment="1" applyProtection="1">
      <alignment horizontal="right"/>
      <protection locked="0"/>
    </xf>
    <xf numFmtId="0" fontId="3" fillId="0" borderId="0" xfId="8" applyFont="1" applyAlignment="1" applyProtection="1">
      <alignment horizontal="left"/>
      <protection locked="0"/>
    </xf>
    <xf numFmtId="5" fontId="11" fillId="0" borderId="0" xfId="8" applyNumberFormat="1" applyFont="1" applyBorder="1" applyProtection="1">
      <protection locked="0"/>
    </xf>
    <xf numFmtId="5" fontId="22" fillId="0" borderId="0" xfId="8" applyNumberFormat="1" applyFont="1" applyBorder="1" applyProtection="1">
      <protection locked="0"/>
    </xf>
    <xf numFmtId="5" fontId="11" fillId="0" borderId="0" xfId="8" applyNumberFormat="1" applyFont="1" applyBorder="1" applyAlignment="1" applyProtection="1">
      <alignment horizontal="right"/>
      <protection locked="0"/>
    </xf>
    <xf numFmtId="7" fontId="11" fillId="0" borderId="0" xfId="11" applyNumberFormat="1" applyFont="1" applyFill="1" applyBorder="1" applyProtection="1">
      <protection locked="0"/>
    </xf>
    <xf numFmtId="43" fontId="22" fillId="0" borderId="0" xfId="3" applyFont="1" applyFill="1" applyBorder="1" applyAlignment="1" applyProtection="1">
      <alignment horizontal="right"/>
      <protection locked="0"/>
    </xf>
    <xf numFmtId="2" fontId="11" fillId="0" borderId="0" xfId="8" applyNumberFormat="1" applyFont="1" applyAlignment="1" applyProtection="1">
      <alignment horizontal="right"/>
      <protection locked="0"/>
    </xf>
    <xf numFmtId="5" fontId="25" fillId="0" borderId="0" xfId="4" applyNumberFormat="1" applyFont="1" applyBorder="1" applyProtection="1">
      <protection locked="0"/>
    </xf>
    <xf numFmtId="0" fontId="11" fillId="0" borderId="0" xfId="8" quotePrefix="1" applyFont="1" applyBorder="1" applyAlignment="1" applyProtection="1">
      <alignment horizontal="left"/>
      <protection locked="0"/>
    </xf>
    <xf numFmtId="37" fontId="23" fillId="0" borderId="0" xfId="8" applyNumberFormat="1" applyFont="1" applyFill="1" applyBorder="1" applyProtection="1">
      <protection locked="0"/>
    </xf>
    <xf numFmtId="172" fontId="11" fillId="0" borderId="0" xfId="3" applyNumberFormat="1" applyFont="1" applyFill="1" applyBorder="1" applyProtection="1">
      <protection locked="0"/>
    </xf>
    <xf numFmtId="177" fontId="22" fillId="0" borderId="0" xfId="3" applyNumberFormat="1" applyFont="1" applyFill="1" applyBorder="1" applyProtection="1">
      <protection locked="0"/>
    </xf>
    <xf numFmtId="177" fontId="11" fillId="0" borderId="0" xfId="3" applyNumberFormat="1" applyFont="1" applyFill="1" applyBorder="1" applyAlignment="1" applyProtection="1">
      <alignment horizontal="right"/>
      <protection locked="0"/>
    </xf>
    <xf numFmtId="176" fontId="11" fillId="0" borderId="0" xfId="11" applyNumberFormat="1" applyFont="1" applyFill="1" applyBorder="1" applyAlignment="1" applyProtection="1">
      <alignment horizontal="right"/>
      <protection locked="0"/>
    </xf>
    <xf numFmtId="176" fontId="23" fillId="0" borderId="0" xfId="3" applyNumberFormat="1" applyFont="1" applyBorder="1" applyProtection="1">
      <protection locked="0"/>
    </xf>
    <xf numFmtId="0" fontId="5" fillId="0" borderId="0" xfId="8" quotePrefix="1" applyFont="1" applyFill="1" applyBorder="1" applyAlignment="1" applyProtection="1">
      <alignment horizontal="left"/>
      <protection locked="0"/>
    </xf>
    <xf numFmtId="5" fontId="23" fillId="0" borderId="0" xfId="8" applyNumberFormat="1" applyFont="1" applyFill="1" applyBorder="1" applyAlignment="1" applyProtection="1">
      <alignment horizontal="right"/>
      <protection locked="0"/>
    </xf>
    <xf numFmtId="178" fontId="11" fillId="0" borderId="0" xfId="3" applyNumberFormat="1" applyFont="1" applyFill="1" applyBorder="1" applyAlignment="1" applyProtection="1">
      <alignment horizontal="right"/>
      <protection locked="0"/>
    </xf>
    <xf numFmtId="179" fontId="22" fillId="0" borderId="0" xfId="3" applyNumberFormat="1" applyFont="1" applyFill="1" applyBorder="1" applyAlignment="1" applyProtection="1">
      <alignment horizontal="right"/>
      <protection locked="0"/>
    </xf>
    <xf numFmtId="179" fontId="11" fillId="0" borderId="0" xfId="3" applyNumberFormat="1" applyFont="1" applyFill="1" applyBorder="1" applyAlignment="1" applyProtection="1">
      <alignment horizontal="right"/>
      <protection locked="0"/>
    </xf>
    <xf numFmtId="0" fontId="17" fillId="0" borderId="0" xfId="8" applyNumberFormat="1" applyFont="1" applyFill="1" applyBorder="1" applyAlignment="1" applyProtection="1"/>
    <xf numFmtId="5" fontId="3" fillId="0" borderId="0" xfId="8" applyNumberFormat="1" applyFont="1" applyFill="1" applyBorder="1" applyAlignment="1" applyProtection="1">
      <alignment horizontal="right"/>
      <protection locked="0"/>
    </xf>
    <xf numFmtId="0" fontId="5" fillId="0" borderId="0" xfId="8" applyFont="1" applyFill="1" applyBorder="1" applyAlignment="1" applyProtection="1">
      <alignment horizontal="left"/>
      <protection locked="0"/>
    </xf>
    <xf numFmtId="5" fontId="11" fillId="0" borderId="0" xfId="8" applyNumberFormat="1" applyFont="1" applyFill="1" applyBorder="1" applyAlignment="1" applyProtection="1">
      <alignment horizontal="left"/>
      <protection locked="0"/>
    </xf>
    <xf numFmtId="0" fontId="11" fillId="0" borderId="0" xfId="8" applyFont="1" applyBorder="1" applyAlignment="1">
      <alignment vertical="top"/>
    </xf>
    <xf numFmtId="0" fontId="3" fillId="0" borderId="0" xfId="8" applyFont="1" applyBorder="1" applyAlignment="1" applyProtection="1">
      <alignment horizontal="left"/>
      <protection locked="0"/>
    </xf>
    <xf numFmtId="9" fontId="11" fillId="0" borderId="0" xfId="11" applyFont="1" applyFill="1" applyBorder="1" applyAlignment="1" applyProtection="1">
      <alignment horizontal="left"/>
      <protection locked="0"/>
    </xf>
    <xf numFmtId="10" fontId="11" fillId="0" borderId="0" xfId="8" applyNumberFormat="1" applyFont="1" applyBorder="1" applyAlignment="1">
      <alignment horizontal="center"/>
    </xf>
    <xf numFmtId="10" fontId="11" fillId="0" borderId="0" xfId="8" applyNumberFormat="1" applyFont="1" applyFill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protection locked="0"/>
    </xf>
    <xf numFmtId="0" fontId="18" fillId="0" borderId="0" xfId="8" applyFont="1" applyAlignment="1" applyProtection="1">
      <alignment horizontal="center"/>
      <protection locked="0"/>
    </xf>
    <xf numFmtId="0" fontId="18" fillId="0" borderId="0" xfId="8" applyFont="1" applyAlignment="1" applyProtection="1">
      <alignment horizontal="left"/>
      <protection locked="0"/>
    </xf>
    <xf numFmtId="5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left"/>
      <protection locked="0"/>
    </xf>
    <xf numFmtId="173" fontId="11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Protection="1">
      <protection locked="0"/>
    </xf>
    <xf numFmtId="165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3" applyNumberFormat="1" applyFont="1" applyBorder="1" applyAlignment="1" applyProtection="1">
      <alignment horizontal="left"/>
      <protection locked="0"/>
    </xf>
    <xf numFmtId="37" fontId="11" fillId="0" borderId="0" xfId="3" applyNumberFormat="1" applyFont="1" applyBorder="1" applyProtection="1">
      <protection locked="0"/>
    </xf>
    <xf numFmtId="37" fontId="23" fillId="0" borderId="0" xfId="3" applyNumberFormat="1" applyFont="1" applyBorder="1" applyProtection="1">
      <protection locked="0"/>
    </xf>
    <xf numFmtId="175" fontId="11" fillId="0" borderId="0" xfId="3" applyNumberFormat="1" applyFont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Border="1" applyAlignment="1" applyProtection="1">
      <alignment horizontal="left"/>
      <protection locked="0"/>
    </xf>
    <xf numFmtId="5" fontId="11" fillId="0" borderId="0" xfId="11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Alignment="1" applyProtection="1">
      <alignment horizontal="left"/>
      <protection locked="0"/>
    </xf>
    <xf numFmtId="0" fontId="19" fillId="0" borderId="0" xfId="8" applyFont="1" applyProtection="1">
      <protection locked="0"/>
    </xf>
    <xf numFmtId="164" fontId="18" fillId="0" borderId="16" xfId="8" applyNumberFormat="1" applyFont="1" applyBorder="1" applyAlignment="1" applyProtection="1">
      <alignment horizontal="center"/>
      <protection locked="0"/>
    </xf>
    <xf numFmtId="0" fontId="5" fillId="0" borderId="8" xfId="8" applyFont="1" applyBorder="1" applyAlignment="1" applyProtection="1">
      <alignment horizontal="center"/>
      <protection locked="0"/>
    </xf>
    <xf numFmtId="0" fontId="5" fillId="0" borderId="8" xfId="8" applyFont="1" applyBorder="1" applyAlignment="1">
      <alignment horizontal="left"/>
    </xf>
    <xf numFmtId="0" fontId="3" fillId="0" borderId="8" xfId="8" applyFont="1" applyBorder="1" applyAlignment="1" applyProtection="1">
      <alignment horizontal="center" wrapText="1"/>
      <protection locked="0"/>
    </xf>
    <xf numFmtId="0" fontId="20" fillId="0" borderId="8" xfId="8" applyFont="1" applyBorder="1" applyAlignment="1" applyProtection="1">
      <alignment horizontal="center"/>
      <protection locked="0"/>
    </xf>
    <xf numFmtId="0" fontId="20" fillId="0" borderId="8" xfId="8" applyFont="1" applyBorder="1" applyAlignment="1">
      <alignment horizontal="left"/>
    </xf>
    <xf numFmtId="0" fontId="18" fillId="0" borderId="8" xfId="8" applyFont="1" applyBorder="1" applyAlignment="1" applyProtection="1">
      <alignment horizontal="center"/>
      <protection locked="0"/>
    </xf>
    <xf numFmtId="0" fontId="11" fillId="0" borderId="16" xfId="8" applyFont="1" applyBorder="1" applyAlignment="1"/>
    <xf numFmtId="0" fontId="9" fillId="0" borderId="16" xfId="8" applyFont="1" applyBorder="1" applyAlignment="1">
      <alignment horizontal="center" vertical="top"/>
    </xf>
    <xf numFmtId="0" fontId="5" fillId="0" borderId="16" xfId="8" applyFont="1" applyBorder="1" applyAlignment="1"/>
    <xf numFmtId="0" fontId="19" fillId="0" borderId="16" xfId="8" applyFont="1" applyBorder="1" applyAlignment="1" applyProtection="1">
      <alignment horizontal="center"/>
      <protection locked="0"/>
    </xf>
    <xf numFmtId="0" fontId="11" fillId="0" borderId="16" xfId="8" applyFont="1" applyBorder="1" applyAlignment="1">
      <alignment horizontal="center"/>
    </xf>
    <xf numFmtId="0" fontId="11" fillId="0" borderId="16" xfId="8" applyFont="1" applyBorder="1" applyAlignment="1" applyProtection="1">
      <alignment horizontal="center"/>
      <protection locked="0"/>
    </xf>
    <xf numFmtId="0" fontId="11" fillId="0" borderId="0" xfId="8" applyFont="1" applyAlignment="1" applyProtection="1">
      <alignment horizontal="center"/>
      <protection locked="0"/>
    </xf>
    <xf numFmtId="0" fontId="18" fillId="0" borderId="16" xfId="8" applyFont="1" applyBorder="1" applyAlignment="1">
      <alignment horizontal="center" vertical="top"/>
    </xf>
    <xf numFmtId="0" fontId="20" fillId="0" borderId="16" xfId="8" applyFont="1" applyBorder="1" applyAlignment="1">
      <alignment vertical="top"/>
    </xf>
    <xf numFmtId="0" fontId="11" fillId="0" borderId="16" xfId="8" applyFont="1" applyBorder="1" applyProtection="1">
      <protection locked="0"/>
    </xf>
    <xf numFmtId="0" fontId="11" fillId="0" borderId="16" xfId="8" applyFont="1" applyBorder="1" applyAlignment="1">
      <alignment vertical="top" wrapText="1"/>
    </xf>
    <xf numFmtId="0" fontId="11" fillId="0" borderId="16" xfId="8" applyFont="1" applyBorder="1" applyAlignment="1">
      <alignment horizontal="center" vertical="top"/>
    </xf>
    <xf numFmtId="6" fontId="11" fillId="0" borderId="16" xfId="8" applyNumberFormat="1" applyFont="1" applyBorder="1" applyAlignment="1">
      <alignment horizontal="right" vertical="top"/>
    </xf>
    <xf numFmtId="6" fontId="11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horizontal="right" vertical="top"/>
    </xf>
    <xf numFmtId="0" fontId="18" fillId="0" borderId="16" xfId="8" applyFont="1" applyBorder="1" applyAlignment="1">
      <alignment vertical="top" wrapText="1"/>
    </xf>
    <xf numFmtId="6" fontId="18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vertical="top"/>
    </xf>
    <xf numFmtId="0" fontId="19" fillId="0" borderId="16" xfId="8" applyFont="1" applyBorder="1" applyAlignment="1" applyProtection="1">
      <alignment horizontal="left"/>
      <protection locked="0"/>
    </xf>
    <xf numFmtId="0" fontId="19" fillId="0" borderId="16" xfId="8" applyFont="1" applyBorder="1" applyProtection="1">
      <protection locked="0"/>
    </xf>
    <xf numFmtId="0" fontId="20" fillId="0" borderId="16" xfId="8" applyFont="1" applyBorder="1" applyProtection="1">
      <protection locked="0"/>
    </xf>
    <xf numFmtId="0" fontId="20" fillId="0" borderId="16" xfId="8" applyFont="1" applyBorder="1" applyAlignment="1"/>
    <xf numFmtId="10" fontId="11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>
      <alignment vertical="top"/>
    </xf>
    <xf numFmtId="10" fontId="18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 applyProtection="1">
      <alignment horizontal="center"/>
      <protection locked="0"/>
    </xf>
    <xf numFmtId="0" fontId="18" fillId="0" borderId="16" xfId="8" applyFont="1" applyBorder="1" applyProtection="1">
      <protection locked="0"/>
    </xf>
    <xf numFmtId="167" fontId="11" fillId="0" borderId="16" xfId="11" applyNumberFormat="1" applyFont="1" applyBorder="1" applyAlignment="1">
      <alignment vertical="top"/>
    </xf>
    <xf numFmtId="0" fontId="9" fillId="0" borderId="16" xfId="8" applyFont="1" applyBorder="1" applyAlignment="1" applyProtection="1">
      <alignment horizontal="center"/>
      <protection locked="0"/>
    </xf>
    <xf numFmtId="3" fontId="11" fillId="0" borderId="16" xfId="8" applyNumberFormat="1" applyFont="1" applyBorder="1" applyAlignment="1">
      <alignment horizontal="right" vertical="top"/>
    </xf>
    <xf numFmtId="176" fontId="11" fillId="0" borderId="16" xfId="3" applyNumberFormat="1" applyFont="1" applyBorder="1" applyAlignment="1">
      <alignment vertical="top"/>
    </xf>
    <xf numFmtId="3" fontId="18" fillId="0" borderId="16" xfId="8" applyNumberFormat="1" applyFont="1" applyBorder="1" applyAlignment="1">
      <alignment vertical="top"/>
    </xf>
    <xf numFmtId="176" fontId="18" fillId="0" borderId="16" xfId="3" applyNumberFormat="1" applyFont="1" applyBorder="1" applyAlignment="1">
      <alignment vertical="top"/>
    </xf>
    <xf numFmtId="3" fontId="11" fillId="0" borderId="16" xfId="8" applyNumberFormat="1" applyFont="1" applyBorder="1" applyAlignment="1">
      <alignment vertical="top"/>
    </xf>
    <xf numFmtId="3" fontId="11" fillId="0" borderId="16" xfId="8" applyNumberFormat="1" applyFont="1" applyFill="1" applyBorder="1" applyAlignment="1">
      <alignment vertical="top"/>
    </xf>
    <xf numFmtId="170" fontId="11" fillId="0" borderId="16" xfId="8" applyNumberFormat="1" applyFont="1" applyBorder="1" applyAlignment="1">
      <alignment vertical="top"/>
    </xf>
    <xf numFmtId="174" fontId="11" fillId="0" borderId="16" xfId="3" applyNumberFormat="1" applyFont="1" applyBorder="1" applyAlignment="1">
      <alignment vertical="top"/>
    </xf>
    <xf numFmtId="170" fontId="18" fillId="0" borderId="16" xfId="8" applyNumberFormat="1" applyFont="1" applyBorder="1" applyAlignment="1">
      <alignment vertical="top"/>
    </xf>
    <xf numFmtId="174" fontId="18" fillId="0" borderId="16" xfId="3" applyNumberFormat="1" applyFont="1" applyBorder="1" applyAlignment="1">
      <alignment vertical="top"/>
    </xf>
    <xf numFmtId="174" fontId="11" fillId="0" borderId="16" xfId="8" applyNumberFormat="1" applyFont="1" applyBorder="1" applyAlignment="1">
      <alignment vertical="top"/>
    </xf>
    <xf numFmtId="180" fontId="11" fillId="0" borderId="16" xfId="8" applyNumberFormat="1" applyFont="1" applyBorder="1" applyAlignment="1">
      <alignment horizontal="right" vertical="top"/>
    </xf>
    <xf numFmtId="172" fontId="11" fillId="0" borderId="16" xfId="3" applyNumberFormat="1" applyFont="1" applyBorder="1" applyAlignment="1">
      <alignment vertical="top"/>
    </xf>
    <xf numFmtId="180" fontId="18" fillId="0" borderId="16" xfId="8" applyNumberFormat="1" applyFont="1" applyBorder="1" applyAlignment="1">
      <alignment horizontal="right" vertical="top"/>
    </xf>
    <xf numFmtId="172" fontId="18" fillId="0" borderId="16" xfId="3" applyNumberFormat="1" applyFont="1" applyBorder="1" applyAlignment="1">
      <alignment vertical="top"/>
    </xf>
    <xf numFmtId="0" fontId="11" fillId="0" borderId="16" xfId="8" applyFont="1" applyBorder="1" applyAlignment="1">
      <alignment horizontal="right" vertical="top"/>
    </xf>
    <xf numFmtId="6" fontId="11" fillId="0" borderId="16" xfId="8" applyNumberFormat="1" applyFont="1" applyBorder="1" applyProtection="1">
      <protection locked="0"/>
    </xf>
    <xf numFmtId="10" fontId="11" fillId="0" borderId="16" xfId="11" applyNumberFormat="1" applyFont="1" applyBorder="1" applyProtection="1">
      <protection locked="0"/>
    </xf>
    <xf numFmtId="0" fontId="27" fillId="0" borderId="16" xfId="8" applyFont="1" applyFill="1" applyBorder="1" applyAlignment="1">
      <alignment vertical="top" wrapText="1"/>
    </xf>
    <xf numFmtId="6" fontId="11" fillId="0" borderId="16" xfId="8" applyNumberFormat="1" applyFont="1" applyFill="1" applyBorder="1" applyProtection="1">
      <protection locked="0"/>
    </xf>
    <xf numFmtId="0" fontId="5" fillId="0" borderId="16" xfId="8" applyFont="1" applyBorder="1" applyAlignment="1">
      <alignment vertical="top"/>
    </xf>
    <xf numFmtId="0" fontId="11" fillId="0" borderId="16" xfId="8" applyFont="1" applyBorder="1" applyAlignment="1" applyProtection="1">
      <alignment horizontal="left"/>
      <protection locked="0"/>
    </xf>
    <xf numFmtId="0" fontId="18" fillId="0" borderId="16" xfId="8" applyFont="1" applyBorder="1" applyAlignment="1" applyProtection="1">
      <alignment horizontal="left"/>
      <protection locked="0"/>
    </xf>
    <xf numFmtId="169" fontId="11" fillId="0" borderId="16" xfId="3" applyNumberFormat="1" applyFont="1" applyBorder="1" applyProtection="1">
      <protection locked="0"/>
    </xf>
    <xf numFmtId="169" fontId="11" fillId="0" borderId="16" xfId="8" applyNumberFormat="1" applyFont="1" applyBorder="1" applyProtection="1">
      <protection locked="0"/>
    </xf>
    <xf numFmtId="169" fontId="18" fillId="0" borderId="16" xfId="3" applyNumberFormat="1" applyFont="1" applyBorder="1" applyProtection="1">
      <protection locked="0"/>
    </xf>
    <xf numFmtId="169" fontId="18" fillId="0" borderId="16" xfId="8" applyNumberFormat="1" applyFont="1" applyBorder="1" applyProtection="1">
      <protection locked="0"/>
    </xf>
    <xf numFmtId="181" fontId="11" fillId="0" borderId="16" xfId="8" applyNumberFormat="1" applyFont="1" applyBorder="1" applyProtection="1">
      <protection locked="0"/>
    </xf>
    <xf numFmtId="181" fontId="18" fillId="0" borderId="16" xfId="8" applyNumberFormat="1" applyFont="1" applyBorder="1" applyProtection="1">
      <protection locked="0"/>
    </xf>
    <xf numFmtId="182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Protection="1">
      <protection locked="0"/>
    </xf>
    <xf numFmtId="8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Alignment="1" applyProtection="1">
      <alignment horizontal="right"/>
      <protection locked="0"/>
    </xf>
    <xf numFmtId="8" fontId="18" fillId="0" borderId="16" xfId="8" applyNumberFormat="1" applyFont="1" applyBorder="1" applyAlignment="1" applyProtection="1">
      <alignment horizontal="right"/>
      <protection locked="0"/>
    </xf>
    <xf numFmtId="6" fontId="18" fillId="0" borderId="16" xfId="8" applyNumberFormat="1" applyFont="1" applyBorder="1" applyProtection="1">
      <protection locked="0"/>
    </xf>
    <xf numFmtId="6" fontId="29" fillId="0" borderId="16" xfId="8" applyNumberFormat="1" applyFont="1" applyBorder="1" applyProtection="1">
      <protection locked="0"/>
    </xf>
    <xf numFmtId="183" fontId="11" fillId="0" borderId="16" xfId="3" applyNumberFormat="1" applyFont="1" applyBorder="1" applyProtection="1">
      <protection locked="0"/>
    </xf>
    <xf numFmtId="184" fontId="11" fillId="0" borderId="16" xfId="8" applyNumberFormat="1" applyFont="1" applyBorder="1" applyProtection="1">
      <protection locked="0"/>
    </xf>
    <xf numFmtId="6" fontId="11" fillId="0" borderId="23" xfId="8" applyNumberFormat="1" applyFont="1" applyBorder="1" applyProtection="1">
      <protection locked="0"/>
    </xf>
    <xf numFmtId="0" fontId="11" fillId="0" borderId="16" xfId="8" applyFont="1" applyFill="1" applyBorder="1" applyAlignment="1">
      <alignment horizontal="center" vertical="top"/>
    </xf>
    <xf numFmtId="0" fontId="11" fillId="0" borderId="16" xfId="8" applyFont="1" applyFill="1" applyBorder="1" applyAlignment="1">
      <alignment vertical="top"/>
    </xf>
    <xf numFmtId="6" fontId="29" fillId="0" borderId="16" xfId="8" applyNumberFormat="1" applyFont="1" applyFill="1" applyBorder="1" applyProtection="1">
      <protection locked="0"/>
    </xf>
    <xf numFmtId="0" fontId="19" fillId="0" borderId="0" xfId="8" applyFont="1" applyFill="1" applyProtection="1">
      <protection locked="0"/>
    </xf>
    <xf numFmtId="0" fontId="3" fillId="0" borderId="16" xfId="8" applyFont="1" applyBorder="1" applyAlignment="1">
      <alignment vertical="top"/>
    </xf>
    <xf numFmtId="10" fontId="11" fillId="0" borderId="16" xfId="8" applyNumberFormat="1" applyFont="1" applyBorder="1" applyProtection="1">
      <protection locked="0"/>
    </xf>
    <xf numFmtId="10" fontId="18" fillId="0" borderId="16" xfId="11" applyNumberFormat="1" applyFont="1" applyBorder="1" applyProtection="1">
      <protection locked="0"/>
    </xf>
    <xf numFmtId="10" fontId="18" fillId="0" borderId="16" xfId="8" applyNumberFormat="1" applyFont="1" applyBorder="1" applyProtection="1">
      <protection locked="0"/>
    </xf>
    <xf numFmtId="0" fontId="3" fillId="0" borderId="16" xfId="8" applyFont="1" applyBorder="1" applyAlignment="1"/>
    <xf numFmtId="6" fontId="11" fillId="0" borderId="16" xfId="8" applyNumberFormat="1" applyFont="1" applyFill="1" applyBorder="1" applyAlignment="1">
      <alignment horizontal="right" vertical="top"/>
    </xf>
    <xf numFmtId="6" fontId="11" fillId="0" borderId="16" xfId="8" applyNumberFormat="1" applyFont="1" applyFill="1" applyBorder="1" applyAlignment="1">
      <alignment vertical="top"/>
    </xf>
    <xf numFmtId="6" fontId="18" fillId="0" borderId="16" xfId="8" applyNumberFormat="1" applyFont="1" applyFill="1" applyBorder="1" applyAlignment="1">
      <alignment vertical="top"/>
    </xf>
    <xf numFmtId="6" fontId="18" fillId="0" borderId="16" xfId="8" applyNumberFormat="1" applyFont="1" applyBorder="1" applyAlignment="1">
      <alignment horizontal="right" vertical="top"/>
    </xf>
    <xf numFmtId="6" fontId="18" fillId="0" borderId="16" xfId="8" applyNumberFormat="1" applyFont="1" applyFill="1" applyBorder="1" applyAlignment="1">
      <alignment horizontal="right" vertical="top"/>
    </xf>
    <xf numFmtId="0" fontId="11" fillId="0" borderId="0" xfId="8" applyFont="1" applyFill="1" applyBorder="1" applyAlignment="1" applyProtection="1">
      <alignment horizontal="left"/>
      <protection locked="0"/>
    </xf>
    <xf numFmtId="0" fontId="19" fillId="0" borderId="0" xfId="8" applyFont="1" applyAlignment="1" applyProtection="1">
      <alignment horizontal="left"/>
      <protection locked="0"/>
    </xf>
    <xf numFmtId="6" fontId="6" fillId="0" borderId="0" xfId="8" applyNumberFormat="1" applyFont="1" applyAlignment="1" applyProtection="1">
      <alignment horizontal="center"/>
      <protection locked="0"/>
    </xf>
    <xf numFmtId="0" fontId="6" fillId="0" borderId="0" xfId="8" applyFont="1" applyAlignment="1" applyProtection="1">
      <alignment horizontal="center"/>
      <protection locked="0"/>
    </xf>
    <xf numFmtId="164" fontId="3" fillId="0" borderId="16" xfId="8" applyNumberFormat="1" applyFont="1" applyBorder="1" applyAlignment="1" applyProtection="1">
      <alignment horizontal="center"/>
      <protection locked="0"/>
    </xf>
    <xf numFmtId="6" fontId="11" fillId="0" borderId="0" xfId="8" applyNumberFormat="1" applyFont="1" applyAlignment="1">
      <alignment vertical="top"/>
    </xf>
    <xf numFmtId="0" fontId="5" fillId="0" borderId="8" xfId="8" applyFont="1" applyBorder="1" applyAlignment="1" applyProtection="1">
      <alignment horizontal="left"/>
      <protection locked="0"/>
    </xf>
    <xf numFmtId="0" fontId="11" fillId="0" borderId="0" xfId="8" applyFont="1" applyAlignment="1"/>
    <xf numFmtId="0" fontId="3" fillId="0" borderId="8" xfId="8" applyFont="1" applyBorder="1" applyAlignment="1">
      <alignment horizontal="centerContinuous"/>
    </xf>
    <xf numFmtId="0" fontId="11" fillId="0" borderId="0" xfId="8" applyFont="1" applyAlignment="1">
      <alignment vertical="top"/>
    </xf>
    <xf numFmtId="0" fontId="11" fillId="0" borderId="16" xfId="8" applyFont="1" applyBorder="1" applyAlignment="1">
      <alignment vertical="top"/>
    </xf>
    <xf numFmtId="6" fontId="11" fillId="0" borderId="0" xfId="8" applyNumberFormat="1" applyFont="1" applyAlignment="1">
      <alignment horizontal="right" vertical="top"/>
    </xf>
    <xf numFmtId="0" fontId="18" fillId="0" borderId="16" xfId="8" applyFont="1" applyBorder="1" applyAlignment="1">
      <alignment vertical="top"/>
    </xf>
    <xf numFmtId="0" fontId="6" fillId="0" borderId="16" xfId="8" applyFont="1" applyBorder="1" applyProtection="1">
      <protection locked="0"/>
    </xf>
    <xf numFmtId="0" fontId="6" fillId="0" borderId="16" xfId="8" applyFont="1" applyBorder="1" applyAlignment="1" applyProtection="1">
      <alignment horizontal="left"/>
      <protection locked="0"/>
    </xf>
    <xf numFmtId="6" fontId="11" fillId="0" borderId="0" xfId="8" applyNumberFormat="1" applyFont="1" applyAlignment="1" applyProtection="1">
      <alignment vertical="top"/>
      <protection locked="0"/>
    </xf>
    <xf numFmtId="0" fontId="6" fillId="0" borderId="0" xfId="8" applyFont="1" applyProtection="1">
      <protection locked="0"/>
    </xf>
    <xf numFmtId="0" fontId="6" fillId="0" borderId="0" xfId="8" applyFont="1" applyAlignment="1" applyProtection="1">
      <alignment horizontal="left"/>
      <protection locked="0"/>
    </xf>
    <xf numFmtId="0" fontId="18" fillId="0" borderId="0" xfId="8" applyFont="1" applyAlignment="1">
      <alignment vertical="top"/>
    </xf>
    <xf numFmtId="3" fontId="11" fillId="0" borderId="0" xfId="8" applyNumberFormat="1" applyFont="1" applyAlignment="1">
      <alignment horizontal="right" vertical="top"/>
    </xf>
    <xf numFmtId="0" fontId="11" fillId="0" borderId="0" xfId="8" applyFont="1" applyAlignment="1">
      <alignment horizontal="right" vertical="top"/>
    </xf>
    <xf numFmtId="3" fontId="18" fillId="0" borderId="16" xfId="8" applyNumberFormat="1" applyFont="1" applyBorder="1" applyAlignment="1">
      <alignment horizontal="right" vertical="top"/>
    </xf>
    <xf numFmtId="10" fontId="11" fillId="0" borderId="16" xfId="8" applyNumberFormat="1" applyFont="1" applyBorder="1" applyAlignment="1">
      <alignment horizontal="right" vertical="top"/>
    </xf>
    <xf numFmtId="185" fontId="11" fillId="0" borderId="16" xfId="8" applyNumberFormat="1" applyFont="1" applyBorder="1" applyProtection="1">
      <protection locked="0"/>
    </xf>
    <xf numFmtId="0" fontId="6" fillId="0" borderId="16" xfId="8" applyFont="1" applyFill="1" applyBorder="1" applyAlignment="1">
      <alignment vertical="top"/>
    </xf>
    <xf numFmtId="0" fontId="6" fillId="0" borderId="16" xfId="8" applyFont="1" applyBorder="1" applyAlignment="1" applyProtection="1">
      <alignment horizontal="center"/>
      <protection locked="0"/>
    </xf>
    <xf numFmtId="6" fontId="11" fillId="0" borderId="30" xfId="8" applyNumberFormat="1" applyFont="1" applyBorder="1" applyAlignment="1">
      <alignment horizontal="right" vertical="top"/>
    </xf>
    <xf numFmtId="6" fontId="11" fillId="0" borderId="30" xfId="8" applyNumberFormat="1" applyFont="1" applyBorder="1" applyAlignment="1">
      <alignment vertical="top"/>
    </xf>
    <xf numFmtId="6" fontId="18" fillId="0" borderId="30" xfId="8" applyNumberFormat="1" applyFont="1" applyBorder="1" applyAlignment="1">
      <alignment horizontal="right" vertical="top"/>
    </xf>
    <xf numFmtId="0" fontId="1" fillId="0" borderId="35" xfId="7" applyFont="1" applyBorder="1"/>
    <xf numFmtId="0" fontId="3" fillId="0" borderId="0" xfId="7" applyFont="1" applyBorder="1" applyAlignment="1">
      <alignment horizontal="right"/>
    </xf>
    <xf numFmtId="37" fontId="2" fillId="0" borderId="35" xfId="7" applyNumberFormat="1" applyFont="1" applyBorder="1" applyAlignment="1">
      <alignment horizontal="center"/>
    </xf>
    <xf numFmtId="5" fontId="8" fillId="0" borderId="0" xfId="7" applyNumberFormat="1" applyBorder="1" applyAlignment="1">
      <alignment horizontal="center"/>
    </xf>
    <xf numFmtId="9" fontId="11" fillId="0" borderId="0" xfId="9" applyFont="1" applyBorder="1" applyAlignment="1">
      <alignment horizontal="center"/>
    </xf>
    <xf numFmtId="0" fontId="5" fillId="0" borderId="35" xfId="7" applyFont="1" applyBorder="1" applyAlignment="1">
      <alignment horizontal="center"/>
    </xf>
    <xf numFmtId="0" fontId="5" fillId="0" borderId="35" xfId="7" applyFont="1" applyBorder="1"/>
    <xf numFmtId="0" fontId="4" fillId="0" borderId="35" xfId="7" applyFont="1" applyBorder="1" applyAlignment="1">
      <alignment horizontal="center"/>
    </xf>
    <xf numFmtId="176" fontId="18" fillId="0" borderId="0" xfId="2" applyNumberFormat="1" applyFont="1" applyBorder="1" applyAlignment="1">
      <alignment horizontal="center"/>
    </xf>
    <xf numFmtId="0" fontId="3" fillId="0" borderId="35" xfId="7" applyFont="1" applyBorder="1"/>
    <xf numFmtId="43" fontId="6" fillId="0" borderId="35" xfId="2" applyFont="1" applyBorder="1" applyAlignment="1" applyProtection="1">
      <alignment horizontal="left"/>
      <protection locked="0"/>
    </xf>
    <xf numFmtId="5" fontId="11" fillId="0" borderId="0" xfId="5" applyNumberFormat="1" applyFont="1" applyBorder="1" applyProtection="1">
      <protection locked="0"/>
    </xf>
    <xf numFmtId="37" fontId="11" fillId="0" borderId="0" xfId="5" applyNumberFormat="1" applyFont="1" applyBorder="1" applyProtection="1">
      <protection locked="0"/>
    </xf>
    <xf numFmtId="37" fontId="8" fillId="0" borderId="0" xfId="7" applyNumberFormat="1" applyBorder="1" applyAlignment="1">
      <alignment horizontal="right"/>
    </xf>
    <xf numFmtId="43" fontId="3" fillId="0" borderId="35" xfId="2" applyFont="1" applyFill="1" applyBorder="1" applyAlignment="1" applyProtection="1">
      <alignment wrapText="1"/>
      <protection locked="0"/>
    </xf>
    <xf numFmtId="0" fontId="6" fillId="0" borderId="0" xfId="7" applyFont="1" applyBorder="1" applyAlignment="1">
      <alignment horizontal="left"/>
    </xf>
    <xf numFmtId="186" fontId="6" fillId="0" borderId="35" xfId="7" applyNumberFormat="1" applyFont="1" applyBorder="1" applyAlignment="1">
      <alignment horizontal="right"/>
    </xf>
    <xf numFmtId="43" fontId="6" fillId="0" borderId="35" xfId="2" applyFont="1" applyFill="1" applyBorder="1" applyAlignment="1" applyProtection="1">
      <alignment wrapText="1"/>
      <protection locked="0"/>
    </xf>
    <xf numFmtId="43" fontId="3" fillId="0" borderId="0" xfId="2" applyFont="1" applyFill="1" applyBorder="1" applyAlignment="1" applyProtection="1">
      <alignment wrapText="1"/>
      <protection locked="0"/>
    </xf>
    <xf numFmtId="43" fontId="3" fillId="0" borderId="35" xfId="2" applyFont="1" applyFill="1" applyBorder="1" applyAlignment="1" applyProtection="1">
      <alignment horizontal="left" wrapText="1"/>
      <protection locked="0"/>
    </xf>
    <xf numFmtId="0" fontId="6" fillId="0" borderId="35" xfId="7" applyFont="1" applyBorder="1"/>
    <xf numFmtId="43" fontId="3" fillId="0" borderId="35" xfId="2" applyFont="1" applyBorder="1" applyAlignment="1" applyProtection="1">
      <alignment horizontal="left"/>
      <protection locked="0"/>
    </xf>
    <xf numFmtId="37" fontId="10" fillId="0" borderId="35" xfId="7" applyNumberFormat="1" applyFont="1" applyBorder="1" applyAlignment="1">
      <alignment horizontal="right"/>
    </xf>
    <xf numFmtId="9" fontId="10" fillId="0" borderId="35" xfId="7" applyNumberFormat="1" applyFont="1" applyBorder="1" applyAlignment="1">
      <alignment horizontal="right"/>
    </xf>
    <xf numFmtId="0" fontId="30" fillId="0" borderId="35" xfId="7" applyFont="1" applyBorder="1" applyAlignment="1">
      <alignment horizontal="center"/>
    </xf>
    <xf numFmtId="9" fontId="19" fillId="0" borderId="0" xfId="9" applyFont="1" applyBorder="1" applyAlignment="1">
      <alignment horizontal="center"/>
    </xf>
    <xf numFmtId="0" fontId="3" fillId="0" borderId="35" xfId="7" applyFont="1" applyBorder="1" applyAlignment="1">
      <alignment horizontal="left" wrapText="1"/>
    </xf>
    <xf numFmtId="167" fontId="3" fillId="0" borderId="35" xfId="7" applyNumberFormat="1" applyFont="1" applyBorder="1" applyAlignment="1">
      <alignment horizontal="right"/>
    </xf>
    <xf numFmtId="5" fontId="8" fillId="0" borderId="0" xfId="7" applyNumberFormat="1" applyBorder="1"/>
    <xf numFmtId="9" fontId="8" fillId="0" borderId="0" xfId="9" applyBorder="1"/>
    <xf numFmtId="0" fontId="8" fillId="0" borderId="0" xfId="7" applyBorder="1" applyAlignment="1">
      <alignment horizontal="right"/>
    </xf>
    <xf numFmtId="0" fontId="3" fillId="0" borderId="0" xfId="7" applyFont="1" applyBorder="1" applyAlignment="1">
      <alignment horizontal="left"/>
    </xf>
    <xf numFmtId="10" fontId="3" fillId="0" borderId="35" xfId="7" applyNumberFormat="1" applyFont="1" applyBorder="1" applyAlignment="1">
      <alignment horizontal="right"/>
    </xf>
    <xf numFmtId="0" fontId="2" fillId="0" borderId="35" xfId="7" applyFont="1" applyBorder="1" applyAlignment="1"/>
    <xf numFmtId="0" fontId="31" fillId="0" borderId="35" xfId="7" applyFont="1" applyBorder="1" applyAlignment="1">
      <alignment horizontal="left"/>
    </xf>
    <xf numFmtId="5" fontId="31" fillId="0" borderId="35" xfId="7" applyNumberFormat="1" applyFont="1" applyBorder="1" applyAlignment="1">
      <alignment horizontal="right"/>
    </xf>
    <xf numFmtId="7" fontId="11" fillId="0" borderId="0" xfId="5" applyNumberFormat="1" applyFont="1" applyBorder="1" applyProtection="1">
      <protection locked="0"/>
    </xf>
    <xf numFmtId="0" fontId="19" fillId="0" borderId="0" xfId="7" applyFont="1" applyBorder="1" applyAlignment="1">
      <alignment wrapText="1"/>
    </xf>
    <xf numFmtId="0" fontId="18" fillId="0" borderId="35" xfId="7" applyFont="1" applyBorder="1" applyAlignment="1">
      <alignment horizontal="left"/>
    </xf>
    <xf numFmtId="43" fontId="11" fillId="0" borderId="35" xfId="2" applyFont="1" applyBorder="1" applyAlignment="1" applyProtection="1">
      <alignment horizontal="right"/>
      <protection locked="0"/>
    </xf>
    <xf numFmtId="43" fontId="11" fillId="0" borderId="0" xfId="2" applyFont="1" applyBorder="1" applyAlignment="1" applyProtection="1">
      <alignment horizontal="right"/>
      <protection locked="0"/>
    </xf>
    <xf numFmtId="0" fontId="19" fillId="0" borderId="0" xfId="7" applyFont="1" applyBorder="1"/>
    <xf numFmtId="0" fontId="3" fillId="0" borderId="0" xfId="2" applyNumberFormat="1" applyFont="1" applyFill="1" applyBorder="1" applyAlignment="1" applyProtection="1">
      <protection locked="0"/>
    </xf>
    <xf numFmtId="0" fontId="32" fillId="0" borderId="0" xfId="7" applyFont="1" applyAlignment="1">
      <alignment horizontal="center"/>
    </xf>
    <xf numFmtId="0" fontId="8" fillId="0" borderId="0" xfId="7" applyAlignment="1"/>
    <xf numFmtId="0" fontId="8" fillId="0" borderId="0" xfId="7"/>
    <xf numFmtId="0" fontId="32" fillId="0" borderId="0" xfId="7" quotePrefix="1" applyFont="1" applyBorder="1" applyAlignment="1">
      <alignment horizontal="center" wrapText="1"/>
    </xf>
    <xf numFmtId="0" fontId="33" fillId="0" borderId="0" xfId="7" applyFont="1" applyAlignment="1">
      <alignment horizontal="center"/>
    </xf>
    <xf numFmtId="0" fontId="33" fillId="0" borderId="0" xfId="7" applyFont="1" applyBorder="1" applyAlignment="1">
      <alignment horizontal="left" wrapText="1"/>
    </xf>
    <xf numFmtId="0" fontId="32" fillId="0" borderId="0" xfId="7" applyFont="1" applyBorder="1" applyAlignment="1">
      <alignment horizontal="center" wrapText="1"/>
    </xf>
    <xf numFmtId="0" fontId="34" fillId="0" borderId="0" xfId="7" applyFont="1"/>
    <xf numFmtId="0" fontId="33" fillId="0" borderId="0" xfId="7" applyFont="1" applyBorder="1" applyAlignment="1">
      <alignment horizontal="center" wrapText="1"/>
    </xf>
    <xf numFmtId="0" fontId="33" fillId="0" borderId="0" xfId="7" applyFont="1"/>
    <xf numFmtId="0" fontId="28" fillId="0" borderId="0" xfId="7" applyFont="1" applyBorder="1" applyAlignment="1">
      <alignment horizontal="center" wrapText="1"/>
    </xf>
    <xf numFmtId="0" fontId="35" fillId="0" borderId="0" xfId="7" applyFont="1" applyBorder="1" applyAlignment="1">
      <alignment horizontal="center"/>
    </xf>
    <xf numFmtId="0" fontId="35" fillId="0" borderId="0" xfId="7" applyFont="1" applyBorder="1" applyAlignment="1">
      <alignment horizontal="left" wrapText="1"/>
    </xf>
    <xf numFmtId="6" fontId="35" fillId="0" borderId="0" xfId="7" applyNumberFormat="1" applyFont="1" applyBorder="1" applyAlignment="1">
      <alignment horizontal="right" wrapText="1"/>
    </xf>
    <xf numFmtId="0" fontId="33" fillId="0" borderId="0" xfId="7" applyFont="1" applyBorder="1" applyAlignment="1">
      <alignment horizontal="left"/>
    </xf>
    <xf numFmtId="0" fontId="20" fillId="0" borderId="0" xfId="7" applyFont="1" applyAlignment="1">
      <alignment horizontal="left"/>
    </xf>
    <xf numFmtId="3" fontId="35" fillId="0" borderId="0" xfId="7" applyNumberFormat="1" applyFont="1" applyBorder="1" applyAlignment="1">
      <alignment horizontal="right"/>
    </xf>
    <xf numFmtId="3" fontId="35" fillId="0" borderId="0" xfId="7" applyNumberFormat="1" applyFont="1" applyBorder="1" applyAlignment="1">
      <alignment horizontal="right" wrapText="1"/>
    </xf>
    <xf numFmtId="187" fontId="35" fillId="0" borderId="0" xfId="7" applyNumberFormat="1" applyFont="1" applyBorder="1" applyAlignment="1">
      <alignment horizontal="right" wrapText="1"/>
    </xf>
    <xf numFmtId="172" fontId="35" fillId="0" borderId="0" xfId="7" applyNumberFormat="1" applyFont="1" applyFill="1" applyBorder="1" applyAlignment="1">
      <alignment horizontal="right" wrapText="1"/>
    </xf>
    <xf numFmtId="0" fontId="8" fillId="0" borderId="0" xfId="7" applyAlignment="1">
      <alignment horizontal="left" wrapText="1"/>
    </xf>
    <xf numFmtId="165" fontId="35" fillId="0" borderId="0" xfId="7" applyNumberFormat="1" applyFont="1" applyBorder="1" applyAlignment="1">
      <alignment horizontal="right" wrapText="1"/>
    </xf>
    <xf numFmtId="0" fontId="34" fillId="0" borderId="0" xfId="7" applyFont="1" applyBorder="1" applyAlignment="1">
      <alignment horizontal="center"/>
    </xf>
    <xf numFmtId="0" fontId="34" fillId="0" borderId="0" xfId="7" applyFont="1" applyBorder="1" applyAlignment="1">
      <alignment horizontal="left" wrapText="1"/>
    </xf>
    <xf numFmtId="165" fontId="34" fillId="0" borderId="0" xfId="7" applyNumberFormat="1" applyFont="1" applyBorder="1" applyAlignment="1">
      <alignment horizontal="right" wrapText="1"/>
    </xf>
    <xf numFmtId="9" fontId="35" fillId="0" borderId="0" xfId="9" applyFont="1" applyBorder="1"/>
    <xf numFmtId="6" fontId="34" fillId="0" borderId="0" xfId="7" applyNumberFormat="1" applyFont="1" applyBorder="1" applyAlignment="1">
      <alignment horizontal="right" wrapText="1"/>
    </xf>
    <xf numFmtId="9" fontId="34" fillId="0" borderId="0" xfId="9" applyFont="1" applyBorder="1"/>
    <xf numFmtId="188" fontId="34" fillId="0" borderId="0" xfId="7" applyNumberFormat="1" applyFont="1" applyBorder="1" applyAlignment="1">
      <alignment horizontal="right" wrapText="1"/>
    </xf>
    <xf numFmtId="188" fontId="35" fillId="0" borderId="0" xfId="7" applyNumberFormat="1" applyFont="1" applyBorder="1" applyAlignment="1">
      <alignment horizontal="right" wrapText="1"/>
    </xf>
    <xf numFmtId="165" fontId="35" fillId="0" borderId="0" xfId="5" applyNumberFormat="1" applyFont="1" applyBorder="1" applyAlignment="1">
      <alignment horizontal="right" wrapText="1"/>
    </xf>
    <xf numFmtId="6" fontId="36" fillId="0" borderId="0" xfId="7" applyNumberFormat="1" applyFont="1" applyBorder="1" applyAlignment="1">
      <alignment horizontal="right" wrapText="1"/>
    </xf>
    <xf numFmtId="0" fontId="2" fillId="0" borderId="32" xfId="6" applyFont="1" applyBorder="1" applyAlignment="1">
      <alignment horizontal="center"/>
    </xf>
    <xf numFmtId="0" fontId="2" fillId="0" borderId="33" xfId="6" applyFont="1" applyBorder="1" applyAlignment="1">
      <alignment horizontal="center"/>
    </xf>
    <xf numFmtId="0" fontId="2" fillId="0" borderId="34" xfId="6" applyFont="1" applyBorder="1" applyAlignment="1">
      <alignment horizontal="center"/>
    </xf>
    <xf numFmtId="0" fontId="3" fillId="0" borderId="32" xfId="7" applyFont="1" applyBorder="1" applyAlignment="1">
      <alignment horizontal="center"/>
    </xf>
    <xf numFmtId="0" fontId="3" fillId="0" borderId="33" xfId="7" applyFont="1" applyBorder="1" applyAlignment="1">
      <alignment horizontal="center"/>
    </xf>
    <xf numFmtId="0" fontId="3" fillId="0" borderId="34" xfId="7" applyFont="1" applyBorder="1" applyAlignment="1">
      <alignment horizontal="center"/>
    </xf>
    <xf numFmtId="164" fontId="3" fillId="0" borderId="12" xfId="6" applyNumberFormat="1" applyFont="1" applyBorder="1" applyAlignment="1">
      <alignment horizontal="center"/>
    </xf>
    <xf numFmtId="164" fontId="3" fillId="0" borderId="8" xfId="6" applyNumberFormat="1" applyFont="1" applyBorder="1" applyAlignment="1">
      <alignment horizontal="center"/>
    </xf>
    <xf numFmtId="164" fontId="5" fillId="0" borderId="12" xfId="6" applyNumberFormat="1" applyFont="1" applyBorder="1" applyAlignment="1">
      <alignment horizontal="left" wrapText="1"/>
    </xf>
    <xf numFmtId="164" fontId="5" fillId="0" borderId="8" xfId="6" applyNumberFormat="1" applyFont="1" applyBorder="1" applyAlignment="1">
      <alignment horizontal="left" wrapText="1"/>
    </xf>
    <xf numFmtId="5" fontId="6" fillId="0" borderId="13" xfId="6" applyNumberFormat="1" applyFont="1" applyBorder="1" applyAlignment="1">
      <alignment horizontal="center"/>
    </xf>
    <xf numFmtId="5" fontId="6" fillId="0" borderId="14" xfId="6" applyNumberFormat="1" applyFont="1" applyBorder="1" applyAlignment="1">
      <alignment horizontal="center"/>
    </xf>
    <xf numFmtId="5" fontId="6" fillId="0" borderId="15" xfId="6" applyNumberFormat="1" applyFont="1" applyBorder="1" applyAlignment="1">
      <alignment horizontal="center"/>
    </xf>
    <xf numFmtId="5" fontId="6" fillId="0" borderId="9" xfId="6" applyNumberFormat="1" applyFont="1" applyBorder="1" applyAlignment="1">
      <alignment horizontal="center"/>
    </xf>
    <xf numFmtId="5" fontId="6" fillId="0" borderId="10" xfId="6" applyNumberFormat="1" applyFont="1" applyBorder="1" applyAlignment="1">
      <alignment horizontal="center"/>
    </xf>
    <xf numFmtId="5" fontId="6" fillId="0" borderId="11" xfId="6" applyNumberFormat="1" applyFont="1" applyBorder="1" applyAlignment="1">
      <alignment horizontal="center"/>
    </xf>
    <xf numFmtId="0" fontId="3" fillId="0" borderId="0" xfId="6" applyFont="1" applyBorder="1" applyAlignment="1">
      <alignment horizontal="center"/>
    </xf>
    <xf numFmtId="164" fontId="3" fillId="3" borderId="9" xfId="6" applyNumberFormat="1" applyFont="1" applyFill="1" applyBorder="1" applyAlignment="1">
      <alignment horizontal="center" wrapText="1"/>
    </xf>
    <xf numFmtId="164" fontId="3" fillId="3" borderId="10" xfId="6" applyNumberFormat="1" applyFont="1" applyFill="1" applyBorder="1" applyAlignment="1">
      <alignment horizontal="center" wrapText="1"/>
    </xf>
    <xf numFmtId="164" fontId="3" fillId="3" borderId="11" xfId="6" applyNumberFormat="1" applyFont="1" applyFill="1" applyBorder="1" applyAlignment="1">
      <alignment horizontal="center" wrapText="1"/>
    </xf>
    <xf numFmtId="0" fontId="3" fillId="0" borderId="20" xfId="7" applyFont="1" applyBorder="1" applyAlignment="1">
      <alignment horizontal="center"/>
    </xf>
    <xf numFmtId="0" fontId="3" fillId="0" borderId="21" xfId="7" applyFont="1" applyBorder="1" applyAlignment="1">
      <alignment horizontal="center"/>
    </xf>
    <xf numFmtId="0" fontId="3" fillId="0" borderId="22" xfId="7" applyFont="1" applyBorder="1" applyAlignment="1">
      <alignment horizontal="center"/>
    </xf>
    <xf numFmtId="0" fontId="14" fillId="0" borderId="12" xfId="6" applyFont="1" applyBorder="1" applyAlignment="1">
      <alignment horizontal="center"/>
    </xf>
    <xf numFmtId="0" fontId="14" fillId="0" borderId="8" xfId="6" applyFont="1" applyBorder="1" applyAlignment="1">
      <alignment horizontal="center"/>
    </xf>
    <xf numFmtId="0" fontId="15" fillId="0" borderId="12" xfId="6" applyFont="1" applyBorder="1" applyAlignment="1">
      <alignment horizontal="left"/>
    </xf>
    <xf numFmtId="0" fontId="15" fillId="0" borderId="8" xfId="6" applyFont="1" applyBorder="1" applyAlignment="1">
      <alignment horizontal="left"/>
    </xf>
    <xf numFmtId="164" fontId="12" fillId="0" borderId="13" xfId="6" applyNumberFormat="1" applyFont="1" applyBorder="1" applyAlignment="1">
      <alignment horizontal="center" wrapText="1"/>
    </xf>
    <xf numFmtId="164" fontId="12" fillId="0" borderId="14" xfId="6" applyNumberFormat="1" applyFont="1" applyBorder="1" applyAlignment="1">
      <alignment horizontal="center" wrapText="1"/>
    </xf>
    <xf numFmtId="164" fontId="12" fillId="0" borderId="15" xfId="6" applyNumberFormat="1" applyFont="1" applyBorder="1" applyAlignment="1">
      <alignment horizontal="center" wrapText="1"/>
    </xf>
    <xf numFmtId="164" fontId="12" fillId="0" borderId="9" xfId="6" applyNumberFormat="1" applyFont="1" applyBorder="1" applyAlignment="1">
      <alignment horizontal="center" wrapText="1"/>
    </xf>
    <xf numFmtId="164" fontId="12" fillId="0" borderId="10" xfId="6" applyNumberFormat="1" applyFont="1" applyBorder="1" applyAlignment="1">
      <alignment horizontal="center" wrapText="1"/>
    </xf>
    <xf numFmtId="164" fontId="12" fillId="0" borderId="11" xfId="6" applyNumberFormat="1" applyFont="1" applyBorder="1" applyAlignment="1">
      <alignment horizontal="center" wrapText="1"/>
    </xf>
    <xf numFmtId="0" fontId="13" fillId="0" borderId="0" xfId="6" applyFont="1" applyBorder="1" applyAlignment="1">
      <alignment horizontal="center"/>
    </xf>
    <xf numFmtId="0" fontId="12" fillId="0" borderId="0" xfId="6" applyFont="1" applyBorder="1" applyAlignment="1">
      <alignment horizontal="center"/>
    </xf>
    <xf numFmtId="164" fontId="12" fillId="3" borderId="27" xfId="6" applyNumberFormat="1" applyFont="1" applyFill="1" applyBorder="1" applyAlignment="1">
      <alignment horizontal="center" wrapText="1"/>
    </xf>
    <xf numFmtId="164" fontId="12" fillId="3" borderId="28" xfId="6" applyNumberFormat="1" applyFont="1" applyFill="1" applyBorder="1" applyAlignment="1">
      <alignment horizontal="center" wrapText="1"/>
    </xf>
    <xf numFmtId="164" fontId="12" fillId="3" borderId="29" xfId="6" applyNumberFormat="1" applyFont="1" applyFill="1" applyBorder="1" applyAlignment="1">
      <alignment horizontal="center" wrapText="1"/>
    </xf>
    <xf numFmtId="0" fontId="14" fillId="0" borderId="23" xfId="6" applyFont="1" applyBorder="1" applyAlignment="1">
      <alignment horizontal="center"/>
    </xf>
    <xf numFmtId="0" fontId="15" fillId="0" borderId="23" xfId="6" applyFont="1" applyBorder="1" applyAlignment="1"/>
    <xf numFmtId="0" fontId="15" fillId="0" borderId="8" xfId="6" applyFont="1" applyBorder="1" applyAlignment="1"/>
    <xf numFmtId="164" fontId="12" fillId="0" borderId="30" xfId="6" applyNumberFormat="1" applyFont="1" applyBorder="1" applyAlignment="1">
      <alignment horizontal="center" wrapText="1"/>
    </xf>
    <xf numFmtId="164" fontId="12" fillId="0" borderId="0" xfId="6" applyNumberFormat="1" applyFont="1" applyBorder="1" applyAlignment="1">
      <alignment horizontal="center" wrapText="1"/>
    </xf>
    <xf numFmtId="164" fontId="12" fillId="0" borderId="31" xfId="6" applyNumberFormat="1" applyFont="1" applyBorder="1" applyAlignment="1">
      <alignment horizontal="center" wrapText="1"/>
    </xf>
    <xf numFmtId="0" fontId="2" fillId="0" borderId="32" xfId="6" applyFont="1" applyBorder="1" applyAlignment="1">
      <alignment horizontal="center" wrapText="1"/>
    </xf>
    <xf numFmtId="0" fontId="2" fillId="0" borderId="33" xfId="6" applyFont="1" applyBorder="1" applyAlignment="1">
      <alignment horizontal="center" wrapText="1"/>
    </xf>
    <xf numFmtId="0" fontId="2" fillId="0" borderId="34" xfId="6" applyFont="1" applyBorder="1" applyAlignment="1">
      <alignment horizontal="center" wrapText="1"/>
    </xf>
    <xf numFmtId="0" fontId="2" fillId="0" borderId="20" xfId="7" applyFont="1" applyBorder="1" applyAlignment="1">
      <alignment horizontal="center"/>
    </xf>
    <xf numFmtId="0" fontId="2" fillId="0" borderId="21" xfId="7" applyFont="1" applyBorder="1" applyAlignment="1">
      <alignment horizontal="center"/>
    </xf>
    <xf numFmtId="0" fontId="2" fillId="0" borderId="22" xfId="7" applyFont="1" applyBorder="1" applyAlignment="1">
      <alignment horizontal="center"/>
    </xf>
    <xf numFmtId="164" fontId="3" fillId="0" borderId="20" xfId="7" applyNumberFormat="1" applyFont="1" applyBorder="1" applyAlignment="1">
      <alignment wrapText="1"/>
    </xf>
    <xf numFmtId="164" fontId="3" fillId="0" borderId="21" xfId="7" applyNumberFormat="1" applyFont="1" applyBorder="1" applyAlignment="1">
      <alignment wrapText="1"/>
    </xf>
    <xf numFmtId="164" fontId="3" fillId="0" borderId="22" xfId="7" applyNumberFormat="1" applyFont="1" applyBorder="1" applyAlignment="1">
      <alignment wrapText="1"/>
    </xf>
    <xf numFmtId="0" fontId="3" fillId="0" borderId="0" xfId="8" applyFont="1" applyAlignment="1" applyProtection="1">
      <alignment horizontal="center"/>
      <protection locked="0"/>
    </xf>
    <xf numFmtId="0" fontId="3" fillId="0" borderId="20" xfId="8" applyFont="1" applyBorder="1" applyAlignment="1" applyProtection="1">
      <alignment horizontal="center"/>
      <protection locked="0"/>
    </xf>
    <xf numFmtId="0" fontId="3" fillId="0" borderId="21" xfId="8" applyFont="1" applyBorder="1" applyAlignment="1" applyProtection="1">
      <alignment horizontal="center"/>
      <protection locked="0"/>
    </xf>
    <xf numFmtId="0" fontId="3" fillId="0" borderId="22" xfId="8" applyFont="1" applyBorder="1" applyAlignment="1" applyProtection="1">
      <alignment horizontal="center"/>
      <protection locked="0"/>
    </xf>
    <xf numFmtId="0" fontId="3" fillId="0" borderId="0" xfId="8" applyFont="1" applyBorder="1" applyAlignment="1">
      <alignment horizontal="center"/>
    </xf>
    <xf numFmtId="0" fontId="19" fillId="0" borderId="0" xfId="8" applyFont="1" applyBorder="1" applyAlignment="1" applyProtection="1">
      <alignment horizontal="left"/>
      <protection locked="0"/>
    </xf>
    <xf numFmtId="0" fontId="3" fillId="0" borderId="0" xfId="8" applyFont="1" applyBorder="1" applyAlignment="1" applyProtection="1">
      <alignment horizontal="center"/>
      <protection locked="0"/>
    </xf>
    <xf numFmtId="164" fontId="3" fillId="0" borderId="20" xfId="8" applyNumberFormat="1" applyFont="1" applyBorder="1" applyAlignment="1" applyProtection="1">
      <alignment horizontal="center"/>
      <protection locked="0"/>
    </xf>
    <xf numFmtId="164" fontId="3" fillId="0" borderId="21" xfId="8" applyNumberFormat="1" applyFont="1" applyBorder="1" applyAlignment="1" applyProtection="1">
      <alignment horizontal="center"/>
      <protection locked="0"/>
    </xf>
    <xf numFmtId="164" fontId="3" fillId="0" borderId="22" xfId="8" applyNumberFormat="1" applyFont="1" applyBorder="1" applyAlignment="1" applyProtection="1">
      <alignment horizontal="center"/>
      <protection locked="0"/>
    </xf>
    <xf numFmtId="0" fontId="1" fillId="0" borderId="32" xfId="7" applyFont="1" applyBorder="1"/>
    <xf numFmtId="0" fontId="1" fillId="0" borderId="33" xfId="7" applyFont="1" applyBorder="1"/>
    <xf numFmtId="0" fontId="1" fillId="0" borderId="34" xfId="7" applyFont="1" applyBorder="1"/>
    <xf numFmtId="0" fontId="2" fillId="0" borderId="32" xfId="7" applyFont="1" applyBorder="1" applyAlignment="1">
      <alignment horizontal="center"/>
    </xf>
    <xf numFmtId="0" fontId="2" fillId="0" borderId="33" xfId="7" applyFont="1" applyBorder="1" applyAlignment="1">
      <alignment horizontal="center"/>
    </xf>
    <xf numFmtId="0" fontId="2" fillId="0" borderId="34" xfId="7" applyFont="1" applyBorder="1" applyAlignment="1">
      <alignment horizontal="center"/>
    </xf>
    <xf numFmtId="0" fontId="3" fillId="0" borderId="32" xfId="7" applyFont="1" applyBorder="1" applyAlignment="1">
      <alignment horizontal="left"/>
    </xf>
    <xf numFmtId="0" fontId="3" fillId="0" borderId="33" xfId="7" applyFont="1" applyBorder="1" applyAlignment="1">
      <alignment horizontal="left"/>
    </xf>
    <xf numFmtId="0" fontId="3" fillId="0" borderId="34" xfId="7" applyFont="1" applyBorder="1" applyAlignment="1">
      <alignment horizontal="left"/>
    </xf>
    <xf numFmtId="0" fontId="3" fillId="0" borderId="32" xfId="7" applyFont="1" applyBorder="1" applyAlignment="1">
      <alignment horizontal="left" wrapText="1"/>
    </xf>
    <xf numFmtId="0" fontId="3" fillId="0" borderId="33" xfId="7" applyFont="1" applyBorder="1" applyAlignment="1">
      <alignment horizontal="left" wrapText="1"/>
    </xf>
    <xf numFmtId="0" fontId="3" fillId="0" borderId="34" xfId="7" applyFont="1" applyBorder="1" applyAlignment="1">
      <alignment horizontal="left" wrapText="1"/>
    </xf>
    <xf numFmtId="0" fontId="32" fillId="0" borderId="0" xfId="7" applyFont="1" applyAlignment="1">
      <alignment horizontal="center"/>
    </xf>
    <xf numFmtId="0" fontId="8" fillId="0" borderId="0" xfId="7" applyAlignment="1"/>
  </cellXfs>
  <cellStyles count="12">
    <cellStyle name="Comma 2" xfId="1"/>
    <cellStyle name="Comma 3" xfId="2"/>
    <cellStyle name="Comma 4" xfId="3"/>
    <cellStyle name="Currency 2" xfId="4"/>
    <cellStyle name="Currency 3" xfId="5"/>
    <cellStyle name="Normal" xfId="0" builtinId="0"/>
    <cellStyle name="Normal 2" xfId="6"/>
    <cellStyle name="Normal 3" xfId="7"/>
    <cellStyle name="Normal 4" xfId="8"/>
    <cellStyle name="Percent 2" xfId="9"/>
    <cellStyle name="Percent 3" xfId="10"/>
    <cellStyle name="Percent 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tabSelected="1" zoomScale="75" zoomScaleSheetLayoutView="75" workbookViewId="0">
      <selection sqref="A1:F1"/>
    </sheetView>
  </sheetViews>
  <sheetFormatPr defaultRowHeight="24" customHeight="1" x14ac:dyDescent="0.2"/>
  <cols>
    <col min="1" max="1" width="6.7109375" style="1" customWidth="1"/>
    <col min="2" max="2" width="67.7109375" style="1" customWidth="1"/>
    <col min="3" max="4" width="17.7109375" style="1" bestFit="1" customWidth="1"/>
    <col min="5" max="5" width="16.7109375" style="55" customWidth="1"/>
    <col min="6" max="6" width="17.7109375" style="55" customWidth="1"/>
    <col min="7" max="7" width="12.7109375" style="1" customWidth="1"/>
    <col min="8" max="16384" width="9.140625" style="1"/>
  </cols>
  <sheetData>
    <row r="1" spans="1:8" ht="24" customHeight="1" x14ac:dyDescent="0.25">
      <c r="A1" s="763" t="s">
        <v>0</v>
      </c>
      <c r="B1" s="764"/>
      <c r="C1" s="764"/>
      <c r="D1" s="764"/>
      <c r="E1" s="764"/>
      <c r="F1" s="765"/>
    </row>
    <row r="2" spans="1:8" ht="24" customHeight="1" x14ac:dyDescent="0.25">
      <c r="A2" s="763" t="s">
        <v>1</v>
      </c>
      <c r="B2" s="764"/>
      <c r="C2" s="764"/>
      <c r="D2" s="764"/>
      <c r="E2" s="764"/>
      <c r="F2" s="765"/>
    </row>
    <row r="3" spans="1:8" ht="24" customHeight="1" x14ac:dyDescent="0.25">
      <c r="A3" s="763" t="s">
        <v>2</v>
      </c>
      <c r="B3" s="764"/>
      <c r="C3" s="764"/>
      <c r="D3" s="764"/>
      <c r="E3" s="764"/>
      <c r="F3" s="765"/>
    </row>
    <row r="4" spans="1:8" ht="24" customHeight="1" x14ac:dyDescent="0.25">
      <c r="A4" s="763" t="s">
        <v>3</v>
      </c>
      <c r="B4" s="764"/>
      <c r="C4" s="764"/>
      <c r="D4" s="764"/>
      <c r="E4" s="764"/>
      <c r="F4" s="765"/>
    </row>
    <row r="5" spans="1:8" ht="15" customHeight="1" x14ac:dyDescent="0.25">
      <c r="A5" s="2"/>
      <c r="B5" s="2"/>
      <c r="C5" s="2"/>
      <c r="D5" s="2"/>
      <c r="E5" s="3"/>
      <c r="F5" s="4"/>
    </row>
    <row r="6" spans="1:8" s="6" customFormat="1" ht="15.75" customHeight="1" x14ac:dyDescent="0.25">
      <c r="A6" s="5">
        <v>-1</v>
      </c>
      <c r="B6" s="5">
        <v>-2</v>
      </c>
      <c r="C6" s="5">
        <v>-3</v>
      </c>
      <c r="D6" s="5">
        <v>-4</v>
      </c>
      <c r="E6" s="5">
        <v>-5</v>
      </c>
      <c r="F6" s="5">
        <v>-6</v>
      </c>
    </row>
    <row r="7" spans="1:8" s="6" customFormat="1" ht="15.75" customHeight="1" x14ac:dyDescent="0.25">
      <c r="A7" s="7"/>
      <c r="B7" s="8"/>
      <c r="C7" s="9" t="s">
        <v>4</v>
      </c>
      <c r="D7" s="9" t="s">
        <v>5</v>
      </c>
      <c r="E7" s="10" t="s">
        <v>6</v>
      </c>
      <c r="F7" s="10" t="s">
        <v>7</v>
      </c>
      <c r="H7" s="11"/>
    </row>
    <row r="8" spans="1:8" s="6" customFormat="1" ht="15.75" customHeight="1" x14ac:dyDescent="0.25">
      <c r="A8" s="12" t="s">
        <v>8</v>
      </c>
      <c r="B8" s="12" t="s">
        <v>9</v>
      </c>
      <c r="C8" s="13" t="s">
        <v>10</v>
      </c>
      <c r="D8" s="13" t="s">
        <v>10</v>
      </c>
      <c r="E8" s="14" t="s">
        <v>11</v>
      </c>
      <c r="F8" s="14" t="s">
        <v>11</v>
      </c>
    </row>
    <row r="9" spans="1:8" s="6" customFormat="1" ht="15.75" customHeight="1" x14ac:dyDescent="0.25">
      <c r="A9" s="12"/>
      <c r="B9" s="15"/>
      <c r="C9" s="12"/>
      <c r="D9" s="12"/>
      <c r="E9" s="10"/>
      <c r="F9" s="10"/>
    </row>
    <row r="10" spans="1:8" s="6" customFormat="1" ht="15.75" customHeight="1" x14ac:dyDescent="0.25">
      <c r="A10" s="16" t="s">
        <v>12</v>
      </c>
      <c r="B10" s="15" t="s">
        <v>13</v>
      </c>
      <c r="C10" s="17"/>
      <c r="D10" s="17"/>
      <c r="E10" s="16"/>
      <c r="F10" s="16"/>
    </row>
    <row r="11" spans="1:8" s="6" customFormat="1" ht="15.75" customHeight="1" x14ac:dyDescent="0.25">
      <c r="A11" s="16"/>
      <c r="B11" s="7"/>
      <c r="C11" s="16"/>
      <c r="D11" s="16"/>
      <c r="E11" s="18"/>
      <c r="F11" s="18"/>
    </row>
    <row r="12" spans="1:8" s="6" customFormat="1" ht="15.75" customHeight="1" x14ac:dyDescent="0.25">
      <c r="A12" s="19" t="s">
        <v>14</v>
      </c>
      <c r="B12" s="15" t="s">
        <v>15</v>
      </c>
      <c r="C12" s="16"/>
      <c r="D12" s="16"/>
      <c r="E12" s="16"/>
      <c r="F12" s="16"/>
    </row>
    <row r="13" spans="1:8" ht="24" customHeight="1" x14ac:dyDescent="0.2">
      <c r="A13" s="20">
        <v>1</v>
      </c>
      <c r="B13" s="21" t="s">
        <v>16</v>
      </c>
      <c r="C13" s="22">
        <v>0</v>
      </c>
      <c r="D13" s="22">
        <v>0</v>
      </c>
      <c r="E13" s="22">
        <f t="shared" ref="E13:E22" si="0">D13-C13</f>
        <v>0</v>
      </c>
      <c r="F13" s="23">
        <f t="shared" ref="F13:F22" si="1">IF(C13=0,0,E13/C13)</f>
        <v>0</v>
      </c>
    </row>
    <row r="14" spans="1:8" ht="24" customHeight="1" x14ac:dyDescent="0.2">
      <c r="A14" s="20">
        <v>2</v>
      </c>
      <c r="B14" s="21" t="s">
        <v>17</v>
      </c>
      <c r="C14" s="22">
        <v>0</v>
      </c>
      <c r="D14" s="22">
        <v>0</v>
      </c>
      <c r="E14" s="22">
        <f t="shared" si="0"/>
        <v>0</v>
      </c>
      <c r="F14" s="23">
        <f t="shared" si="1"/>
        <v>0</v>
      </c>
    </row>
    <row r="15" spans="1:8" ht="24" customHeight="1" x14ac:dyDescent="0.2">
      <c r="A15" s="20">
        <v>3</v>
      </c>
      <c r="B15" s="21" t="s">
        <v>18</v>
      </c>
      <c r="C15" s="22">
        <v>7018848</v>
      </c>
      <c r="D15" s="22">
        <v>6272473</v>
      </c>
      <c r="E15" s="22">
        <f t="shared" si="0"/>
        <v>-746375</v>
      </c>
      <c r="F15" s="23">
        <f t="shared" si="1"/>
        <v>-0.10633867552054126</v>
      </c>
    </row>
    <row r="16" spans="1:8" ht="24" customHeight="1" x14ac:dyDescent="0.2">
      <c r="A16" s="20">
        <v>4</v>
      </c>
      <c r="B16" s="21" t="s">
        <v>19</v>
      </c>
      <c r="C16" s="22">
        <v>0</v>
      </c>
      <c r="D16" s="22">
        <v>0</v>
      </c>
      <c r="E16" s="22">
        <f t="shared" si="0"/>
        <v>0</v>
      </c>
      <c r="F16" s="23">
        <f t="shared" si="1"/>
        <v>0</v>
      </c>
    </row>
    <row r="17" spans="1:11" ht="24" customHeight="1" x14ac:dyDescent="0.2">
      <c r="A17" s="20">
        <v>5</v>
      </c>
      <c r="B17" s="21" t="s">
        <v>20</v>
      </c>
      <c r="C17" s="22">
        <v>0</v>
      </c>
      <c r="D17" s="22">
        <v>0</v>
      </c>
      <c r="E17" s="22">
        <f t="shared" si="0"/>
        <v>0</v>
      </c>
      <c r="F17" s="23">
        <f t="shared" si="1"/>
        <v>0</v>
      </c>
    </row>
    <row r="18" spans="1:11" ht="24" customHeight="1" x14ac:dyDescent="0.2">
      <c r="A18" s="20">
        <v>6</v>
      </c>
      <c r="B18" s="21" t="s">
        <v>21</v>
      </c>
      <c r="C18" s="22">
        <v>0</v>
      </c>
      <c r="D18" s="22">
        <v>137029</v>
      </c>
      <c r="E18" s="22">
        <f t="shared" si="0"/>
        <v>137029</v>
      </c>
      <c r="F18" s="23">
        <f t="shared" si="1"/>
        <v>0</v>
      </c>
    </row>
    <row r="19" spans="1:11" ht="24" customHeight="1" x14ac:dyDescent="0.2">
      <c r="A19" s="20">
        <v>7</v>
      </c>
      <c r="B19" s="21" t="s">
        <v>22</v>
      </c>
      <c r="C19" s="22">
        <v>1238168</v>
      </c>
      <c r="D19" s="22">
        <v>1159614</v>
      </c>
      <c r="E19" s="22">
        <f t="shared" si="0"/>
        <v>-78554</v>
      </c>
      <c r="F19" s="23">
        <f t="shared" si="1"/>
        <v>-6.3443732999076061E-2</v>
      </c>
    </row>
    <row r="20" spans="1:11" ht="24" customHeight="1" x14ac:dyDescent="0.2">
      <c r="A20" s="20">
        <v>8</v>
      </c>
      <c r="B20" s="21" t="s">
        <v>23</v>
      </c>
      <c r="C20" s="22">
        <v>1722975</v>
      </c>
      <c r="D20" s="22">
        <v>952893</v>
      </c>
      <c r="E20" s="22">
        <f t="shared" si="0"/>
        <v>-770082</v>
      </c>
      <c r="F20" s="23">
        <f t="shared" si="1"/>
        <v>-0.44694902711879164</v>
      </c>
    </row>
    <row r="21" spans="1:11" ht="24" customHeight="1" x14ac:dyDescent="0.2">
      <c r="A21" s="20">
        <v>9</v>
      </c>
      <c r="B21" s="21" t="s">
        <v>24</v>
      </c>
      <c r="C21" s="22">
        <v>1179591</v>
      </c>
      <c r="D21" s="22">
        <v>1484938</v>
      </c>
      <c r="E21" s="22">
        <f t="shared" si="0"/>
        <v>305347</v>
      </c>
      <c r="F21" s="23">
        <f t="shared" si="1"/>
        <v>0.25885836701026033</v>
      </c>
    </row>
    <row r="22" spans="1:11" ht="24" customHeight="1" x14ac:dyDescent="0.25">
      <c r="A22" s="24"/>
      <c r="B22" s="25" t="s">
        <v>25</v>
      </c>
      <c r="C22" s="26">
        <f>SUM(C13:C21)</f>
        <v>11159582</v>
      </c>
      <c r="D22" s="26">
        <f>SUM(D13:D21)</f>
        <v>10006947</v>
      </c>
      <c r="E22" s="26">
        <f t="shared" si="0"/>
        <v>-1152635</v>
      </c>
      <c r="F22" s="27">
        <f t="shared" si="1"/>
        <v>-0.10328657471220697</v>
      </c>
    </row>
    <row r="23" spans="1:11" ht="15" customHeight="1" x14ac:dyDescent="0.2">
      <c r="A23" s="20"/>
      <c r="B23" s="4"/>
      <c r="C23" s="28"/>
      <c r="D23" s="28"/>
      <c r="E23" s="28"/>
      <c r="F23" s="23"/>
    </row>
    <row r="24" spans="1:11" ht="24" customHeight="1" x14ac:dyDescent="0.25">
      <c r="A24" s="29" t="s">
        <v>26</v>
      </c>
      <c r="B24" s="30" t="s">
        <v>27</v>
      </c>
      <c r="C24" s="31"/>
      <c r="D24" s="31"/>
      <c r="E24" s="31"/>
      <c r="F24" s="4"/>
    </row>
    <row r="25" spans="1:11" ht="24" customHeight="1" x14ac:dyDescent="0.2">
      <c r="A25" s="20">
        <v>1</v>
      </c>
      <c r="B25" s="21" t="s">
        <v>28</v>
      </c>
      <c r="C25" s="22">
        <v>0</v>
      </c>
      <c r="D25" s="22">
        <v>0</v>
      </c>
      <c r="E25" s="22">
        <f>D25-C25</f>
        <v>0</v>
      </c>
      <c r="F25" s="23">
        <f>IF(C25=0,0,E25/C25)</f>
        <v>0</v>
      </c>
      <c r="H25" s="32"/>
      <c r="I25" s="33"/>
      <c r="J25" s="33"/>
      <c r="K25" s="34"/>
    </row>
    <row r="26" spans="1:11" ht="24" customHeight="1" x14ac:dyDescent="0.2">
      <c r="A26" s="20">
        <v>2</v>
      </c>
      <c r="B26" s="21" t="s">
        <v>29</v>
      </c>
      <c r="C26" s="22">
        <v>0</v>
      </c>
      <c r="D26" s="22">
        <v>0</v>
      </c>
      <c r="E26" s="22">
        <f>D26-C26</f>
        <v>0</v>
      </c>
      <c r="F26" s="23">
        <f>IF(C26=0,0,E26/C26)</f>
        <v>0</v>
      </c>
      <c r="H26" s="32"/>
      <c r="I26" s="33"/>
      <c r="J26" s="33"/>
      <c r="K26" s="34"/>
    </row>
    <row r="27" spans="1:11" ht="24" customHeight="1" x14ac:dyDescent="0.2">
      <c r="A27" s="20">
        <v>3</v>
      </c>
      <c r="B27" s="21" t="s">
        <v>30</v>
      </c>
      <c r="C27" s="22">
        <v>0</v>
      </c>
      <c r="D27" s="22">
        <v>0</v>
      </c>
      <c r="E27" s="22">
        <f>D27-C27</f>
        <v>0</v>
      </c>
      <c r="F27" s="23">
        <f>IF(C27=0,0,E27/C27)</f>
        <v>0</v>
      </c>
    </row>
    <row r="28" spans="1:11" ht="24" customHeight="1" x14ac:dyDescent="0.2">
      <c r="A28" s="20">
        <v>4</v>
      </c>
      <c r="B28" s="21" t="s">
        <v>31</v>
      </c>
      <c r="C28" s="22">
        <v>0</v>
      </c>
      <c r="D28" s="22">
        <v>0</v>
      </c>
      <c r="E28" s="22">
        <f>D28-C28</f>
        <v>0</v>
      </c>
      <c r="F28" s="23">
        <f>IF(C28=0,0,E28/C28)</f>
        <v>0</v>
      </c>
    </row>
    <row r="29" spans="1:11" ht="24" customHeight="1" x14ac:dyDescent="0.25">
      <c r="A29" s="24"/>
      <c r="B29" s="25" t="s">
        <v>32</v>
      </c>
      <c r="C29" s="26">
        <f>SUM(C25:C28)</f>
        <v>0</v>
      </c>
      <c r="D29" s="26">
        <f>SUM(D25:D28)</f>
        <v>0</v>
      </c>
      <c r="E29" s="26">
        <f>D29-C29</f>
        <v>0</v>
      </c>
      <c r="F29" s="27">
        <f>IF(C29=0,0,E29/C29)</f>
        <v>0</v>
      </c>
    </row>
    <row r="30" spans="1:11" ht="15" customHeight="1" x14ac:dyDescent="0.2">
      <c r="A30" s="20"/>
      <c r="B30" s="4"/>
      <c r="C30" s="28"/>
      <c r="D30" s="28"/>
      <c r="E30" s="28"/>
      <c r="F30" s="23"/>
    </row>
    <row r="31" spans="1:11" ht="15" customHeight="1" x14ac:dyDescent="0.2">
      <c r="A31" s="20">
        <v>5</v>
      </c>
      <c r="B31" s="21" t="s">
        <v>33</v>
      </c>
      <c r="C31" s="22">
        <v>0</v>
      </c>
      <c r="D31" s="22">
        <v>0</v>
      </c>
      <c r="E31" s="22">
        <f>D31-C31</f>
        <v>0</v>
      </c>
      <c r="F31" s="23">
        <f>IF(C31=0,0,E31/C31)</f>
        <v>0</v>
      </c>
    </row>
    <row r="32" spans="1:11" ht="24" customHeight="1" x14ac:dyDescent="0.2">
      <c r="A32" s="20">
        <v>6</v>
      </c>
      <c r="B32" s="21" t="s">
        <v>34</v>
      </c>
      <c r="C32" s="22">
        <v>0</v>
      </c>
      <c r="D32" s="22">
        <v>0</v>
      </c>
      <c r="E32" s="22">
        <f>D32-C32</f>
        <v>0</v>
      </c>
      <c r="F32" s="23">
        <f>IF(C32=0,0,E32/C32)</f>
        <v>0</v>
      </c>
    </row>
    <row r="33" spans="1:8" ht="24" customHeight="1" x14ac:dyDescent="0.2">
      <c r="A33" s="20">
        <v>7</v>
      </c>
      <c r="B33" s="21" t="s">
        <v>35</v>
      </c>
      <c r="C33" s="22">
        <v>523669</v>
      </c>
      <c r="D33" s="22">
        <v>707178</v>
      </c>
      <c r="E33" s="22">
        <f>D33-C33</f>
        <v>183509</v>
      </c>
      <c r="F33" s="23">
        <f>IF(C33=0,0,E33/C33)</f>
        <v>0.35042937428031828</v>
      </c>
    </row>
    <row r="34" spans="1:8" ht="15" customHeight="1" x14ac:dyDescent="0.2">
      <c r="A34" s="20"/>
      <c r="B34" s="4"/>
      <c r="C34" s="28"/>
      <c r="D34" s="28"/>
      <c r="E34" s="28"/>
      <c r="F34" s="23"/>
    </row>
    <row r="35" spans="1:8" ht="24" customHeight="1" x14ac:dyDescent="0.25">
      <c r="A35" s="29" t="s">
        <v>36</v>
      </c>
      <c r="B35" s="30" t="s">
        <v>37</v>
      </c>
      <c r="C35" s="28"/>
      <c r="D35" s="28"/>
      <c r="E35" s="28"/>
      <c r="F35" s="23"/>
    </row>
    <row r="36" spans="1:8" ht="24" customHeight="1" x14ac:dyDescent="0.2">
      <c r="A36" s="20">
        <v>1</v>
      </c>
      <c r="B36" s="21" t="s">
        <v>38</v>
      </c>
      <c r="C36" s="22">
        <v>62971937</v>
      </c>
      <c r="D36" s="22">
        <v>64190748</v>
      </c>
      <c r="E36" s="22">
        <f>D36-C36</f>
        <v>1218811</v>
      </c>
      <c r="F36" s="23">
        <f>IF(C36=0,0,E36/C36)</f>
        <v>1.9354827849745196E-2</v>
      </c>
    </row>
    <row r="37" spans="1:8" ht="24" customHeight="1" x14ac:dyDescent="0.2">
      <c r="A37" s="20">
        <v>2</v>
      </c>
      <c r="B37" s="21" t="s">
        <v>39</v>
      </c>
      <c r="C37" s="22">
        <v>28550693</v>
      </c>
      <c r="D37" s="22">
        <v>31083584</v>
      </c>
      <c r="E37" s="22">
        <f>D37-C37</f>
        <v>2532891</v>
      </c>
      <c r="F37" s="23">
        <f>IF(C37=0,0,E37/C37)</f>
        <v>8.8715569881263473E-2</v>
      </c>
    </row>
    <row r="38" spans="1:8" ht="24" customHeight="1" x14ac:dyDescent="0.25">
      <c r="A38" s="24"/>
      <c r="B38" s="25" t="s">
        <v>40</v>
      </c>
      <c r="C38" s="26">
        <f>C36-C37</f>
        <v>34421244</v>
      </c>
      <c r="D38" s="26">
        <f>D36-D37</f>
        <v>33107164</v>
      </c>
      <c r="E38" s="26">
        <f>D38-C38</f>
        <v>-1314080</v>
      </c>
      <c r="F38" s="27">
        <f>IF(C38=0,0,E38/C38)</f>
        <v>-3.8176423838720067E-2</v>
      </c>
    </row>
    <row r="39" spans="1:8" ht="15" customHeight="1" x14ac:dyDescent="0.2">
      <c r="A39" s="20"/>
      <c r="B39" s="4"/>
      <c r="C39" s="28"/>
      <c r="D39" s="28"/>
      <c r="E39" s="28"/>
      <c r="F39" s="23"/>
    </row>
    <row r="40" spans="1:8" ht="24" customHeight="1" x14ac:dyDescent="0.2">
      <c r="A40" s="20">
        <v>3</v>
      </c>
      <c r="B40" s="21" t="s">
        <v>41</v>
      </c>
      <c r="C40" s="22">
        <v>0</v>
      </c>
      <c r="D40" s="22">
        <v>0</v>
      </c>
      <c r="E40" s="22">
        <f>D40-C40</f>
        <v>0</v>
      </c>
      <c r="F40" s="23">
        <f>IF(C40=0,0,E40/C40)</f>
        <v>0</v>
      </c>
    </row>
    <row r="41" spans="1:8" ht="24" customHeight="1" x14ac:dyDescent="0.25">
      <c r="A41" s="24"/>
      <c r="B41" s="25" t="s">
        <v>42</v>
      </c>
      <c r="C41" s="26">
        <f>+C38+C40</f>
        <v>34421244</v>
      </c>
      <c r="D41" s="26">
        <f>+D38+D40</f>
        <v>33107164</v>
      </c>
      <c r="E41" s="26">
        <f>D41-C41</f>
        <v>-1314080</v>
      </c>
      <c r="F41" s="27">
        <f>IF(C41=0,0,E41/C41)</f>
        <v>-3.8176423838720067E-2</v>
      </c>
    </row>
    <row r="42" spans="1:8" ht="24" customHeight="1" x14ac:dyDescent="0.2">
      <c r="A42" s="20"/>
      <c r="B42" s="21"/>
      <c r="C42" s="28"/>
      <c r="D42" s="28"/>
      <c r="E42" s="28"/>
      <c r="F42" s="23"/>
    </row>
    <row r="43" spans="1:8" ht="24" customHeight="1" x14ac:dyDescent="0.25">
      <c r="A43" s="24"/>
      <c r="B43" s="25" t="s">
        <v>43</v>
      </c>
      <c r="C43" s="26">
        <f>C22+C29+C31+C32+C33+C41</f>
        <v>46104495</v>
      </c>
      <c r="D43" s="26">
        <f>D22+D29+D31+D32+D33+D41</f>
        <v>43821289</v>
      </c>
      <c r="E43" s="26">
        <f>D43-C43</f>
        <v>-2283206</v>
      </c>
      <c r="F43" s="27">
        <f>IF(C43=0,0,E43/C43)</f>
        <v>-4.952241641514564E-2</v>
      </c>
    </row>
    <row r="44" spans="1:8" ht="15.75" customHeight="1" x14ac:dyDescent="0.25">
      <c r="A44" s="35"/>
      <c r="B44" s="2"/>
      <c r="C44" s="36"/>
      <c r="D44" s="36"/>
      <c r="E44" s="37"/>
      <c r="F44" s="4"/>
    </row>
    <row r="45" spans="1:8" s="6" customFormat="1" ht="15.75" customHeight="1" x14ac:dyDescent="0.25">
      <c r="A45" s="12"/>
      <c r="B45" s="15"/>
      <c r="C45" s="38"/>
      <c r="D45" s="38"/>
      <c r="E45" s="38"/>
      <c r="F45" s="12"/>
      <c r="H45" s="11"/>
    </row>
    <row r="46" spans="1:8" s="6" customFormat="1" ht="15.75" customHeight="1" x14ac:dyDescent="0.25">
      <c r="A46" s="16" t="s">
        <v>44</v>
      </c>
      <c r="B46" s="15" t="s">
        <v>45</v>
      </c>
      <c r="C46" s="39"/>
      <c r="D46" s="39"/>
      <c r="E46" s="40"/>
      <c r="F46" s="16"/>
    </row>
    <row r="47" spans="1:8" ht="16.5" customHeight="1" x14ac:dyDescent="0.25">
      <c r="A47" s="16"/>
      <c r="B47" s="7"/>
      <c r="C47" s="39"/>
      <c r="D47" s="39"/>
      <c r="E47" s="40"/>
      <c r="F47" s="16"/>
    </row>
    <row r="48" spans="1:8" ht="15.75" customHeight="1" x14ac:dyDescent="0.25">
      <c r="A48" s="29" t="s">
        <v>14</v>
      </c>
      <c r="B48" s="41" t="s">
        <v>46</v>
      </c>
      <c r="C48" s="28"/>
      <c r="D48" s="28"/>
      <c r="E48" s="28"/>
      <c r="F48" s="23"/>
    </row>
    <row r="49" spans="1:6" ht="24" customHeight="1" x14ac:dyDescent="0.2">
      <c r="A49" s="20">
        <v>1</v>
      </c>
      <c r="B49" s="21" t="s">
        <v>47</v>
      </c>
      <c r="C49" s="22">
        <v>1553296</v>
      </c>
      <c r="D49" s="22">
        <v>1693632</v>
      </c>
      <c r="E49" s="22">
        <f t="shared" ref="E49:E56" si="2">D49-C49</f>
        <v>140336</v>
      </c>
      <c r="F49" s="23">
        <f t="shared" ref="F49:F56" si="3">IF(C49=0,0,E49/C49)</f>
        <v>9.0347235813392934E-2</v>
      </c>
    </row>
    <row r="50" spans="1:6" ht="24" customHeight="1" x14ac:dyDescent="0.2">
      <c r="A50" s="20">
        <f t="shared" ref="A50:A55" si="4">1+A49</f>
        <v>2</v>
      </c>
      <c r="B50" s="21" t="s">
        <v>48</v>
      </c>
      <c r="C50" s="22">
        <v>3501910</v>
      </c>
      <c r="D50" s="22">
        <v>2929986</v>
      </c>
      <c r="E50" s="22">
        <f t="shared" si="2"/>
        <v>-571924</v>
      </c>
      <c r="F50" s="23">
        <f t="shared" si="3"/>
        <v>-0.16331773232321789</v>
      </c>
    </row>
    <row r="51" spans="1:6" ht="24" customHeight="1" x14ac:dyDescent="0.2">
      <c r="A51" s="20">
        <f t="shared" si="4"/>
        <v>3</v>
      </c>
      <c r="B51" s="21" t="s">
        <v>49</v>
      </c>
      <c r="C51" s="22">
        <v>291175</v>
      </c>
      <c r="D51" s="22">
        <v>0</v>
      </c>
      <c r="E51" s="22">
        <f t="shared" si="2"/>
        <v>-291175</v>
      </c>
      <c r="F51" s="23">
        <f t="shared" si="3"/>
        <v>-1</v>
      </c>
    </row>
    <row r="52" spans="1:6" ht="24" customHeight="1" x14ac:dyDescent="0.2">
      <c r="A52" s="20">
        <f t="shared" si="4"/>
        <v>4</v>
      </c>
      <c r="B52" s="21" t="s">
        <v>50</v>
      </c>
      <c r="C52" s="22">
        <v>0</v>
      </c>
      <c r="D52" s="22">
        <v>0</v>
      </c>
      <c r="E52" s="22">
        <f t="shared" si="2"/>
        <v>0</v>
      </c>
      <c r="F52" s="23">
        <f t="shared" si="3"/>
        <v>0</v>
      </c>
    </row>
    <row r="53" spans="1:6" ht="24" customHeight="1" x14ac:dyDescent="0.2">
      <c r="A53" s="20">
        <f t="shared" si="4"/>
        <v>5</v>
      </c>
      <c r="B53" s="21" t="s">
        <v>51</v>
      </c>
      <c r="C53" s="22">
        <v>0</v>
      </c>
      <c r="D53" s="22">
        <v>0</v>
      </c>
      <c r="E53" s="22">
        <f t="shared" si="2"/>
        <v>0</v>
      </c>
      <c r="F53" s="23">
        <f t="shared" si="3"/>
        <v>0</v>
      </c>
    </row>
    <row r="54" spans="1:6" ht="24" customHeight="1" x14ac:dyDescent="0.2">
      <c r="A54" s="20">
        <f t="shared" si="4"/>
        <v>6</v>
      </c>
      <c r="B54" s="21" t="s">
        <v>52</v>
      </c>
      <c r="C54" s="22">
        <v>54591</v>
      </c>
      <c r="D54" s="22">
        <v>165055</v>
      </c>
      <c r="E54" s="22">
        <f t="shared" si="2"/>
        <v>110464</v>
      </c>
      <c r="F54" s="23">
        <f t="shared" si="3"/>
        <v>2.0234837244234396</v>
      </c>
    </row>
    <row r="55" spans="1:6" ht="24" customHeight="1" x14ac:dyDescent="0.2">
      <c r="A55" s="20">
        <f t="shared" si="4"/>
        <v>7</v>
      </c>
      <c r="B55" s="21" t="s">
        <v>53</v>
      </c>
      <c r="C55" s="22">
        <v>0</v>
      </c>
      <c r="D55" s="22">
        <v>0</v>
      </c>
      <c r="E55" s="22">
        <f t="shared" si="2"/>
        <v>0</v>
      </c>
      <c r="F55" s="23">
        <f t="shared" si="3"/>
        <v>0</v>
      </c>
    </row>
    <row r="56" spans="1:6" ht="24" customHeight="1" x14ac:dyDescent="0.25">
      <c r="A56" s="24"/>
      <c r="B56" s="25" t="s">
        <v>54</v>
      </c>
      <c r="C56" s="26">
        <f>SUM(C49:C55)</f>
        <v>5400972</v>
      </c>
      <c r="D56" s="26">
        <f>SUM(D49:D55)</f>
        <v>4788673</v>
      </c>
      <c r="E56" s="26">
        <f t="shared" si="2"/>
        <v>-612299</v>
      </c>
      <c r="F56" s="27">
        <f t="shared" si="3"/>
        <v>-0.11336829741016988</v>
      </c>
    </row>
    <row r="57" spans="1:6" ht="24" customHeight="1" x14ac:dyDescent="0.25">
      <c r="A57" s="20"/>
      <c r="B57" s="25"/>
      <c r="C57" s="42"/>
      <c r="D57" s="42"/>
      <c r="E57" s="42"/>
      <c r="F57" s="27"/>
    </row>
    <row r="58" spans="1:6" ht="15.75" customHeight="1" x14ac:dyDescent="0.25">
      <c r="A58" s="29" t="s">
        <v>26</v>
      </c>
      <c r="B58" s="41" t="s">
        <v>55</v>
      </c>
      <c r="C58" s="28"/>
      <c r="D58" s="28"/>
      <c r="E58" s="28"/>
      <c r="F58" s="23"/>
    </row>
    <row r="59" spans="1:6" ht="24" customHeight="1" x14ac:dyDescent="0.2">
      <c r="A59" s="20">
        <v>1</v>
      </c>
      <c r="B59" s="21" t="s">
        <v>56</v>
      </c>
      <c r="C59" s="22">
        <v>0</v>
      </c>
      <c r="D59" s="22">
        <v>0</v>
      </c>
      <c r="E59" s="22">
        <f>D59-C59</f>
        <v>0</v>
      </c>
      <c r="F59" s="23">
        <f>IF(C59=0,0,E59/C59)</f>
        <v>0</v>
      </c>
    </row>
    <row r="60" spans="1:6" ht="24" customHeight="1" x14ac:dyDescent="0.2">
      <c r="A60" s="20">
        <v>2</v>
      </c>
      <c r="B60" s="21" t="s">
        <v>57</v>
      </c>
      <c r="C60" s="22">
        <v>8826637</v>
      </c>
      <c r="D60" s="22">
        <v>4264339</v>
      </c>
      <c r="E60" s="22">
        <f>D60-C60</f>
        <v>-4562298</v>
      </c>
      <c r="F60" s="23">
        <f>IF(C60=0,0,E60/C60)</f>
        <v>-0.51687839887377263</v>
      </c>
    </row>
    <row r="61" spans="1:6" ht="24" customHeight="1" x14ac:dyDescent="0.25">
      <c r="A61" s="24"/>
      <c r="B61" s="25" t="s">
        <v>58</v>
      </c>
      <c r="C61" s="26">
        <f>SUM(C59:C60)</f>
        <v>8826637</v>
      </c>
      <c r="D61" s="26">
        <f>SUM(D59:D60)</f>
        <v>4264339</v>
      </c>
      <c r="E61" s="26">
        <f>D61-C61</f>
        <v>-4562298</v>
      </c>
      <c r="F61" s="27">
        <f>IF(C61=0,0,E61/C61)</f>
        <v>-0.51687839887377263</v>
      </c>
    </row>
    <row r="62" spans="1:6" ht="15" customHeight="1" x14ac:dyDescent="0.2">
      <c r="A62" s="20"/>
      <c r="B62" s="4"/>
      <c r="C62" s="28"/>
      <c r="D62" s="28"/>
      <c r="E62" s="28"/>
      <c r="F62" s="23"/>
    </row>
    <row r="63" spans="1:6" ht="24" customHeight="1" x14ac:dyDescent="0.2">
      <c r="A63" s="20">
        <v>3</v>
      </c>
      <c r="B63" s="21" t="s">
        <v>59</v>
      </c>
      <c r="C63" s="22">
        <v>1268000</v>
      </c>
      <c r="D63" s="22">
        <v>1450000</v>
      </c>
      <c r="E63" s="22">
        <f>D63-C63</f>
        <v>182000</v>
      </c>
      <c r="F63" s="23">
        <f>IF(C63=0,0,E63/C63)</f>
        <v>0.14353312302839116</v>
      </c>
    </row>
    <row r="64" spans="1:6" ht="24" customHeight="1" x14ac:dyDescent="0.2">
      <c r="A64" s="20">
        <v>4</v>
      </c>
      <c r="B64" s="21" t="s">
        <v>60</v>
      </c>
      <c r="C64" s="22">
        <v>554304</v>
      </c>
      <c r="D64" s="22">
        <v>508824</v>
      </c>
      <c r="E64" s="22">
        <f>D64-C64</f>
        <v>-45480</v>
      </c>
      <c r="F64" s="23">
        <f>IF(C64=0,0,E64/C64)</f>
        <v>-8.2048839625909253E-2</v>
      </c>
    </row>
    <row r="65" spans="1:6" ht="24" customHeight="1" x14ac:dyDescent="0.25">
      <c r="A65" s="24"/>
      <c r="B65" s="25" t="s">
        <v>61</v>
      </c>
      <c r="C65" s="26">
        <f>SUM(C61:C64)</f>
        <v>10648941</v>
      </c>
      <c r="D65" s="26">
        <f>SUM(D61:D64)</f>
        <v>6223163</v>
      </c>
      <c r="E65" s="26">
        <f>D65-C65</f>
        <v>-4425778</v>
      </c>
      <c r="F65" s="27">
        <f>IF(C65=0,0,E65/C65)</f>
        <v>-0.41560733597829119</v>
      </c>
    </row>
    <row r="66" spans="1:6" ht="24" customHeight="1" x14ac:dyDescent="0.2">
      <c r="B66" s="4"/>
      <c r="C66" s="28"/>
      <c r="D66" s="28"/>
      <c r="E66" s="28"/>
      <c r="F66" s="23"/>
    </row>
    <row r="67" spans="1:6" s="46" customFormat="1" ht="15" customHeight="1" x14ac:dyDescent="0.2">
      <c r="A67" s="43">
        <v>5</v>
      </c>
      <c r="B67" s="44" t="s">
        <v>62</v>
      </c>
      <c r="C67" s="22">
        <v>0</v>
      </c>
      <c r="D67" s="22">
        <v>0</v>
      </c>
      <c r="E67" s="22">
        <f>D67-C67</f>
        <v>0</v>
      </c>
      <c r="F67" s="45">
        <f>IF(C67=0,0,E67/C67)</f>
        <v>0</v>
      </c>
    </row>
    <row r="68" spans="1:6" ht="15" customHeight="1" x14ac:dyDescent="0.2">
      <c r="B68" s="4"/>
      <c r="C68" s="28"/>
      <c r="D68" s="28"/>
      <c r="E68" s="28"/>
      <c r="F68" s="23"/>
    </row>
    <row r="69" spans="1:6" ht="15.75" customHeight="1" x14ac:dyDescent="0.25">
      <c r="A69" s="29" t="s">
        <v>36</v>
      </c>
      <c r="B69" s="41" t="s">
        <v>63</v>
      </c>
      <c r="C69" s="28"/>
      <c r="D69" s="28"/>
      <c r="E69" s="28"/>
      <c r="F69" s="23"/>
    </row>
    <row r="70" spans="1:6" ht="24" customHeight="1" x14ac:dyDescent="0.2">
      <c r="A70" s="20">
        <v>1</v>
      </c>
      <c r="B70" s="21" t="s">
        <v>64</v>
      </c>
      <c r="C70" s="22">
        <v>30054582</v>
      </c>
      <c r="D70" s="22">
        <v>32809453</v>
      </c>
      <c r="E70" s="22">
        <f>D70-C70</f>
        <v>2754871</v>
      </c>
      <c r="F70" s="23">
        <f>IF(C70=0,0,E70/C70)</f>
        <v>9.166226301200929E-2</v>
      </c>
    </row>
    <row r="71" spans="1:6" ht="24" customHeight="1" x14ac:dyDescent="0.2">
      <c r="A71" s="20">
        <v>2</v>
      </c>
      <c r="B71" s="21" t="s">
        <v>65</v>
      </c>
      <c r="C71" s="22">
        <v>0</v>
      </c>
      <c r="D71" s="22">
        <v>0</v>
      </c>
      <c r="E71" s="22">
        <f>D71-C71</f>
        <v>0</v>
      </c>
      <c r="F71" s="23">
        <f>IF(C71=0,0,E71/C71)</f>
        <v>0</v>
      </c>
    </row>
    <row r="72" spans="1:6" ht="24" customHeight="1" x14ac:dyDescent="0.2">
      <c r="A72" s="20">
        <v>3</v>
      </c>
      <c r="B72" s="21" t="s">
        <v>66</v>
      </c>
      <c r="C72" s="22">
        <v>0</v>
      </c>
      <c r="D72" s="22">
        <v>0</v>
      </c>
      <c r="E72" s="22">
        <f>D72-C72</f>
        <v>0</v>
      </c>
      <c r="F72" s="23">
        <f>IF(C72=0,0,E72/C72)</f>
        <v>0</v>
      </c>
    </row>
    <row r="73" spans="1:6" ht="24" customHeight="1" x14ac:dyDescent="0.25">
      <c r="A73" s="20"/>
      <c r="B73" s="25" t="s">
        <v>67</v>
      </c>
      <c r="C73" s="26">
        <f>SUM(C70:C72)</f>
        <v>30054582</v>
      </c>
      <c r="D73" s="26">
        <f>SUM(D70:D72)</f>
        <v>32809453</v>
      </c>
      <c r="E73" s="26">
        <f>D73-C73</f>
        <v>2754871</v>
      </c>
      <c r="F73" s="27">
        <f>IF(C73=0,0,E73/C73)</f>
        <v>9.166226301200929E-2</v>
      </c>
    </row>
    <row r="74" spans="1:6" ht="24" customHeight="1" x14ac:dyDescent="0.25">
      <c r="B74" s="25"/>
      <c r="C74" s="28"/>
      <c r="D74" s="28"/>
      <c r="E74" s="28"/>
      <c r="F74" s="23"/>
    </row>
    <row r="75" spans="1:6" ht="15.75" customHeight="1" x14ac:dyDescent="0.25">
      <c r="A75" s="20"/>
      <c r="B75" s="25" t="s">
        <v>68</v>
      </c>
      <c r="C75" s="26">
        <f>C56+C65+C67+C73</f>
        <v>46104495</v>
      </c>
      <c r="D75" s="26">
        <f>D56+D65+D67+D73</f>
        <v>43821289</v>
      </c>
      <c r="E75" s="26">
        <f>D75-C75</f>
        <v>-2283206</v>
      </c>
      <c r="F75" s="27">
        <f>IF(C75=0,0,E75/C75)</f>
        <v>-4.952241641514564E-2</v>
      </c>
    </row>
    <row r="76" spans="1:6" ht="24" customHeight="1" x14ac:dyDescent="0.25">
      <c r="B76" s="25"/>
      <c r="C76" s="42"/>
      <c r="D76" s="42"/>
      <c r="E76" s="42"/>
      <c r="F76" s="27"/>
    </row>
    <row r="77" spans="1:6" ht="24" customHeight="1" x14ac:dyDescent="0.25">
      <c r="A77" s="29"/>
      <c r="B77" s="47"/>
      <c r="C77" s="26"/>
      <c r="D77" s="26"/>
      <c r="E77" s="26"/>
      <c r="F77" s="27"/>
    </row>
    <row r="78" spans="1:6" ht="24" customHeight="1" x14ac:dyDescent="0.25">
      <c r="A78" s="20"/>
      <c r="B78" s="48"/>
      <c r="C78" s="49"/>
      <c r="D78" s="49"/>
      <c r="E78" s="49"/>
      <c r="F78" s="27"/>
    </row>
    <row r="79" spans="1:6" ht="47.25" customHeight="1" x14ac:dyDescent="0.25">
      <c r="A79" s="20"/>
      <c r="B79" s="50"/>
      <c r="C79" s="51"/>
      <c r="D79" s="51"/>
      <c r="E79" s="52"/>
      <c r="F79" s="27"/>
    </row>
    <row r="80" spans="1:6" ht="24" customHeight="1" x14ac:dyDescent="0.25">
      <c r="A80" s="20"/>
      <c r="B80" s="25"/>
      <c r="C80" s="26"/>
      <c r="D80" s="26"/>
      <c r="E80" s="53"/>
      <c r="F80" s="27"/>
    </row>
    <row r="81" spans="1:6" ht="24" customHeight="1" x14ac:dyDescent="0.25">
      <c r="A81" s="20"/>
      <c r="B81" s="25"/>
      <c r="C81" s="26"/>
      <c r="D81" s="26"/>
      <c r="E81" s="53"/>
      <c r="F81" s="27"/>
    </row>
    <row r="82" spans="1:6" ht="24" customHeight="1" x14ac:dyDescent="0.2">
      <c r="A82" s="20"/>
      <c r="B82" s="20"/>
      <c r="C82" s="54"/>
      <c r="D82" s="4"/>
      <c r="E82" s="4"/>
      <c r="F82" s="4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6"/>
      <c r="H100" s="11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6"/>
      <c r="H118" s="11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6"/>
      <c r="H128" s="11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68" fitToHeight="0" orientation="portrait" horizontalDpi="1200" verticalDpi="1200" r:id="rId1"/>
  <headerFooter>
    <oddHeader>&amp;LOFFICE OF HEALTH CARE ACCESS&amp;CTWELVE MONTHS ACTUAL FILING&amp;RESSENT-SHARON HOSPITAL</oddHeader>
    <oddFooter>&amp;LREPORT 100&amp;CPAGE &amp;P of &amp;N&amp;R&amp;D, &amp;T</oddFooter>
  </headerFooter>
  <rowBreaks count="1" manualBreakCount="1">
    <brk id="44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0"/>
  <sheetViews>
    <sheetView zoomScale="70" zoomScaleSheetLayoutView="75" workbookViewId="0">
      <selection activeCell="E80" sqref="E80"/>
    </sheetView>
  </sheetViews>
  <sheetFormatPr defaultRowHeight="24" customHeight="1" x14ac:dyDescent="0.2"/>
  <cols>
    <col min="1" max="1" width="5.7109375" style="56" customWidth="1"/>
    <col min="2" max="2" width="61.85546875" style="56" customWidth="1"/>
    <col min="3" max="3" width="22.7109375" style="56" customWidth="1"/>
    <col min="4" max="4" width="20.5703125" style="56" customWidth="1"/>
    <col min="5" max="6" width="19" style="225" customWidth="1"/>
    <col min="7" max="7" width="18.7109375" style="56" customWidth="1"/>
    <col min="8" max="16384" width="9.140625" style="56"/>
  </cols>
  <sheetData>
    <row r="1" spans="1:6" ht="24" customHeight="1" x14ac:dyDescent="0.25">
      <c r="A1" s="766" t="s">
        <v>500</v>
      </c>
      <c r="B1" s="767"/>
      <c r="C1" s="767"/>
      <c r="D1" s="767"/>
      <c r="E1" s="768"/>
    </row>
    <row r="2" spans="1:6" ht="24" customHeight="1" x14ac:dyDescent="0.25">
      <c r="A2" s="766" t="s">
        <v>1</v>
      </c>
      <c r="B2" s="767"/>
      <c r="C2" s="767"/>
      <c r="D2" s="767"/>
      <c r="E2" s="768"/>
    </row>
    <row r="3" spans="1:6" ht="24" customHeight="1" x14ac:dyDescent="0.25">
      <c r="A3" s="766" t="s">
        <v>2</v>
      </c>
      <c r="B3" s="767"/>
      <c r="C3" s="767"/>
      <c r="D3" s="767"/>
      <c r="E3" s="768"/>
    </row>
    <row r="4" spans="1:6" ht="24" customHeight="1" x14ac:dyDescent="0.25">
      <c r="A4" s="766" t="s">
        <v>504</v>
      </c>
      <c r="B4" s="767"/>
      <c r="C4" s="767"/>
      <c r="D4" s="767"/>
      <c r="E4" s="768"/>
    </row>
    <row r="5" spans="1:6" ht="24" customHeight="1" x14ac:dyDescent="0.25">
      <c r="A5" s="766"/>
      <c r="B5" s="767"/>
      <c r="C5" s="767"/>
      <c r="D5" s="767"/>
      <c r="E5" s="768"/>
    </row>
    <row r="6" spans="1:6" ht="24" customHeight="1" x14ac:dyDescent="0.25">
      <c r="A6" s="57">
        <v>-1</v>
      </c>
      <c r="B6" s="57">
        <v>-2</v>
      </c>
      <c r="C6" s="57">
        <v>-3</v>
      </c>
      <c r="D6" s="57">
        <v>-4</v>
      </c>
      <c r="E6" s="57">
        <v>-5</v>
      </c>
      <c r="F6" s="57"/>
    </row>
    <row r="7" spans="1:6" ht="24" customHeight="1" x14ac:dyDescent="0.25">
      <c r="A7" s="58"/>
      <c r="B7" s="59"/>
      <c r="C7" s="57" t="s">
        <v>10</v>
      </c>
      <c r="D7" s="57" t="s">
        <v>10</v>
      </c>
      <c r="E7" s="57" t="s">
        <v>10</v>
      </c>
      <c r="F7" s="57"/>
    </row>
    <row r="8" spans="1:6" ht="24" customHeight="1" x14ac:dyDescent="0.25">
      <c r="A8" s="61" t="s">
        <v>8</v>
      </c>
      <c r="B8" s="62" t="s">
        <v>9</v>
      </c>
      <c r="C8" s="328" t="s">
        <v>505</v>
      </c>
      <c r="D8" s="328" t="s">
        <v>4</v>
      </c>
      <c r="E8" s="328" t="s">
        <v>5</v>
      </c>
      <c r="F8" s="64"/>
    </row>
    <row r="9" spans="1:6" ht="24" customHeight="1" x14ac:dyDescent="0.25">
      <c r="B9" s="62"/>
      <c r="C9" s="68"/>
      <c r="D9" s="68"/>
      <c r="E9" s="73"/>
      <c r="F9" s="73"/>
    </row>
    <row r="10" spans="1:6" ht="24" customHeight="1" x14ac:dyDescent="0.25">
      <c r="A10" s="329" t="s">
        <v>14</v>
      </c>
      <c r="B10" s="210" t="s">
        <v>506</v>
      </c>
      <c r="C10" s="79"/>
      <c r="D10" s="79"/>
      <c r="E10" s="88"/>
      <c r="F10" s="80"/>
    </row>
    <row r="11" spans="1:6" ht="24" customHeight="1" x14ac:dyDescent="0.25">
      <c r="A11" s="85">
        <v>1</v>
      </c>
      <c r="B11" s="75" t="s">
        <v>507</v>
      </c>
      <c r="C11" s="76">
        <v>59379084</v>
      </c>
      <c r="D11" s="76">
        <v>60248744</v>
      </c>
      <c r="E11" s="76">
        <v>56110242</v>
      </c>
      <c r="F11" s="80"/>
    </row>
    <row r="12" spans="1:6" ht="24" customHeight="1" x14ac:dyDescent="0.25">
      <c r="A12" s="85">
        <v>2</v>
      </c>
      <c r="B12" s="75" t="s">
        <v>78</v>
      </c>
      <c r="C12" s="185">
        <v>482704</v>
      </c>
      <c r="D12" s="185">
        <v>429185</v>
      </c>
      <c r="E12" s="185">
        <v>1205475</v>
      </c>
      <c r="F12" s="80"/>
    </row>
    <row r="13" spans="1:6" s="225" customFormat="1" ht="24" customHeight="1" x14ac:dyDescent="0.2">
      <c r="A13" s="85">
        <v>3</v>
      </c>
      <c r="B13" s="75" t="s">
        <v>80</v>
      </c>
      <c r="C13" s="76">
        <f>+C11+C12</f>
        <v>59861788</v>
      </c>
      <c r="D13" s="76">
        <f>+D11+D12</f>
        <v>60677929</v>
      </c>
      <c r="E13" s="76">
        <f>+E11+E12</f>
        <v>57315717</v>
      </c>
      <c r="F13" s="77"/>
    </row>
    <row r="14" spans="1:6" s="225" customFormat="1" ht="24" customHeight="1" x14ac:dyDescent="0.2">
      <c r="A14" s="85">
        <v>4</v>
      </c>
      <c r="B14" s="75" t="s">
        <v>91</v>
      </c>
      <c r="C14" s="185">
        <v>59882389</v>
      </c>
      <c r="D14" s="185">
        <v>59153702</v>
      </c>
      <c r="E14" s="185">
        <v>58726061</v>
      </c>
      <c r="F14" s="77"/>
    </row>
    <row r="15" spans="1:6" s="225" customFormat="1" ht="24" customHeight="1" x14ac:dyDescent="0.2">
      <c r="A15" s="85">
        <v>5</v>
      </c>
      <c r="B15" s="75" t="s">
        <v>92</v>
      </c>
      <c r="C15" s="76">
        <f>+C13-C14</f>
        <v>-20601</v>
      </c>
      <c r="D15" s="76">
        <f>+D13-D14</f>
        <v>1524227</v>
      </c>
      <c r="E15" s="76">
        <f>+E13-E14</f>
        <v>-1410344</v>
      </c>
      <c r="F15" s="77"/>
    </row>
    <row r="16" spans="1:6" s="225" customFormat="1" ht="24" customHeight="1" x14ac:dyDescent="0.2">
      <c r="A16" s="85">
        <v>6</v>
      </c>
      <c r="B16" s="75" t="s">
        <v>97</v>
      </c>
      <c r="C16" s="185">
        <v>0</v>
      </c>
      <c r="D16" s="185">
        <v>0</v>
      </c>
      <c r="E16" s="185">
        <v>0</v>
      </c>
      <c r="F16" s="77"/>
    </row>
    <row r="17" spans="1:14" s="225" customFormat="1" ht="24" customHeight="1" x14ac:dyDescent="0.2">
      <c r="A17" s="85">
        <v>7</v>
      </c>
      <c r="B17" s="330" t="s">
        <v>321</v>
      </c>
      <c r="C17" s="76">
        <f>C15+C16</f>
        <v>-20601</v>
      </c>
      <c r="D17" s="76">
        <f>D15+D16</f>
        <v>1524227</v>
      </c>
      <c r="E17" s="76">
        <f>E15+E16</f>
        <v>-1410344</v>
      </c>
      <c r="F17" s="77"/>
    </row>
    <row r="18" spans="1:14" ht="24" customHeight="1" x14ac:dyDescent="0.25">
      <c r="A18" s="85"/>
      <c r="B18" s="330"/>
      <c r="C18" s="187"/>
      <c r="D18" s="187"/>
      <c r="E18" s="188"/>
      <c r="F18" s="80"/>
    </row>
    <row r="19" spans="1:14" ht="24" customHeight="1" x14ac:dyDescent="0.25">
      <c r="A19" s="329" t="s">
        <v>26</v>
      </c>
      <c r="B19" s="72" t="s">
        <v>508</v>
      </c>
      <c r="C19" s="79"/>
      <c r="D19" s="79"/>
      <c r="E19" s="88"/>
      <c r="F19" s="80"/>
      <c r="H19" s="331"/>
      <c r="I19" s="331"/>
      <c r="J19" s="331"/>
      <c r="K19" s="331"/>
      <c r="L19" s="331"/>
      <c r="M19" s="331"/>
      <c r="N19" s="331"/>
    </row>
    <row r="20" spans="1:14" ht="24" customHeight="1" x14ac:dyDescent="0.25">
      <c r="A20" s="332">
        <v>1</v>
      </c>
      <c r="B20" s="330" t="s">
        <v>509</v>
      </c>
      <c r="C20" s="189">
        <f>IF(+C27=0,0,+C24/+C27)</f>
        <v>-3.4414274428288042E-4</v>
      </c>
      <c r="D20" s="189">
        <f>IF(+D27=0,0,+D24/+D27)</f>
        <v>2.5119957538432137E-2</v>
      </c>
      <c r="E20" s="189">
        <f>IF(+E27=0,0,+E24/+E27)</f>
        <v>-2.4606583914844857E-2</v>
      </c>
      <c r="F20" s="80"/>
      <c r="H20" s="331"/>
      <c r="I20" s="331"/>
      <c r="J20" s="331"/>
      <c r="K20" s="331"/>
      <c r="L20" s="331"/>
      <c r="M20" s="331"/>
      <c r="N20" s="331"/>
    </row>
    <row r="21" spans="1:14" ht="24" customHeight="1" x14ac:dyDescent="0.25">
      <c r="A21" s="332">
        <v>2</v>
      </c>
      <c r="B21" s="330" t="s">
        <v>510</v>
      </c>
      <c r="C21" s="189">
        <f>IF(+C27=0,0,+C26/+C27)</f>
        <v>0</v>
      </c>
      <c r="D21" s="189">
        <f>IF(+D27=0,0,+D26/+D27)</f>
        <v>0</v>
      </c>
      <c r="E21" s="189">
        <f>IF(+E27=0,0,+E26/+E27)</f>
        <v>0</v>
      </c>
      <c r="F21" s="80"/>
      <c r="H21" s="331"/>
      <c r="I21" s="331"/>
      <c r="J21" s="331"/>
      <c r="K21" s="331"/>
      <c r="L21" s="331"/>
      <c r="M21" s="331"/>
      <c r="N21" s="331"/>
    </row>
    <row r="22" spans="1:14" ht="24" customHeight="1" x14ac:dyDescent="0.25">
      <c r="A22" s="332">
        <v>3</v>
      </c>
      <c r="B22" s="330" t="s">
        <v>511</v>
      </c>
      <c r="C22" s="189">
        <f>IF(+C27=0,0,+C28/+C27)</f>
        <v>-3.4414274428288042E-4</v>
      </c>
      <c r="D22" s="189">
        <f>IF(+D27=0,0,+D28/+D27)</f>
        <v>2.5119957538432137E-2</v>
      </c>
      <c r="E22" s="189">
        <f>IF(+E27=0,0,+E28/+E27)</f>
        <v>-2.4606583914844857E-2</v>
      </c>
      <c r="F22" s="80"/>
      <c r="H22" s="331"/>
      <c r="I22" s="331"/>
      <c r="J22" s="331"/>
      <c r="K22" s="331"/>
      <c r="L22" s="331"/>
      <c r="M22" s="331"/>
      <c r="N22" s="331"/>
    </row>
    <row r="23" spans="1:14" ht="24" customHeight="1" x14ac:dyDescent="0.25">
      <c r="A23" s="226"/>
      <c r="B23" s="75"/>
      <c r="C23" s="189"/>
      <c r="D23" s="189"/>
      <c r="E23" s="189"/>
      <c r="F23" s="80"/>
      <c r="H23" s="331"/>
      <c r="I23" s="331"/>
      <c r="J23" s="331"/>
      <c r="K23" s="331"/>
      <c r="L23" s="331"/>
      <c r="M23" s="331"/>
      <c r="N23" s="331"/>
    </row>
    <row r="24" spans="1:14" ht="24" customHeight="1" x14ac:dyDescent="0.25">
      <c r="A24" s="226">
        <v>4</v>
      </c>
      <c r="B24" s="75" t="s">
        <v>92</v>
      </c>
      <c r="C24" s="76">
        <f>+C15</f>
        <v>-20601</v>
      </c>
      <c r="D24" s="76">
        <f>+D15</f>
        <v>1524227</v>
      </c>
      <c r="E24" s="76">
        <f>+E15</f>
        <v>-1410344</v>
      </c>
      <c r="F24" s="80"/>
      <c r="H24" s="331"/>
      <c r="I24" s="331"/>
      <c r="J24" s="331"/>
      <c r="K24" s="331"/>
      <c r="L24" s="331"/>
      <c r="M24" s="331"/>
      <c r="N24" s="331"/>
    </row>
    <row r="25" spans="1:14" ht="24" customHeight="1" x14ac:dyDescent="0.25">
      <c r="A25" s="226">
        <v>5</v>
      </c>
      <c r="B25" s="75" t="s">
        <v>80</v>
      </c>
      <c r="C25" s="76">
        <f>+C13</f>
        <v>59861788</v>
      </c>
      <c r="D25" s="76">
        <f>+D13</f>
        <v>60677929</v>
      </c>
      <c r="E25" s="76">
        <f>+E13</f>
        <v>57315717</v>
      </c>
      <c r="F25" s="80"/>
      <c r="H25" s="331"/>
      <c r="I25" s="331"/>
      <c r="J25" s="331"/>
      <c r="K25" s="331"/>
      <c r="L25" s="331"/>
      <c r="M25" s="331"/>
      <c r="N25" s="331"/>
    </row>
    <row r="26" spans="1:14" ht="24" customHeight="1" x14ac:dyDescent="0.25">
      <c r="A26" s="226">
        <v>6</v>
      </c>
      <c r="B26" s="75" t="s">
        <v>97</v>
      </c>
      <c r="C26" s="76">
        <f>+C16</f>
        <v>0</v>
      </c>
      <c r="D26" s="76">
        <f>+D16</f>
        <v>0</v>
      </c>
      <c r="E26" s="76">
        <f>+E16</f>
        <v>0</v>
      </c>
      <c r="F26" s="80"/>
      <c r="H26" s="331"/>
      <c r="I26" s="331"/>
      <c r="J26" s="331"/>
      <c r="K26" s="331"/>
      <c r="L26" s="331"/>
      <c r="M26" s="331"/>
      <c r="N26" s="331"/>
    </row>
    <row r="27" spans="1:14" ht="24" customHeight="1" x14ac:dyDescent="0.25">
      <c r="A27" s="226">
        <v>7</v>
      </c>
      <c r="B27" s="75" t="s">
        <v>326</v>
      </c>
      <c r="C27" s="76">
        <f>SUM(C25:C26)</f>
        <v>59861788</v>
      </c>
      <c r="D27" s="76">
        <f>SUM(D25:D26)</f>
        <v>60677929</v>
      </c>
      <c r="E27" s="76">
        <f>SUM(E25:E26)</f>
        <v>57315717</v>
      </c>
      <c r="F27" s="80"/>
      <c r="H27" s="331"/>
      <c r="I27" s="331"/>
      <c r="J27" s="331"/>
      <c r="K27" s="331"/>
      <c r="L27" s="331"/>
      <c r="M27" s="331"/>
      <c r="N27" s="331"/>
    </row>
    <row r="28" spans="1:14" ht="24" customHeight="1" x14ac:dyDescent="0.25">
      <c r="A28" s="226">
        <v>8</v>
      </c>
      <c r="B28" s="330" t="s">
        <v>321</v>
      </c>
      <c r="C28" s="76">
        <f>+C17</f>
        <v>-20601</v>
      </c>
      <c r="D28" s="76">
        <f>+D17</f>
        <v>1524227</v>
      </c>
      <c r="E28" s="76">
        <f>+E17</f>
        <v>-1410344</v>
      </c>
      <c r="F28" s="80"/>
      <c r="H28" s="331"/>
      <c r="I28" s="331"/>
      <c r="J28" s="331"/>
      <c r="K28" s="331"/>
      <c r="L28" s="331"/>
      <c r="M28" s="331"/>
      <c r="N28" s="331"/>
    </row>
    <row r="29" spans="1:14" ht="24" customHeight="1" x14ac:dyDescent="0.25">
      <c r="A29" s="85"/>
      <c r="E29" s="56"/>
      <c r="F29" s="80"/>
      <c r="H29" s="331"/>
      <c r="I29" s="331"/>
      <c r="J29" s="331"/>
      <c r="K29" s="331"/>
      <c r="L29" s="331"/>
      <c r="M29" s="331"/>
      <c r="N29" s="331"/>
    </row>
    <row r="30" spans="1:14" ht="24" customHeight="1" x14ac:dyDescent="0.25">
      <c r="A30" s="179" t="s">
        <v>36</v>
      </c>
      <c r="B30" s="191" t="s">
        <v>512</v>
      </c>
      <c r="C30" s="79"/>
      <c r="D30" s="79"/>
      <c r="E30" s="88"/>
      <c r="F30" s="80"/>
      <c r="H30" s="331"/>
      <c r="I30" s="331"/>
      <c r="J30" s="331"/>
      <c r="K30" s="331"/>
      <c r="L30" s="331"/>
      <c r="M30" s="331"/>
      <c r="N30" s="331"/>
    </row>
    <row r="31" spans="1:14" ht="24" customHeight="1" x14ac:dyDescent="0.25">
      <c r="A31" s="85">
        <v>1</v>
      </c>
      <c r="B31" s="75" t="s">
        <v>513</v>
      </c>
      <c r="C31" s="76">
        <v>15992819</v>
      </c>
      <c r="D31" s="76">
        <v>17604993</v>
      </c>
      <c r="E31" s="76">
        <v>16068631</v>
      </c>
      <c r="F31" s="80"/>
      <c r="H31" s="331"/>
      <c r="I31" s="331"/>
      <c r="J31" s="331"/>
      <c r="K31" s="331"/>
      <c r="L31" s="331"/>
      <c r="M31" s="331"/>
      <c r="N31" s="331"/>
    </row>
    <row r="32" spans="1:14" ht="24" customHeight="1" x14ac:dyDescent="0.25">
      <c r="A32" s="74">
        <v>2</v>
      </c>
      <c r="B32" s="75" t="s">
        <v>514</v>
      </c>
      <c r="C32" s="76">
        <v>15992819</v>
      </c>
      <c r="D32" s="76">
        <v>17604993</v>
      </c>
      <c r="E32" s="76">
        <v>16068631</v>
      </c>
      <c r="F32" s="80"/>
      <c r="H32" s="331"/>
      <c r="I32" s="331"/>
      <c r="J32" s="331"/>
      <c r="K32" s="331"/>
      <c r="L32" s="331"/>
      <c r="M32" s="331"/>
      <c r="N32" s="331"/>
    </row>
    <row r="33" spans="1:14" ht="24" customHeight="1" x14ac:dyDescent="0.25">
      <c r="A33" s="74">
        <v>3</v>
      </c>
      <c r="B33" s="330" t="s">
        <v>515</v>
      </c>
      <c r="C33" s="76">
        <v>-42106</v>
      </c>
      <c r="D33" s="76">
        <f>+D32-C32</f>
        <v>1612174</v>
      </c>
      <c r="E33" s="76">
        <f>+E32-D32</f>
        <v>-1536362</v>
      </c>
      <c r="F33" s="80"/>
      <c r="H33" s="331"/>
      <c r="I33" s="331"/>
      <c r="J33" s="331"/>
      <c r="K33" s="331"/>
      <c r="L33" s="331"/>
      <c r="M33" s="331"/>
      <c r="N33" s="331"/>
    </row>
    <row r="34" spans="1:14" ht="24" customHeight="1" x14ac:dyDescent="0.25">
      <c r="A34" s="74">
        <v>4</v>
      </c>
      <c r="B34" s="330" t="s">
        <v>516</v>
      </c>
      <c r="C34" s="193">
        <v>0.99729999999999996</v>
      </c>
      <c r="D34" s="193">
        <f>IF(C32=0,0,+D33/C32)</f>
        <v>0.10080611804585546</v>
      </c>
      <c r="E34" s="193">
        <f>IF(D32=0,0,+E33/D32)</f>
        <v>-8.7268537965337442E-2</v>
      </c>
      <c r="F34" s="80"/>
    </row>
    <row r="35" spans="1:14" ht="24" customHeight="1" x14ac:dyDescent="0.25">
      <c r="E35" s="56"/>
      <c r="F35" s="80"/>
    </row>
    <row r="36" spans="1:14" ht="15.75" customHeight="1" x14ac:dyDescent="0.25">
      <c r="A36" s="333" t="s">
        <v>170</v>
      </c>
      <c r="B36" s="334" t="s">
        <v>352</v>
      </c>
      <c r="C36" s="335"/>
      <c r="D36" s="335"/>
      <c r="E36" s="336"/>
      <c r="F36" s="80"/>
    </row>
    <row r="37" spans="1:14" ht="24" customHeight="1" x14ac:dyDescent="0.25">
      <c r="A37" s="333"/>
      <c r="B37" s="334"/>
      <c r="C37" s="335"/>
      <c r="D37" s="335"/>
      <c r="E37" s="336"/>
      <c r="F37" s="80"/>
    </row>
    <row r="38" spans="1:14" ht="24" customHeight="1" x14ac:dyDescent="0.25">
      <c r="A38" s="333">
        <v>1</v>
      </c>
      <c r="B38" s="337" t="s">
        <v>353</v>
      </c>
      <c r="C38" s="338">
        <f>IF(+C40=0,0,+C39/+C40)</f>
        <v>1.6679840372069239</v>
      </c>
      <c r="D38" s="338">
        <f>IF(+D40=0,0,+D39/+D40)</f>
        <v>1.9451293640492726</v>
      </c>
      <c r="E38" s="338">
        <f>IF(+E40=0,0,+E39/+E40)</f>
        <v>1.9318854825960778</v>
      </c>
      <c r="F38" s="80"/>
    </row>
    <row r="39" spans="1:14" ht="24" customHeight="1" x14ac:dyDescent="0.25">
      <c r="A39" s="339">
        <v>2</v>
      </c>
      <c r="B39" s="340" t="s">
        <v>25</v>
      </c>
      <c r="C39" s="341">
        <v>9942204</v>
      </c>
      <c r="D39" s="341">
        <v>12350418</v>
      </c>
      <c r="E39" s="341">
        <v>10714886</v>
      </c>
      <c r="F39" s="80"/>
    </row>
    <row r="40" spans="1:14" ht="24" customHeight="1" x14ac:dyDescent="0.2">
      <c r="A40" s="339">
        <v>3</v>
      </c>
      <c r="B40" s="340" t="s">
        <v>54</v>
      </c>
      <c r="C40" s="341">
        <v>5960611</v>
      </c>
      <c r="D40" s="341">
        <v>6349407</v>
      </c>
      <c r="E40" s="341">
        <v>5546336</v>
      </c>
    </row>
    <row r="41" spans="1:14" ht="24" customHeight="1" x14ac:dyDescent="0.25">
      <c r="A41" s="339"/>
      <c r="B41" s="342"/>
      <c r="C41" s="335"/>
      <c r="D41" s="335"/>
      <c r="E41" s="336"/>
    </row>
    <row r="42" spans="1:14" ht="24" customHeight="1" x14ac:dyDescent="0.25">
      <c r="A42" s="333">
        <v>4</v>
      </c>
      <c r="B42" s="337" t="s">
        <v>354</v>
      </c>
      <c r="C42" s="343">
        <f>IF((C48/365)=0,0,+C45/(C48/365))</f>
        <v>0</v>
      </c>
      <c r="D42" s="343">
        <f>IF((D48/365)=0,0,+D45/(D48/365))</f>
        <v>0.76080432784746899</v>
      </c>
      <c r="E42" s="343">
        <f>IF((E48/365)=0,0,+E45/(E48/365))</f>
        <v>6.8027522854084713E-2</v>
      </c>
    </row>
    <row r="43" spans="1:14" ht="24" customHeight="1" x14ac:dyDescent="0.2">
      <c r="A43" s="339">
        <v>5</v>
      </c>
      <c r="B43" s="344" t="s">
        <v>16</v>
      </c>
      <c r="C43" s="345">
        <v>0</v>
      </c>
      <c r="D43" s="345">
        <v>117062</v>
      </c>
      <c r="E43" s="345">
        <v>10465</v>
      </c>
    </row>
    <row r="44" spans="1:14" ht="24" customHeight="1" x14ac:dyDescent="0.2">
      <c r="A44" s="339">
        <v>6</v>
      </c>
      <c r="B44" s="346" t="s">
        <v>17</v>
      </c>
      <c r="C44" s="345">
        <v>0</v>
      </c>
      <c r="D44" s="345">
        <v>0</v>
      </c>
      <c r="E44" s="345">
        <v>0</v>
      </c>
    </row>
    <row r="45" spans="1:14" ht="24" customHeight="1" x14ac:dyDescent="0.2">
      <c r="A45" s="339">
        <v>7</v>
      </c>
      <c r="B45" s="340" t="s">
        <v>355</v>
      </c>
      <c r="C45" s="341">
        <f>+C43+C44</f>
        <v>0</v>
      </c>
      <c r="D45" s="341">
        <f>+D43+D44</f>
        <v>117062</v>
      </c>
      <c r="E45" s="341">
        <f>+E43+E44</f>
        <v>10465</v>
      </c>
    </row>
    <row r="46" spans="1:14" ht="24" customHeight="1" x14ac:dyDescent="0.2">
      <c r="A46" s="339">
        <v>8</v>
      </c>
      <c r="B46" s="340" t="s">
        <v>334</v>
      </c>
      <c r="C46" s="341">
        <f>+C14</f>
        <v>59882389</v>
      </c>
      <c r="D46" s="341">
        <f>+D14</f>
        <v>59153702</v>
      </c>
      <c r="E46" s="341">
        <f>+E14</f>
        <v>58726061</v>
      </c>
    </row>
    <row r="47" spans="1:14" ht="24" customHeight="1" x14ac:dyDescent="0.2">
      <c r="A47" s="339">
        <v>9</v>
      </c>
      <c r="B47" s="340" t="s">
        <v>356</v>
      </c>
      <c r="C47" s="341">
        <v>3213579</v>
      </c>
      <c r="D47" s="341">
        <v>2992573</v>
      </c>
      <c r="E47" s="341">
        <v>2576361</v>
      </c>
    </row>
    <row r="48" spans="1:14" ht="24" customHeight="1" x14ac:dyDescent="0.2">
      <c r="A48" s="339">
        <v>10</v>
      </c>
      <c r="B48" s="340" t="s">
        <v>357</v>
      </c>
      <c r="C48" s="341">
        <f>+C46-C47</f>
        <v>56668810</v>
      </c>
      <c r="D48" s="341">
        <f>+D46-D47</f>
        <v>56161129</v>
      </c>
      <c r="E48" s="341">
        <f>+E46-E47</f>
        <v>56149700</v>
      </c>
    </row>
    <row r="49" spans="1:5" ht="24" customHeight="1" x14ac:dyDescent="0.25">
      <c r="A49" s="347"/>
      <c r="B49" s="342"/>
      <c r="C49" s="348"/>
      <c r="D49" s="348"/>
      <c r="E49" s="349"/>
    </row>
    <row r="50" spans="1:5" ht="24" customHeight="1" x14ac:dyDescent="0.25">
      <c r="A50" s="333">
        <v>11</v>
      </c>
      <c r="B50" s="337" t="s">
        <v>358</v>
      </c>
      <c r="C50" s="350">
        <f>IF((C55/365)=0,0,+C54/(C55/365))</f>
        <v>46.149608000015633</v>
      </c>
      <c r="D50" s="350">
        <f>IF((D55/365)=0,0,+D54/(D55/365))</f>
        <v>45.974383465985611</v>
      </c>
      <c r="E50" s="350">
        <f>IF((E55/365)=0,0,+E54/(E55/365))</f>
        <v>45.808375768545076</v>
      </c>
    </row>
    <row r="51" spans="1:5" ht="24" customHeight="1" x14ac:dyDescent="0.2">
      <c r="A51" s="339">
        <v>12</v>
      </c>
      <c r="B51" s="344" t="s">
        <v>359</v>
      </c>
      <c r="C51" s="351">
        <v>7516850</v>
      </c>
      <c r="D51" s="351">
        <v>7934530</v>
      </c>
      <c r="E51" s="351">
        <v>6904941</v>
      </c>
    </row>
    <row r="52" spans="1:5" ht="24" customHeight="1" x14ac:dyDescent="0.2">
      <c r="A52" s="339">
        <v>13</v>
      </c>
      <c r="B52" s="344" t="s">
        <v>21</v>
      </c>
      <c r="C52" s="341">
        <v>0</v>
      </c>
      <c r="D52" s="341">
        <v>0</v>
      </c>
      <c r="E52" s="341">
        <v>137029</v>
      </c>
    </row>
    <row r="53" spans="1:5" ht="24" customHeight="1" x14ac:dyDescent="0.2">
      <c r="A53" s="339">
        <v>14</v>
      </c>
      <c r="B53" s="344" t="s">
        <v>49</v>
      </c>
      <c r="C53" s="341">
        <v>9120</v>
      </c>
      <c r="D53" s="341">
        <v>345766</v>
      </c>
      <c r="E53" s="341">
        <v>0</v>
      </c>
    </row>
    <row r="54" spans="1:5" ht="33.950000000000003" customHeight="1" x14ac:dyDescent="0.2">
      <c r="A54" s="339">
        <v>15</v>
      </c>
      <c r="B54" s="340" t="s">
        <v>360</v>
      </c>
      <c r="C54" s="352">
        <f>+C51+C52-C53</f>
        <v>7507730</v>
      </c>
      <c r="D54" s="352">
        <f>+D51+D52-D53</f>
        <v>7588764</v>
      </c>
      <c r="E54" s="352">
        <f>+E51+E52-E53</f>
        <v>7041970</v>
      </c>
    </row>
    <row r="55" spans="1:5" ht="24" customHeight="1" x14ac:dyDescent="0.2">
      <c r="A55" s="339">
        <v>16</v>
      </c>
      <c r="B55" s="340" t="s">
        <v>75</v>
      </c>
      <c r="C55" s="341">
        <f>+C11</f>
        <v>59379084</v>
      </c>
      <c r="D55" s="341">
        <f>+D11</f>
        <v>60248744</v>
      </c>
      <c r="E55" s="341">
        <f>+E11</f>
        <v>56110242</v>
      </c>
    </row>
    <row r="56" spans="1:5" ht="24" customHeight="1" x14ac:dyDescent="0.2">
      <c r="A56" s="347"/>
      <c r="B56" s="340"/>
      <c r="C56" s="353"/>
      <c r="D56" s="354"/>
      <c r="E56" s="354"/>
    </row>
    <row r="57" spans="1:5" ht="24" customHeight="1" x14ac:dyDescent="0.25">
      <c r="A57" s="333">
        <v>17</v>
      </c>
      <c r="B57" s="337" t="s">
        <v>361</v>
      </c>
      <c r="C57" s="355">
        <f>IF((C61/365)=0,0,+C58/(C61/365))</f>
        <v>38.391895206551887</v>
      </c>
      <c r="D57" s="355">
        <f>IF((D61/365)=0,0,+D58/(D61/365))</f>
        <v>41.265793552690148</v>
      </c>
      <c r="E57" s="355">
        <f>IF((E61/365)=0,0,+E58/(E61/365))</f>
        <v>36.053846057948668</v>
      </c>
    </row>
    <row r="58" spans="1:5" ht="24" customHeight="1" x14ac:dyDescent="0.2">
      <c r="A58" s="339">
        <v>18</v>
      </c>
      <c r="B58" s="340" t="s">
        <v>54</v>
      </c>
      <c r="C58" s="353">
        <f>+C40</f>
        <v>5960611</v>
      </c>
      <c r="D58" s="353">
        <f>+D40</f>
        <v>6349407</v>
      </c>
      <c r="E58" s="353">
        <f>+E40</f>
        <v>5546336</v>
      </c>
    </row>
    <row r="59" spans="1:5" ht="24" customHeight="1" x14ac:dyDescent="0.2">
      <c r="A59" s="339">
        <v>19</v>
      </c>
      <c r="B59" s="340" t="s">
        <v>334</v>
      </c>
      <c r="C59" s="353">
        <f t="shared" ref="C59:E60" si="0">+C46</f>
        <v>59882389</v>
      </c>
      <c r="D59" s="353">
        <f t="shared" si="0"/>
        <v>59153702</v>
      </c>
      <c r="E59" s="353">
        <f t="shared" si="0"/>
        <v>58726061</v>
      </c>
    </row>
    <row r="60" spans="1:5" ht="24" customHeight="1" x14ac:dyDescent="0.2">
      <c r="A60" s="339">
        <v>20</v>
      </c>
      <c r="B60" s="340" t="s">
        <v>356</v>
      </c>
      <c r="C60" s="356">
        <f t="shared" si="0"/>
        <v>3213579</v>
      </c>
      <c r="D60" s="356">
        <f t="shared" si="0"/>
        <v>2992573</v>
      </c>
      <c r="E60" s="356">
        <f t="shared" si="0"/>
        <v>2576361</v>
      </c>
    </row>
    <row r="61" spans="1:5" ht="24" customHeight="1" x14ac:dyDescent="0.2">
      <c r="A61" s="339">
        <v>20</v>
      </c>
      <c r="B61" s="340" t="s">
        <v>362</v>
      </c>
      <c r="C61" s="353">
        <f>+C59-C60</f>
        <v>56668810</v>
      </c>
      <c r="D61" s="353">
        <f>+D59-D60</f>
        <v>56161129</v>
      </c>
      <c r="E61" s="353">
        <f>+E59-E60</f>
        <v>56149700</v>
      </c>
    </row>
    <row r="62" spans="1:5" ht="24" customHeight="1" x14ac:dyDescent="0.25">
      <c r="A62" s="347"/>
      <c r="B62" s="340"/>
      <c r="C62" s="353"/>
      <c r="D62" s="353"/>
      <c r="E62" s="336"/>
    </row>
    <row r="63" spans="1:5" ht="24" customHeight="1" x14ac:dyDescent="0.25">
      <c r="A63" s="333" t="s">
        <v>175</v>
      </c>
      <c r="B63" s="334" t="s">
        <v>363</v>
      </c>
      <c r="C63" s="353"/>
      <c r="D63" s="353"/>
      <c r="E63" s="336"/>
    </row>
    <row r="64" spans="1:5" ht="24" customHeight="1" x14ac:dyDescent="0.25">
      <c r="A64" s="333"/>
      <c r="B64" s="334"/>
      <c r="C64" s="353"/>
      <c r="D64" s="353"/>
      <c r="E64" s="336"/>
    </row>
    <row r="65" spans="1:5" ht="24" customHeight="1" x14ac:dyDescent="0.25">
      <c r="A65" s="333">
        <v>1</v>
      </c>
      <c r="B65" s="337" t="s">
        <v>364</v>
      </c>
      <c r="C65" s="357">
        <f>IF(C67=0,0,(C66/C67)*100)</f>
        <v>33.209490758165288</v>
      </c>
      <c r="D65" s="357">
        <f>IF(D67=0,0,(D66/D67)*100)</f>
        <v>36.964371245138565</v>
      </c>
      <c r="E65" s="357">
        <f>IF(E67=0,0,(E66/E67)*100)</f>
        <v>36.0860915475917</v>
      </c>
    </row>
    <row r="66" spans="1:5" ht="24" customHeight="1" x14ac:dyDescent="0.2">
      <c r="A66" s="339">
        <v>2</v>
      </c>
      <c r="B66" s="340" t="s">
        <v>67</v>
      </c>
      <c r="C66" s="353">
        <f>+C32</f>
        <v>15992819</v>
      </c>
      <c r="D66" s="353">
        <f>+D32</f>
        <v>17604993</v>
      </c>
      <c r="E66" s="353">
        <f>+E32</f>
        <v>16068631</v>
      </c>
    </row>
    <row r="67" spans="1:5" ht="24" customHeight="1" x14ac:dyDescent="0.2">
      <c r="A67" s="339">
        <v>3</v>
      </c>
      <c r="B67" s="340" t="s">
        <v>43</v>
      </c>
      <c r="C67" s="353">
        <v>48157375</v>
      </c>
      <c r="D67" s="353">
        <v>47626924</v>
      </c>
      <c r="E67" s="353">
        <v>44528599</v>
      </c>
    </row>
    <row r="68" spans="1:5" ht="24" customHeight="1" x14ac:dyDescent="0.25">
      <c r="A68" s="347"/>
      <c r="B68" s="337"/>
      <c r="C68" s="355"/>
      <c r="D68" s="355"/>
      <c r="E68" s="336"/>
    </row>
    <row r="69" spans="1:5" ht="24" customHeight="1" x14ac:dyDescent="0.25">
      <c r="A69" s="333">
        <v>4</v>
      </c>
      <c r="B69" s="337" t="s">
        <v>365</v>
      </c>
      <c r="C69" s="357">
        <f>IF(C75=0,0,(C72/C75)*100)</f>
        <v>10.587711220159726</v>
      </c>
      <c r="D69" s="357">
        <f>IF(D75=0,0,(D72/D75)*100)</f>
        <v>16.160501891492149</v>
      </c>
      <c r="E69" s="357">
        <f>IF(E75=0,0,(E72/E75)*100)</f>
        <v>4.4417759469834914</v>
      </c>
    </row>
    <row r="70" spans="1:5" ht="24" customHeight="1" x14ac:dyDescent="0.2">
      <c r="A70" s="339">
        <v>5</v>
      </c>
      <c r="B70" s="340" t="s">
        <v>366</v>
      </c>
      <c r="C70" s="353">
        <f>+C28</f>
        <v>-20601</v>
      </c>
      <c r="D70" s="353">
        <f>+D28</f>
        <v>1524227</v>
      </c>
      <c r="E70" s="353">
        <f>+E28</f>
        <v>-1410344</v>
      </c>
    </row>
    <row r="71" spans="1:5" ht="24" customHeight="1" x14ac:dyDescent="0.2">
      <c r="A71" s="339">
        <v>6</v>
      </c>
      <c r="B71" s="340" t="s">
        <v>356</v>
      </c>
      <c r="C71" s="356">
        <f>+C47</f>
        <v>3213579</v>
      </c>
      <c r="D71" s="356">
        <f>+D47</f>
        <v>2992573</v>
      </c>
      <c r="E71" s="356">
        <f>+E47</f>
        <v>2576361</v>
      </c>
    </row>
    <row r="72" spans="1:5" ht="33.950000000000003" customHeight="1" x14ac:dyDescent="0.2">
      <c r="A72" s="339">
        <v>7</v>
      </c>
      <c r="B72" s="340" t="s">
        <v>367</v>
      </c>
      <c r="C72" s="353">
        <f>+C70+C71</f>
        <v>3192978</v>
      </c>
      <c r="D72" s="353">
        <f>+D70+D71</f>
        <v>4516800</v>
      </c>
      <c r="E72" s="353">
        <f>+E70+E71</f>
        <v>1166017</v>
      </c>
    </row>
    <row r="73" spans="1:5" ht="24" customHeight="1" x14ac:dyDescent="0.2">
      <c r="A73" s="339">
        <v>8</v>
      </c>
      <c r="B73" s="340" t="s">
        <v>54</v>
      </c>
      <c r="C73" s="341">
        <f>+C40</f>
        <v>5960611</v>
      </c>
      <c r="D73" s="341">
        <f>+D40</f>
        <v>6349407</v>
      </c>
      <c r="E73" s="341">
        <f>+E40</f>
        <v>5546336</v>
      </c>
    </row>
    <row r="74" spans="1:5" ht="24" customHeight="1" x14ac:dyDescent="0.2">
      <c r="A74" s="339">
        <v>9</v>
      </c>
      <c r="B74" s="340" t="s">
        <v>58</v>
      </c>
      <c r="C74" s="353">
        <v>24196785</v>
      </c>
      <c r="D74" s="353">
        <v>21600220</v>
      </c>
      <c r="E74" s="353">
        <v>20704808</v>
      </c>
    </row>
    <row r="75" spans="1:5" ht="24" customHeight="1" x14ac:dyDescent="0.2">
      <c r="A75" s="339">
        <v>10</v>
      </c>
      <c r="B75" s="358" t="s">
        <v>368</v>
      </c>
      <c r="C75" s="341">
        <f>+C73+C74</f>
        <v>30157396</v>
      </c>
      <c r="D75" s="341">
        <f>+D73+D74</f>
        <v>27949627</v>
      </c>
      <c r="E75" s="341">
        <f>+E73+E74</f>
        <v>26251144</v>
      </c>
    </row>
    <row r="76" spans="1:5" ht="24" customHeight="1" x14ac:dyDescent="0.25">
      <c r="A76" s="347"/>
      <c r="B76" s="337"/>
      <c r="C76" s="350"/>
      <c r="D76" s="350"/>
      <c r="E76" s="349"/>
    </row>
    <row r="77" spans="1:5" ht="24" customHeight="1" x14ac:dyDescent="0.25">
      <c r="A77" s="333">
        <v>11</v>
      </c>
      <c r="B77" s="337" t="s">
        <v>369</v>
      </c>
      <c r="C77" s="359">
        <f>IF(C80=0,0,(C78/C80)*100)</f>
        <v>60.206577302926398</v>
      </c>
      <c r="D77" s="359">
        <f>IF(D80=0,0,(D78/D80)*100)</f>
        <v>55.095275212508085</v>
      </c>
      <c r="E77" s="359">
        <f>IF(E80=0,0,(E78/E80)*100)</f>
        <v>56.303703333267251</v>
      </c>
    </row>
    <row r="78" spans="1:5" ht="24" customHeight="1" x14ac:dyDescent="0.2">
      <c r="A78" s="339">
        <v>12</v>
      </c>
      <c r="B78" s="340" t="s">
        <v>58</v>
      </c>
      <c r="C78" s="341">
        <f>+C74</f>
        <v>24196785</v>
      </c>
      <c r="D78" s="341">
        <f>+D74</f>
        <v>21600220</v>
      </c>
      <c r="E78" s="341">
        <f>+E74</f>
        <v>20704808</v>
      </c>
    </row>
    <row r="79" spans="1:5" ht="24" customHeight="1" x14ac:dyDescent="0.2">
      <c r="A79" s="339">
        <v>13</v>
      </c>
      <c r="B79" s="340" t="s">
        <v>67</v>
      </c>
      <c r="C79" s="341">
        <f>+C32</f>
        <v>15992819</v>
      </c>
      <c r="D79" s="341">
        <f>+D32</f>
        <v>17604993</v>
      </c>
      <c r="E79" s="341">
        <f>+E32</f>
        <v>16068631</v>
      </c>
    </row>
    <row r="80" spans="1:5" ht="24" customHeight="1" x14ac:dyDescent="0.2">
      <c r="A80" s="339">
        <v>14</v>
      </c>
      <c r="B80" s="340" t="s">
        <v>370</v>
      </c>
      <c r="C80" s="341">
        <f>+C78+C79</f>
        <v>40189604</v>
      </c>
      <c r="D80" s="341">
        <f>+D78+D79</f>
        <v>39205213</v>
      </c>
      <c r="E80" s="341">
        <f>+E78+E79</f>
        <v>36773439</v>
      </c>
    </row>
  </sheetData>
  <mergeCells count="5">
    <mergeCell ref="A1:E1"/>
    <mergeCell ref="A2:E2"/>
    <mergeCell ref="A3:E3"/>
    <mergeCell ref="A4:E4"/>
    <mergeCell ref="A5:E5"/>
  </mergeCells>
  <printOptions gridLines="1"/>
  <pageMargins left="0.5" right="0.5" top="0.5" bottom="0.5" header="0.25" footer="0.25"/>
  <pageSetup scale="73" fitToHeight="0" orientation="portrait" horizontalDpi="1200" verticalDpi="1200" r:id="rId1"/>
  <headerFooter>
    <oddHeader>_x000D_
                &amp;L&amp;8OFFICE OF HEALTH CARE ACCESS&amp;C&amp;8TWELVE MONTHS ACTUAL FILING&amp;R&amp;8SHARON HOSPITAL HOLDING CO, INC.</oddHeader>
    <oddFooter>&amp;L&amp;8REPORT 385&amp;C&amp;8PAGE &amp;P of &amp;N&amp;R&amp;8&amp;D, &amp;8&amp;T</oddFooter>
  </headerFooter>
  <rowBreaks count="2" manualBreakCount="2">
    <brk id="35" max="4" man="1"/>
    <brk id="62" max="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zoomScale="75" zoomScaleSheetLayoutView="75" workbookViewId="0">
      <selection activeCell="C8" sqref="C8"/>
    </sheetView>
  </sheetViews>
  <sheetFormatPr defaultRowHeight="12.75" x14ac:dyDescent="0.2"/>
  <cols>
    <col min="1" max="1" width="5.85546875" style="396" customWidth="1"/>
    <col min="2" max="2" width="47.7109375" style="396" customWidth="1"/>
    <col min="3" max="3" width="17.28515625" style="396" customWidth="1"/>
    <col min="4" max="4" width="19.140625" style="365" customWidth="1"/>
    <col min="5" max="7" width="17.28515625" style="365" customWidth="1"/>
    <col min="8" max="8" width="19.140625" style="365" bestFit="1" customWidth="1"/>
    <col min="9" max="11" width="19.140625" style="365" customWidth="1"/>
    <col min="12" max="16384" width="9.140625" style="365"/>
  </cols>
  <sheetData>
    <row r="1" spans="1:11" ht="15.75" customHeight="1" x14ac:dyDescent="0.25">
      <c r="A1" s="360"/>
      <c r="B1" s="361"/>
      <c r="C1" s="362"/>
      <c r="D1" s="362"/>
      <c r="E1" s="362"/>
      <c r="F1" s="363" t="s">
        <v>0</v>
      </c>
      <c r="G1" s="362"/>
      <c r="H1" s="362"/>
      <c r="I1" s="362"/>
      <c r="J1" s="364"/>
      <c r="K1" s="364"/>
    </row>
    <row r="2" spans="1:11" ht="15.75" customHeight="1" x14ac:dyDescent="0.25">
      <c r="A2" s="360"/>
      <c r="B2" s="361"/>
      <c r="C2" s="362"/>
      <c r="D2" s="362"/>
      <c r="E2" s="362"/>
      <c r="F2" s="363" t="s">
        <v>1</v>
      </c>
      <c r="G2" s="362"/>
      <c r="H2" s="362"/>
      <c r="I2" s="362"/>
      <c r="J2" s="364"/>
      <c r="K2" s="364"/>
    </row>
    <row r="3" spans="1:11" ht="15.75" customHeight="1" x14ac:dyDescent="0.25">
      <c r="A3" s="360"/>
      <c r="B3" s="361"/>
      <c r="C3" s="362"/>
      <c r="D3" s="362"/>
      <c r="E3" s="362"/>
      <c r="F3" s="363" t="s">
        <v>2</v>
      </c>
      <c r="G3" s="362"/>
      <c r="H3" s="362"/>
      <c r="I3" s="362"/>
      <c r="J3" s="364"/>
      <c r="K3" s="364"/>
    </row>
    <row r="4" spans="1:11" ht="15.75" customHeight="1" x14ac:dyDescent="0.25">
      <c r="A4" s="360"/>
      <c r="B4" s="361"/>
      <c r="C4" s="362"/>
      <c r="D4" s="362"/>
      <c r="E4" s="362"/>
      <c r="F4" s="366" t="s">
        <v>517</v>
      </c>
      <c r="G4" s="362"/>
      <c r="H4" s="362"/>
      <c r="I4" s="362"/>
      <c r="J4" s="364"/>
      <c r="K4" s="364"/>
    </row>
    <row r="5" spans="1:11" ht="15.75" customHeight="1" x14ac:dyDescent="0.25">
      <c r="A5" s="360"/>
      <c r="B5" s="361"/>
      <c r="C5" s="362"/>
      <c r="D5" s="362"/>
      <c r="E5" s="362"/>
      <c r="F5" s="362"/>
      <c r="G5" s="362"/>
      <c r="H5" s="362"/>
      <c r="I5" s="362"/>
      <c r="J5" s="364"/>
      <c r="K5" s="364"/>
    </row>
    <row r="6" spans="1:11" ht="15.75" customHeight="1" x14ac:dyDescent="0.25">
      <c r="A6" s="362">
        <v>-1</v>
      </c>
      <c r="B6" s="362">
        <v>-2</v>
      </c>
      <c r="C6" s="362">
        <v>-3</v>
      </c>
      <c r="D6" s="362" t="s">
        <v>518</v>
      </c>
      <c r="E6" s="362" t="s">
        <v>519</v>
      </c>
      <c r="F6" s="362">
        <v>-4</v>
      </c>
      <c r="G6" s="362">
        <v>-5</v>
      </c>
      <c r="H6" s="362">
        <v>-6</v>
      </c>
      <c r="I6" s="362">
        <v>-7</v>
      </c>
      <c r="J6" s="367"/>
      <c r="K6" s="364"/>
    </row>
    <row r="7" spans="1:11" ht="15.75" customHeight="1" x14ac:dyDescent="0.25">
      <c r="A7" s="360"/>
      <c r="B7" s="361"/>
      <c r="C7" s="362"/>
      <c r="D7" s="362"/>
      <c r="E7" s="362"/>
      <c r="F7" s="362"/>
      <c r="G7" s="362"/>
      <c r="H7" s="362" t="s">
        <v>520</v>
      </c>
      <c r="I7" s="362" t="s">
        <v>520</v>
      </c>
      <c r="J7" s="367"/>
      <c r="K7" s="368"/>
    </row>
    <row r="8" spans="1:11" ht="15.75" customHeight="1" x14ac:dyDescent="0.25">
      <c r="A8" s="360"/>
      <c r="B8" s="361"/>
      <c r="C8" s="362" t="s">
        <v>521</v>
      </c>
      <c r="D8" s="362" t="s">
        <v>522</v>
      </c>
      <c r="E8" s="362" t="s">
        <v>523</v>
      </c>
      <c r="F8" s="362" t="s">
        <v>524</v>
      </c>
      <c r="G8" s="362" t="s">
        <v>525</v>
      </c>
      <c r="H8" s="362" t="s">
        <v>526</v>
      </c>
      <c r="I8" s="362" t="s">
        <v>527</v>
      </c>
      <c r="J8" s="367"/>
      <c r="K8" s="368"/>
    </row>
    <row r="9" spans="1:11" ht="15.75" customHeight="1" x14ac:dyDescent="0.25">
      <c r="A9" s="369" t="s">
        <v>8</v>
      </c>
      <c r="B9" s="370" t="s">
        <v>9</v>
      </c>
      <c r="C9" s="371" t="s">
        <v>528</v>
      </c>
      <c r="D9" s="371" t="s">
        <v>529</v>
      </c>
      <c r="E9" s="371" t="s">
        <v>530</v>
      </c>
      <c r="F9" s="371" t="s">
        <v>531</v>
      </c>
      <c r="G9" s="371" t="s">
        <v>532</v>
      </c>
      <c r="H9" s="371" t="s">
        <v>531</v>
      </c>
      <c r="I9" s="371" t="s">
        <v>532</v>
      </c>
      <c r="J9" s="367"/>
      <c r="K9" s="372"/>
    </row>
    <row r="10" spans="1:11" ht="15.75" customHeight="1" x14ac:dyDescent="0.25">
      <c r="A10" s="136" t="s">
        <v>530</v>
      </c>
      <c r="B10" s="361"/>
      <c r="C10" s="362"/>
      <c r="D10" s="362"/>
      <c r="E10" s="362"/>
      <c r="F10" s="373"/>
      <c r="G10" s="373"/>
      <c r="H10" s="373"/>
      <c r="I10" s="373"/>
      <c r="J10" s="367"/>
      <c r="K10" s="372"/>
    </row>
    <row r="11" spans="1:11" ht="15" customHeight="1" x14ac:dyDescent="0.2">
      <c r="A11" s="374">
        <v>1</v>
      </c>
      <c r="B11" s="375" t="s">
        <v>533</v>
      </c>
      <c r="C11" s="376">
        <v>5633</v>
      </c>
      <c r="D11" s="376">
        <v>1737</v>
      </c>
      <c r="E11" s="376">
        <v>1161</v>
      </c>
      <c r="F11" s="377">
        <v>22</v>
      </c>
      <c r="G11" s="377">
        <v>47</v>
      </c>
      <c r="H11" s="378">
        <f>IF(F11=0,0,$C11/(F11*365))</f>
        <v>0.70149439601494401</v>
      </c>
      <c r="I11" s="378">
        <f>IF(G11=0,0,$C11/(G11*365))</f>
        <v>0.32835907898571842</v>
      </c>
      <c r="J11" s="367"/>
      <c r="K11" s="379"/>
    </row>
    <row r="12" spans="1:11" ht="15" customHeight="1" x14ac:dyDescent="0.2">
      <c r="A12" s="374"/>
      <c r="B12" s="375"/>
      <c r="C12" s="376"/>
      <c r="D12" s="171"/>
      <c r="F12" s="378"/>
      <c r="G12" s="378"/>
      <c r="H12" s="378"/>
      <c r="I12" s="378"/>
      <c r="J12" s="367"/>
      <c r="K12" s="379"/>
    </row>
    <row r="13" spans="1:11" ht="15" customHeight="1" x14ac:dyDescent="0.2">
      <c r="A13" s="374">
        <v>2</v>
      </c>
      <c r="B13" s="375" t="s">
        <v>534</v>
      </c>
      <c r="C13" s="376">
        <v>884</v>
      </c>
      <c r="D13" s="376">
        <v>334</v>
      </c>
      <c r="E13" s="376">
        <v>0</v>
      </c>
      <c r="F13" s="377">
        <v>7</v>
      </c>
      <c r="G13" s="377">
        <v>11</v>
      </c>
      <c r="H13" s="378">
        <f>IF(F13=0,0,$C13/(F13*365))</f>
        <v>0.34598825831702545</v>
      </c>
      <c r="I13" s="378">
        <f>IF(G13=0,0,$C13/(G13*365))</f>
        <v>0.22017434620174345</v>
      </c>
      <c r="J13" s="367"/>
      <c r="K13" s="379"/>
    </row>
    <row r="14" spans="1:11" ht="15" customHeight="1" x14ac:dyDescent="0.2">
      <c r="A14" s="374"/>
      <c r="B14" s="375"/>
      <c r="C14" s="376"/>
      <c r="F14" s="378"/>
      <c r="G14" s="378"/>
      <c r="H14" s="378"/>
      <c r="I14" s="378"/>
      <c r="J14" s="367"/>
      <c r="K14" s="379"/>
    </row>
    <row r="15" spans="1:11" ht="15" customHeight="1" x14ac:dyDescent="0.2">
      <c r="A15" s="374">
        <v>3</v>
      </c>
      <c r="B15" s="375" t="s">
        <v>535</v>
      </c>
      <c r="C15" s="376">
        <v>0</v>
      </c>
      <c r="D15" s="376">
        <v>0</v>
      </c>
      <c r="E15" s="376">
        <v>0</v>
      </c>
      <c r="F15" s="377">
        <v>0</v>
      </c>
      <c r="G15" s="377">
        <v>0</v>
      </c>
      <c r="H15" s="378">
        <f t="shared" ref="H15:I17" si="0">IF(F15=0,0,$C15/(F15*365))</f>
        <v>0</v>
      </c>
      <c r="I15" s="378">
        <f t="shared" si="0"/>
        <v>0</v>
      </c>
      <c r="J15" s="367"/>
      <c r="K15" s="379"/>
    </row>
    <row r="16" spans="1:11" ht="15" customHeight="1" x14ac:dyDescent="0.2">
      <c r="A16" s="374">
        <v>4</v>
      </c>
      <c r="B16" s="375" t="s">
        <v>536</v>
      </c>
      <c r="C16" s="376">
        <v>3895</v>
      </c>
      <c r="D16" s="376">
        <v>343</v>
      </c>
      <c r="E16" s="376">
        <v>342</v>
      </c>
      <c r="F16" s="377">
        <v>12</v>
      </c>
      <c r="G16" s="377">
        <v>12</v>
      </c>
      <c r="H16" s="378">
        <f t="shared" si="0"/>
        <v>0.88926940639269403</v>
      </c>
      <c r="I16" s="378">
        <f t="shared" si="0"/>
        <v>0.88926940639269403</v>
      </c>
      <c r="J16" s="367"/>
      <c r="K16" s="379"/>
    </row>
    <row r="17" spans="1:11" ht="15.75" customHeight="1" x14ac:dyDescent="0.25">
      <c r="A17" s="136"/>
      <c r="B17" s="380" t="s">
        <v>537</v>
      </c>
      <c r="C17" s="381">
        <f>SUM(C15:C16)</f>
        <v>3895</v>
      </c>
      <c r="D17" s="381">
        <f>SUM(D15:D16)</f>
        <v>343</v>
      </c>
      <c r="E17" s="381">
        <f>SUM(E15:E16)</f>
        <v>342</v>
      </c>
      <c r="F17" s="381">
        <f>SUM(F15:F16)</f>
        <v>12</v>
      </c>
      <c r="G17" s="381">
        <f>SUM(G15:G16)</f>
        <v>12</v>
      </c>
      <c r="H17" s="382">
        <f t="shared" si="0"/>
        <v>0.88926940639269403</v>
      </c>
      <c r="I17" s="382">
        <f t="shared" si="0"/>
        <v>0.88926940639269403</v>
      </c>
      <c r="J17" s="367"/>
      <c r="K17" s="379"/>
    </row>
    <row r="18" spans="1:11" ht="15.75" customHeight="1" x14ac:dyDescent="0.25">
      <c r="A18" s="136"/>
      <c r="B18" s="383"/>
      <c r="C18" s="376"/>
      <c r="D18" s="376"/>
      <c r="E18" s="376"/>
      <c r="F18" s="378"/>
      <c r="G18" s="378"/>
      <c r="H18" s="378"/>
      <c r="I18" s="378"/>
      <c r="J18" s="367"/>
      <c r="K18" s="379"/>
    </row>
    <row r="19" spans="1:11" ht="15" customHeight="1" x14ac:dyDescent="0.2">
      <c r="A19" s="374">
        <v>5</v>
      </c>
      <c r="B19" s="375" t="s">
        <v>538</v>
      </c>
      <c r="C19" s="376">
        <v>0</v>
      </c>
      <c r="D19" s="376">
        <v>0</v>
      </c>
      <c r="E19" s="376">
        <v>0</v>
      </c>
      <c r="F19" s="377">
        <v>0</v>
      </c>
      <c r="G19" s="377">
        <v>0</v>
      </c>
      <c r="H19" s="378">
        <f>IF(F19=0,0,$C19/(F19*365))</f>
        <v>0</v>
      </c>
      <c r="I19" s="378">
        <f>IF(G19=0,0,$C19/(G19*365))</f>
        <v>0</v>
      </c>
      <c r="J19" s="367"/>
      <c r="K19" s="379"/>
    </row>
    <row r="20" spans="1:11" ht="15" customHeight="1" x14ac:dyDescent="0.2">
      <c r="A20" s="374"/>
      <c r="B20" s="375"/>
      <c r="C20" s="378"/>
      <c r="D20" s="378"/>
      <c r="E20" s="378"/>
      <c r="F20" s="378"/>
      <c r="G20" s="378"/>
      <c r="H20" s="378"/>
      <c r="I20" s="378"/>
      <c r="J20" s="367"/>
      <c r="K20" s="379"/>
    </row>
    <row r="21" spans="1:11" ht="15" customHeight="1" x14ac:dyDescent="0.2">
      <c r="A21" s="374">
        <v>6</v>
      </c>
      <c r="B21" s="375" t="s">
        <v>539</v>
      </c>
      <c r="C21" s="376">
        <v>699</v>
      </c>
      <c r="D21" s="376">
        <v>281</v>
      </c>
      <c r="E21" s="376">
        <v>279</v>
      </c>
      <c r="F21" s="377">
        <v>4</v>
      </c>
      <c r="G21" s="377">
        <v>8</v>
      </c>
      <c r="H21" s="378">
        <f>IF(F21=0,0,$C21/(F21*365))</f>
        <v>0.47876712328767124</v>
      </c>
      <c r="I21" s="378">
        <f>IF(G21=0,0,$C21/(G21*365))</f>
        <v>0.23938356164383562</v>
      </c>
      <c r="J21" s="367"/>
      <c r="K21" s="379"/>
    </row>
    <row r="22" spans="1:11" ht="15" customHeight="1" x14ac:dyDescent="0.2">
      <c r="A22" s="374"/>
      <c r="B22" s="375"/>
      <c r="C22" s="378"/>
      <c r="D22" s="378"/>
      <c r="E22" s="378"/>
      <c r="F22" s="378"/>
      <c r="G22" s="378"/>
      <c r="H22" s="378"/>
      <c r="I22" s="378"/>
      <c r="J22" s="367"/>
      <c r="K22" s="379"/>
    </row>
    <row r="23" spans="1:11" ht="15" customHeight="1" x14ac:dyDescent="0.2">
      <c r="A23" s="374">
        <v>7</v>
      </c>
      <c r="B23" s="375" t="s">
        <v>540</v>
      </c>
      <c r="C23" s="376">
        <v>579</v>
      </c>
      <c r="D23" s="376">
        <v>255</v>
      </c>
      <c r="E23" s="376">
        <v>259</v>
      </c>
      <c r="F23" s="377">
        <v>4</v>
      </c>
      <c r="G23" s="377">
        <v>16</v>
      </c>
      <c r="H23" s="378">
        <f>IF(F23=0,0,$C23/(F23*365))</f>
        <v>0.39657534246575343</v>
      </c>
      <c r="I23" s="378">
        <f>IF(G23=0,0,$C23/(G23*365))</f>
        <v>9.9143835616438358E-2</v>
      </c>
      <c r="J23" s="367"/>
      <c r="K23" s="379"/>
    </row>
    <row r="24" spans="1:11" ht="15" customHeight="1" x14ac:dyDescent="0.2">
      <c r="A24" s="374"/>
      <c r="B24" s="375"/>
      <c r="C24" s="378"/>
      <c r="D24" s="378"/>
      <c r="E24" s="378"/>
      <c r="F24" s="378"/>
      <c r="G24" s="378"/>
      <c r="H24" s="378"/>
      <c r="I24" s="378"/>
      <c r="J24" s="367"/>
      <c r="K24" s="379"/>
    </row>
    <row r="25" spans="1:11" ht="15" customHeight="1" x14ac:dyDescent="0.2">
      <c r="A25" s="374">
        <v>8</v>
      </c>
      <c r="B25" s="375" t="s">
        <v>541</v>
      </c>
      <c r="C25" s="376">
        <v>0</v>
      </c>
      <c r="D25" s="376">
        <v>0</v>
      </c>
      <c r="E25" s="376">
        <v>0</v>
      </c>
      <c r="F25" s="377">
        <v>0</v>
      </c>
      <c r="G25" s="377">
        <v>0</v>
      </c>
      <c r="H25" s="378">
        <f>IF(F25=0,0,$C25/(F25*365))</f>
        <v>0</v>
      </c>
      <c r="I25" s="378">
        <f>IF(G25=0,0,$C25/(G25*365))</f>
        <v>0</v>
      </c>
      <c r="J25" s="367"/>
      <c r="K25" s="379"/>
    </row>
    <row r="26" spans="1:11" ht="15" customHeight="1" x14ac:dyDescent="0.2">
      <c r="A26" s="374"/>
      <c r="B26" s="375"/>
      <c r="C26" s="378"/>
      <c r="D26" s="378"/>
      <c r="E26" s="378"/>
      <c r="F26" s="378"/>
      <c r="G26" s="378"/>
      <c r="H26" s="378"/>
      <c r="I26" s="378"/>
      <c r="J26" s="367"/>
      <c r="K26" s="379"/>
    </row>
    <row r="27" spans="1:11" ht="15" customHeight="1" x14ac:dyDescent="0.2">
      <c r="A27" s="374">
        <v>9</v>
      </c>
      <c r="B27" s="375" t="s">
        <v>542</v>
      </c>
      <c r="C27" s="376">
        <v>0</v>
      </c>
      <c r="D27" s="376">
        <v>0</v>
      </c>
      <c r="E27" s="376">
        <v>0</v>
      </c>
      <c r="F27" s="377">
        <v>0</v>
      </c>
      <c r="G27" s="377">
        <v>0</v>
      </c>
      <c r="H27" s="378">
        <f>IF(F27=0,0,$C27/(F27*365))</f>
        <v>0</v>
      </c>
      <c r="I27" s="378">
        <f>IF(G27=0,0,$C27/(G27*365))</f>
        <v>0</v>
      </c>
      <c r="J27" s="367"/>
      <c r="K27" s="379"/>
    </row>
    <row r="28" spans="1:11" ht="15" customHeight="1" x14ac:dyDescent="0.2">
      <c r="A28" s="374"/>
      <c r="B28" s="375"/>
      <c r="C28" s="378"/>
      <c r="D28" s="378"/>
      <c r="E28" s="378"/>
      <c r="F28" s="378"/>
      <c r="G28" s="378"/>
      <c r="H28" s="378"/>
      <c r="I28" s="378"/>
      <c r="J28" s="367"/>
      <c r="K28" s="379"/>
    </row>
    <row r="29" spans="1:11" ht="15" customHeight="1" x14ac:dyDescent="0.2">
      <c r="A29" s="374">
        <v>10</v>
      </c>
      <c r="B29" s="375" t="s">
        <v>543</v>
      </c>
      <c r="C29" s="376">
        <v>0</v>
      </c>
      <c r="D29" s="376">
        <v>0</v>
      </c>
      <c r="E29" s="376">
        <v>0</v>
      </c>
      <c r="F29" s="377">
        <v>0</v>
      </c>
      <c r="G29" s="377">
        <v>0</v>
      </c>
      <c r="H29" s="378">
        <f>IF(F29=0,0,$C29/(F29*365))</f>
        <v>0</v>
      </c>
      <c r="I29" s="378">
        <f>IF(G29=0,0,$C29/(G29*365))</f>
        <v>0</v>
      </c>
      <c r="J29" s="367"/>
      <c r="K29" s="379"/>
    </row>
    <row r="30" spans="1:11" ht="15.75" customHeight="1" x14ac:dyDescent="0.25">
      <c r="A30" s="136"/>
      <c r="B30" s="383"/>
      <c r="C30" s="376"/>
      <c r="D30" s="377"/>
      <c r="E30" s="377"/>
      <c r="F30" s="378"/>
      <c r="G30" s="378"/>
      <c r="H30" s="378"/>
      <c r="I30" s="378"/>
      <c r="J30" s="367"/>
      <c r="K30" s="379"/>
    </row>
    <row r="31" spans="1:11" ht="15.75" customHeight="1" x14ac:dyDescent="0.25">
      <c r="A31" s="136"/>
      <c r="B31" s="361" t="s">
        <v>544</v>
      </c>
      <c r="C31" s="384">
        <f>SUM(C10:C29)-C17-C23</f>
        <v>11111</v>
      </c>
      <c r="D31" s="384">
        <f>SUM(D10:D29)-D13-D17-D23</f>
        <v>2361</v>
      </c>
      <c r="E31" s="384">
        <f>SUM(E10:E29)-E17-E23</f>
        <v>1782</v>
      </c>
      <c r="F31" s="384">
        <f>SUM(F10:F29)-F17-F23</f>
        <v>45</v>
      </c>
      <c r="G31" s="384">
        <f>SUM(G10:G29)-G17-G23</f>
        <v>78</v>
      </c>
      <c r="H31" s="385">
        <f>IF(F31=0,0,$C31/(F31*365))</f>
        <v>0.67646879756468803</v>
      </c>
      <c r="I31" s="385">
        <f>IF(G31=0,0,$C31/(G31*365))</f>
        <v>0.39027046013347383</v>
      </c>
      <c r="J31" s="367"/>
      <c r="K31" s="379"/>
    </row>
    <row r="32" spans="1:11" ht="15.75" customHeight="1" x14ac:dyDescent="0.25">
      <c r="A32" s="136"/>
      <c r="B32" s="383"/>
      <c r="C32" s="376"/>
      <c r="D32" s="376"/>
      <c r="E32" s="376"/>
      <c r="F32" s="378"/>
      <c r="G32" s="378"/>
      <c r="H32" s="378"/>
      <c r="I32" s="378"/>
      <c r="J32" s="367"/>
      <c r="K32" s="379"/>
    </row>
    <row r="33" spans="1:11" ht="15.75" customHeight="1" x14ac:dyDescent="0.25">
      <c r="A33" s="136"/>
      <c r="B33" s="361" t="s">
        <v>545</v>
      </c>
      <c r="C33" s="384">
        <f>SUM(C10:C29)-C17</f>
        <v>11690</v>
      </c>
      <c r="D33" s="384">
        <f>SUM(D10:D29)-D13-D17</f>
        <v>2616</v>
      </c>
      <c r="E33" s="384">
        <f>SUM(E10:E29)-E17</f>
        <v>2041</v>
      </c>
      <c r="F33" s="384">
        <f>SUM(F10:F29)-F17</f>
        <v>49</v>
      </c>
      <c r="G33" s="384">
        <f>SUM(G10:G29)-G17</f>
        <v>94</v>
      </c>
      <c r="H33" s="385">
        <f>IF(F33=0,0,$C33/(F33*365))</f>
        <v>0.6536203522504892</v>
      </c>
      <c r="I33" s="385">
        <f>IF(G33=0,0,$C33/(G33*365))</f>
        <v>0.34071699213057416</v>
      </c>
      <c r="J33" s="367"/>
      <c r="K33" s="379"/>
    </row>
    <row r="34" spans="1:11" ht="15.75" customHeight="1" x14ac:dyDescent="0.25">
      <c r="A34" s="136"/>
      <c r="B34" s="361"/>
      <c r="C34" s="384"/>
      <c r="D34" s="386"/>
      <c r="E34" s="386"/>
      <c r="F34" s="385"/>
      <c r="G34" s="385"/>
      <c r="H34" s="378"/>
      <c r="I34" s="378"/>
      <c r="J34" s="367"/>
      <c r="K34" s="379"/>
    </row>
    <row r="35" spans="1:11" ht="15.75" customHeight="1" x14ac:dyDescent="0.25">
      <c r="A35" s="136"/>
      <c r="B35" s="361"/>
      <c r="C35" s="384"/>
      <c r="D35" s="386"/>
      <c r="E35" s="386"/>
      <c r="F35" s="385"/>
      <c r="G35" s="385"/>
      <c r="H35" s="378"/>
      <c r="I35" s="378"/>
      <c r="J35" s="367"/>
      <c r="K35" s="379"/>
    </row>
    <row r="36" spans="1:11" ht="15.75" customHeight="1" x14ac:dyDescent="0.25">
      <c r="A36" s="136"/>
      <c r="B36" s="361" t="s">
        <v>546</v>
      </c>
      <c r="C36" s="384">
        <f t="shared" ref="C36:I36" si="1">+C33</f>
        <v>11690</v>
      </c>
      <c r="D36" s="384">
        <f t="shared" si="1"/>
        <v>2616</v>
      </c>
      <c r="E36" s="384">
        <f t="shared" si="1"/>
        <v>2041</v>
      </c>
      <c r="F36" s="384">
        <f t="shared" si="1"/>
        <v>49</v>
      </c>
      <c r="G36" s="384">
        <f t="shared" si="1"/>
        <v>94</v>
      </c>
      <c r="H36" s="387">
        <f t="shared" si="1"/>
        <v>0.6536203522504892</v>
      </c>
      <c r="I36" s="387">
        <f t="shared" si="1"/>
        <v>0.34071699213057416</v>
      </c>
      <c r="J36" s="367"/>
      <c r="K36" s="379"/>
    </row>
    <row r="37" spans="1:11" ht="15.75" customHeight="1" x14ac:dyDescent="0.25">
      <c r="A37" s="136"/>
      <c r="B37" s="361" t="s">
        <v>547</v>
      </c>
      <c r="C37" s="384">
        <v>12338</v>
      </c>
      <c r="D37" s="384">
        <v>2878</v>
      </c>
      <c r="E37" s="384">
        <v>2195</v>
      </c>
      <c r="F37" s="386">
        <v>49</v>
      </c>
      <c r="G37" s="386">
        <v>94</v>
      </c>
      <c r="H37" s="385">
        <f>IF(F37=0,0,$C37/(F37*365))</f>
        <v>0.68985183114341631</v>
      </c>
      <c r="I37" s="385">
        <f>IF(G37=0,0,$C37/(G37*365))</f>
        <v>0.35960361410667446</v>
      </c>
      <c r="J37" s="367"/>
      <c r="K37" s="379"/>
    </row>
    <row r="38" spans="1:11" ht="15.75" customHeight="1" x14ac:dyDescent="0.25">
      <c r="A38" s="136"/>
      <c r="B38" s="361" t="s">
        <v>548</v>
      </c>
      <c r="C38" s="384">
        <f t="shared" ref="C38:I38" si="2">+C36-C37</f>
        <v>-648</v>
      </c>
      <c r="D38" s="384">
        <f t="shared" si="2"/>
        <v>-262</v>
      </c>
      <c r="E38" s="384">
        <f t="shared" si="2"/>
        <v>-154</v>
      </c>
      <c r="F38" s="384">
        <f t="shared" si="2"/>
        <v>0</v>
      </c>
      <c r="G38" s="384">
        <f t="shared" si="2"/>
        <v>0</v>
      </c>
      <c r="H38" s="387">
        <f t="shared" si="2"/>
        <v>-3.6231478892927105E-2</v>
      </c>
      <c r="I38" s="387">
        <f t="shared" si="2"/>
        <v>-1.8886621976100304E-2</v>
      </c>
      <c r="J38" s="367"/>
      <c r="K38" s="379"/>
    </row>
    <row r="39" spans="1:11" ht="15.75" customHeight="1" x14ac:dyDescent="0.25">
      <c r="A39" s="136"/>
      <c r="B39" s="383"/>
      <c r="C39" s="388"/>
      <c r="D39" s="388"/>
      <c r="E39" s="388"/>
      <c r="F39" s="385"/>
      <c r="G39" s="385"/>
      <c r="H39" s="378"/>
      <c r="I39" s="378"/>
      <c r="J39" s="367"/>
      <c r="K39" s="379"/>
    </row>
    <row r="40" spans="1:11" ht="15.75" customHeight="1" x14ac:dyDescent="0.25">
      <c r="A40" s="136"/>
      <c r="B40" s="361" t="s">
        <v>549</v>
      </c>
      <c r="C40" s="389">
        <f t="shared" ref="C40:I40" si="3">IF(C37=0,0,C38/C37)</f>
        <v>-5.2520667855406065E-2</v>
      </c>
      <c r="D40" s="389">
        <f t="shared" si="3"/>
        <v>-9.1035441278665738E-2</v>
      </c>
      <c r="E40" s="389">
        <f t="shared" si="3"/>
        <v>-7.0159453302961278E-2</v>
      </c>
      <c r="F40" s="389">
        <f t="shared" si="3"/>
        <v>0</v>
      </c>
      <c r="G40" s="389">
        <f t="shared" si="3"/>
        <v>0</v>
      </c>
      <c r="H40" s="389">
        <f t="shared" si="3"/>
        <v>-5.2520667855406163E-2</v>
      </c>
      <c r="I40" s="389">
        <f t="shared" si="3"/>
        <v>-5.2520667855406176E-2</v>
      </c>
      <c r="J40" s="390"/>
      <c r="K40" s="379"/>
    </row>
    <row r="41" spans="1:11" ht="15.75" customHeight="1" x14ac:dyDescent="0.25">
      <c r="A41" s="391"/>
      <c r="B41" s="391"/>
      <c r="C41" s="391"/>
      <c r="D41" s="391"/>
      <c r="E41" s="391"/>
      <c r="F41" s="391"/>
      <c r="G41" s="391"/>
      <c r="H41" s="367"/>
      <c r="I41" s="379"/>
    </row>
    <row r="42" spans="1:11" ht="15.75" customHeight="1" x14ac:dyDescent="0.25">
      <c r="A42" s="391"/>
      <c r="B42" s="375" t="s">
        <v>550</v>
      </c>
      <c r="C42" s="375">
        <v>94</v>
      </c>
      <c r="D42" s="391"/>
      <c r="E42" s="391"/>
      <c r="F42" s="391"/>
      <c r="G42" s="391"/>
      <c r="H42" s="367"/>
      <c r="I42" s="379"/>
    </row>
    <row r="43" spans="1:11" ht="15.75" customHeight="1" x14ac:dyDescent="0.25">
      <c r="A43" s="391"/>
      <c r="B43" s="391"/>
      <c r="C43" s="391"/>
      <c r="D43" s="391"/>
      <c r="E43" s="391"/>
      <c r="F43" s="391"/>
      <c r="G43" s="391"/>
      <c r="H43" s="367"/>
      <c r="I43" s="379"/>
    </row>
    <row r="44" spans="1:11" ht="15.75" customHeight="1" x14ac:dyDescent="0.25">
      <c r="A44" s="392" t="s">
        <v>551</v>
      </c>
      <c r="B44" s="393"/>
      <c r="C44" s="394"/>
      <c r="D44" s="394"/>
      <c r="E44" s="394"/>
      <c r="F44" s="394"/>
      <c r="G44" s="394"/>
      <c r="H44" s="367"/>
      <c r="I44" s="379"/>
    </row>
    <row r="45" spans="1:11" ht="15.75" customHeight="1" x14ac:dyDescent="0.25">
      <c r="A45" s="392" t="s">
        <v>530</v>
      </c>
      <c r="B45" s="393"/>
      <c r="C45" s="394"/>
      <c r="D45" s="394"/>
      <c r="E45" s="394"/>
      <c r="F45" s="394"/>
      <c r="G45" s="394"/>
      <c r="H45" s="367"/>
      <c r="I45" s="379"/>
    </row>
    <row r="46" spans="1:11" ht="15.75" customHeight="1" x14ac:dyDescent="0.25">
      <c r="A46" s="392" t="s">
        <v>552</v>
      </c>
      <c r="B46" s="393"/>
      <c r="C46" s="394"/>
      <c r="D46" s="394"/>
      <c r="E46" s="394"/>
      <c r="F46" s="394"/>
      <c r="G46" s="394"/>
      <c r="H46" s="367"/>
      <c r="I46" s="379"/>
    </row>
    <row r="47" spans="1:11" ht="15.75" customHeight="1" x14ac:dyDescent="0.25">
      <c r="A47" s="395"/>
      <c r="B47" s="393"/>
      <c r="C47" s="393"/>
      <c r="D47" s="393"/>
      <c r="E47" s="393"/>
      <c r="F47" s="393"/>
      <c r="G47" s="393"/>
    </row>
    <row r="48" spans="1:11" ht="15" customHeight="1" x14ac:dyDescent="0.2">
      <c r="B48" s="397"/>
      <c r="C48" s="398"/>
    </row>
  </sheetData>
  <printOptions horizontalCentered="1" gridLines="1"/>
  <pageMargins left="0.5" right="0.5" top="0.5" bottom="0.5" header="0.25" footer="0.25"/>
  <pageSetup paperSize="9" scale="71" orientation="landscape" horizontalDpi="1200" verticalDpi="1200" r:id="rId1"/>
  <headerFooter>
    <oddHeader>&amp;LOFFICE OF HEALTH CARE ACCESS&amp;CTWELVE MONTHS ACTUAL FILING&amp;RESSENT-SHARON HOSPITAL</oddHeader>
    <oddFooter>&amp;LREPORT 400&amp;CPAGE &amp;P of &amp;N&amp;R&amp;D,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1"/>
  <sheetViews>
    <sheetView zoomScaleSheetLayoutView="90" workbookViewId="0">
      <selection activeCell="B13" sqref="B13"/>
    </sheetView>
  </sheetViews>
  <sheetFormatPr defaultRowHeight="12.75" x14ac:dyDescent="0.2"/>
  <cols>
    <col min="1" max="1" width="6.85546875" style="396" customWidth="1"/>
    <col min="2" max="2" width="52.5703125" style="365" customWidth="1"/>
    <col min="3" max="4" width="20.28515625" style="365" customWidth="1"/>
    <col min="5" max="5" width="19" style="365" customWidth="1"/>
    <col min="6" max="8" width="18.140625" style="365" customWidth="1"/>
    <col min="9" max="9" width="17.5703125" style="365" customWidth="1"/>
    <col min="10" max="11" width="22" style="365" bestFit="1" customWidth="1"/>
    <col min="12" max="12" width="14" style="365" bestFit="1" customWidth="1"/>
    <col min="13" max="13" width="15.140625" style="365" customWidth="1"/>
    <col min="14" max="16384" width="9.140625" style="365"/>
  </cols>
  <sheetData>
    <row r="1" spans="1:16" ht="15.75" customHeight="1" x14ac:dyDescent="0.25">
      <c r="A1" s="810" t="s">
        <v>0</v>
      </c>
      <c r="B1" s="811"/>
      <c r="C1" s="811"/>
      <c r="D1" s="811"/>
      <c r="E1" s="811"/>
      <c r="F1" s="812"/>
    </row>
    <row r="2" spans="1:16" ht="15.75" customHeight="1" x14ac:dyDescent="0.25">
      <c r="A2" s="810" t="s">
        <v>1</v>
      </c>
      <c r="B2" s="811"/>
      <c r="C2" s="811"/>
      <c r="D2" s="811"/>
      <c r="E2" s="811"/>
      <c r="F2" s="812"/>
    </row>
    <row r="3" spans="1:16" ht="15.75" customHeight="1" x14ac:dyDescent="0.25">
      <c r="A3" s="810" t="s">
        <v>2</v>
      </c>
      <c r="B3" s="811"/>
      <c r="C3" s="811"/>
      <c r="D3" s="811"/>
      <c r="E3" s="811"/>
      <c r="F3" s="812"/>
    </row>
    <row r="4" spans="1:16" ht="15.75" customHeight="1" x14ac:dyDescent="0.25">
      <c r="A4" s="810" t="s">
        <v>553</v>
      </c>
      <c r="B4" s="811"/>
      <c r="C4" s="811"/>
      <c r="D4" s="811"/>
      <c r="E4" s="811"/>
      <c r="F4" s="812"/>
    </row>
    <row r="5" spans="1:16" ht="15.75" customHeight="1" x14ac:dyDescent="0.25">
      <c r="A5" s="136"/>
      <c r="B5" s="399"/>
      <c r="C5" s="400"/>
      <c r="D5" s="400"/>
      <c r="E5" s="401"/>
      <c r="F5" s="402"/>
      <c r="G5" s="403"/>
      <c r="H5" s="403"/>
      <c r="I5" s="331"/>
      <c r="J5" s="331"/>
      <c r="K5" s="331"/>
      <c r="L5" s="372"/>
      <c r="M5" s="372"/>
    </row>
    <row r="6" spans="1:1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  <c r="G6" s="404"/>
      <c r="H6" s="404"/>
      <c r="I6" s="331"/>
      <c r="J6" s="331"/>
      <c r="K6" s="331"/>
      <c r="L6" s="331"/>
      <c r="M6" s="331"/>
      <c r="N6" s="331"/>
      <c r="O6" s="331"/>
      <c r="P6" s="331"/>
    </row>
    <row r="7" spans="1:16" ht="15.75" customHeight="1" x14ac:dyDescent="0.25">
      <c r="A7" s="405"/>
      <c r="B7" s="361"/>
      <c r="C7" s="362"/>
      <c r="D7" s="362"/>
      <c r="E7" s="362"/>
      <c r="F7" s="362"/>
      <c r="G7" s="404"/>
      <c r="H7" s="404"/>
      <c r="I7" s="331"/>
      <c r="J7" s="331"/>
      <c r="K7" s="331"/>
      <c r="L7" s="331"/>
      <c r="M7" s="331"/>
      <c r="N7" s="331"/>
      <c r="O7" s="331"/>
      <c r="P7" s="331"/>
    </row>
    <row r="8" spans="1:1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  <c r="G8" s="404"/>
      <c r="H8" s="404"/>
      <c r="I8" s="331"/>
      <c r="J8" s="331"/>
      <c r="K8" s="331"/>
      <c r="L8" s="331"/>
      <c r="M8" s="331"/>
      <c r="N8" s="331"/>
      <c r="O8" s="331"/>
      <c r="P8" s="331"/>
    </row>
    <row r="9" spans="1:1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  <c r="G9" s="404"/>
      <c r="H9" s="404"/>
      <c r="I9" s="331"/>
      <c r="J9" s="331"/>
      <c r="K9" s="331"/>
      <c r="L9" s="331"/>
      <c r="M9" s="331"/>
      <c r="N9" s="331"/>
      <c r="O9" s="331"/>
      <c r="P9" s="331"/>
    </row>
    <row r="10" spans="1:16" ht="15.75" customHeight="1" x14ac:dyDescent="0.25">
      <c r="A10" s="369"/>
      <c r="B10" s="406"/>
      <c r="C10" s="371"/>
      <c r="D10" s="371"/>
      <c r="E10" s="371"/>
      <c r="F10" s="371"/>
      <c r="G10" s="404"/>
      <c r="H10" s="404"/>
      <c r="I10" s="331"/>
      <c r="J10" s="331"/>
      <c r="K10" s="331"/>
      <c r="L10" s="331"/>
      <c r="M10" s="331"/>
      <c r="N10" s="331"/>
      <c r="O10" s="331"/>
      <c r="P10" s="331"/>
    </row>
    <row r="11" spans="1:16" ht="15.75" customHeight="1" x14ac:dyDescent="0.25">
      <c r="A11" s="136" t="s">
        <v>14</v>
      </c>
      <c r="B11" s="406" t="s">
        <v>554</v>
      </c>
      <c r="C11" s="371"/>
      <c r="D11" s="371"/>
      <c r="E11" s="371"/>
      <c r="F11" s="371"/>
      <c r="G11" s="404"/>
      <c r="H11" s="404"/>
      <c r="I11" s="331"/>
      <c r="J11" s="331"/>
      <c r="K11" s="331"/>
      <c r="L11" s="331"/>
      <c r="M11" s="331"/>
      <c r="N11" s="331"/>
      <c r="O11" s="331"/>
      <c r="P11" s="331"/>
    </row>
    <row r="12" spans="1:16" ht="15.75" customHeight="1" x14ac:dyDescent="0.25">
      <c r="A12" s="374">
        <v>1</v>
      </c>
      <c r="B12" s="408" t="s">
        <v>555</v>
      </c>
      <c r="C12" s="409">
        <v>427</v>
      </c>
      <c r="D12" s="409">
        <v>361</v>
      </c>
      <c r="E12" s="409">
        <f>+D12-C12</f>
        <v>-66</v>
      </c>
      <c r="F12" s="410">
        <f>IF(C12=0,0,+E12/C12)</f>
        <v>-0.15456674473067916</v>
      </c>
      <c r="G12" s="404"/>
      <c r="H12" s="404"/>
      <c r="I12" s="331"/>
      <c r="J12" s="331"/>
      <c r="K12" s="331"/>
      <c r="L12" s="331"/>
      <c r="M12" s="331"/>
      <c r="N12" s="331"/>
      <c r="O12" s="331"/>
      <c r="P12" s="331"/>
    </row>
    <row r="13" spans="1:16" ht="30" customHeight="1" x14ac:dyDescent="0.25">
      <c r="A13" s="374">
        <v>2</v>
      </c>
      <c r="B13" s="408" t="s">
        <v>556</v>
      </c>
      <c r="C13" s="409">
        <v>1419</v>
      </c>
      <c r="D13" s="409">
        <v>1487</v>
      </c>
      <c r="E13" s="409">
        <f>+D13-C13</f>
        <v>68</v>
      </c>
      <c r="F13" s="410">
        <f>IF(C13=0,0,+E13/C13)</f>
        <v>4.7921071176885127E-2</v>
      </c>
      <c r="G13" s="404"/>
      <c r="H13" s="404"/>
      <c r="I13" s="331"/>
      <c r="J13" s="331"/>
      <c r="K13" s="331"/>
      <c r="L13" s="331"/>
      <c r="M13" s="331"/>
      <c r="N13" s="331"/>
      <c r="O13" s="331"/>
      <c r="P13" s="331"/>
    </row>
    <row r="14" spans="1:16" ht="15.75" customHeight="1" x14ac:dyDescent="0.25">
      <c r="A14" s="374">
        <v>3</v>
      </c>
      <c r="B14" s="408" t="s">
        <v>557</v>
      </c>
      <c r="C14" s="409">
        <v>2889</v>
      </c>
      <c r="D14" s="409">
        <v>3161</v>
      </c>
      <c r="E14" s="409">
        <f>+D14-C14</f>
        <v>272</v>
      </c>
      <c r="F14" s="410">
        <f>IF(C14=0,0,+E14/C14)</f>
        <v>9.4150224991346482E-2</v>
      </c>
      <c r="G14" s="404"/>
      <c r="H14" s="404"/>
      <c r="I14" s="331"/>
      <c r="J14" s="331"/>
      <c r="K14" s="331"/>
      <c r="L14" s="331"/>
      <c r="M14" s="331"/>
      <c r="N14" s="331"/>
      <c r="O14" s="331"/>
      <c r="P14" s="331"/>
    </row>
    <row r="15" spans="1:16" ht="15.75" customHeight="1" x14ac:dyDescent="0.25">
      <c r="A15" s="374">
        <v>4</v>
      </c>
      <c r="B15" s="408" t="s">
        <v>558</v>
      </c>
      <c r="C15" s="409">
        <v>0</v>
      </c>
      <c r="D15" s="409">
        <v>0</v>
      </c>
      <c r="E15" s="409">
        <f>+D15-C15</f>
        <v>0</v>
      </c>
      <c r="F15" s="410">
        <f>IF(C15=0,0,+E15/C15)</f>
        <v>0</v>
      </c>
      <c r="G15" s="404"/>
      <c r="H15" s="404"/>
      <c r="I15" s="331"/>
      <c r="J15" s="331"/>
      <c r="K15" s="331"/>
      <c r="L15" s="331"/>
      <c r="M15" s="331"/>
      <c r="N15" s="331"/>
      <c r="O15" s="331"/>
      <c r="P15" s="331"/>
    </row>
    <row r="16" spans="1:16" ht="15.75" customHeight="1" x14ac:dyDescent="0.25">
      <c r="A16" s="136"/>
      <c r="B16" s="399" t="s">
        <v>559</v>
      </c>
      <c r="C16" s="401">
        <f>SUM(C12:C15)</f>
        <v>4735</v>
      </c>
      <c r="D16" s="401">
        <f>SUM(D12:D15)</f>
        <v>5009</v>
      </c>
      <c r="E16" s="401">
        <f>+D16-C16</f>
        <v>274</v>
      </c>
      <c r="F16" s="402">
        <f>IF(C16=0,0,+E16/C16)</f>
        <v>5.7866948257655752E-2</v>
      </c>
      <c r="G16" s="404"/>
      <c r="H16" s="404"/>
      <c r="I16" s="331"/>
      <c r="J16" s="331"/>
      <c r="K16" s="331"/>
      <c r="L16" s="331"/>
      <c r="M16" s="331"/>
      <c r="N16" s="331"/>
      <c r="O16" s="331"/>
      <c r="P16" s="331"/>
    </row>
    <row r="17" spans="1:16" ht="15.75" customHeight="1" x14ac:dyDescent="0.25">
      <c r="A17" s="369"/>
      <c r="B17" s="399"/>
      <c r="C17" s="371"/>
      <c r="D17" s="371"/>
      <c r="E17" s="371"/>
      <c r="F17" s="371"/>
      <c r="G17" s="404"/>
      <c r="H17" s="404"/>
      <c r="I17" s="331"/>
      <c r="J17" s="331"/>
      <c r="K17" s="331"/>
      <c r="L17" s="331"/>
      <c r="M17" s="331"/>
      <c r="N17" s="331"/>
      <c r="O17" s="331"/>
      <c r="P17" s="331"/>
    </row>
    <row r="18" spans="1:16" ht="15.75" customHeight="1" x14ac:dyDescent="0.25">
      <c r="A18" s="136" t="s">
        <v>26</v>
      </c>
      <c r="B18" s="406" t="s">
        <v>560</v>
      </c>
      <c r="C18" s="409"/>
      <c r="D18" s="409"/>
      <c r="E18" s="409"/>
      <c r="F18" s="410"/>
      <c r="G18" s="411"/>
      <c r="H18" s="411"/>
      <c r="I18" s="331"/>
      <c r="J18" s="331"/>
      <c r="K18" s="331"/>
      <c r="L18" s="331"/>
      <c r="M18" s="331"/>
      <c r="N18" s="331"/>
      <c r="O18" s="331"/>
      <c r="P18" s="331"/>
    </row>
    <row r="19" spans="1:16" ht="15" customHeight="1" x14ac:dyDescent="0.2">
      <c r="A19" s="374">
        <v>1</v>
      </c>
      <c r="B19" s="408" t="s">
        <v>555</v>
      </c>
      <c r="C19" s="409">
        <v>208</v>
      </c>
      <c r="D19" s="409">
        <v>175</v>
      </c>
      <c r="E19" s="409">
        <f>+D19-C19</f>
        <v>-33</v>
      </c>
      <c r="F19" s="410">
        <f>IF(C19=0,0,+E19/C19)</f>
        <v>-0.15865384615384615</v>
      </c>
      <c r="G19" s="411"/>
      <c r="H19" s="411"/>
      <c r="I19" s="331"/>
      <c r="J19" s="331"/>
      <c r="K19" s="331"/>
      <c r="L19" s="331"/>
      <c r="M19" s="331"/>
      <c r="N19" s="331"/>
      <c r="O19" s="331"/>
      <c r="P19" s="331"/>
    </row>
    <row r="20" spans="1:16" ht="30" customHeight="1" x14ac:dyDescent="0.2">
      <c r="A20" s="374">
        <v>2</v>
      </c>
      <c r="B20" s="408" t="s">
        <v>556</v>
      </c>
      <c r="C20" s="409">
        <v>1503</v>
      </c>
      <c r="D20" s="409">
        <v>1668</v>
      </c>
      <c r="E20" s="409">
        <f>+D20-C20</f>
        <v>165</v>
      </c>
      <c r="F20" s="410">
        <f>IF(C20=0,0,+E20/C20)</f>
        <v>0.10978043912175649</v>
      </c>
      <c r="G20" s="411"/>
      <c r="H20" s="411"/>
      <c r="I20" s="331"/>
      <c r="J20" s="331"/>
      <c r="K20" s="331"/>
      <c r="L20" s="331"/>
      <c r="M20" s="331"/>
      <c r="N20" s="331"/>
      <c r="O20" s="331"/>
      <c r="P20" s="331"/>
    </row>
    <row r="21" spans="1:16" ht="15" customHeight="1" x14ac:dyDescent="0.2">
      <c r="A21" s="374">
        <v>3</v>
      </c>
      <c r="B21" s="408" t="s">
        <v>557</v>
      </c>
      <c r="C21" s="409">
        <v>80</v>
      </c>
      <c r="D21" s="409">
        <v>92</v>
      </c>
      <c r="E21" s="409">
        <f>+D21-C21</f>
        <v>12</v>
      </c>
      <c r="F21" s="410">
        <f>IF(C21=0,0,+E21/C21)</f>
        <v>0.15</v>
      </c>
      <c r="G21" s="411"/>
      <c r="H21" s="411"/>
      <c r="I21" s="331"/>
      <c r="J21" s="331"/>
      <c r="K21" s="331"/>
      <c r="L21" s="331"/>
      <c r="M21" s="331"/>
      <c r="N21" s="331"/>
      <c r="O21" s="331"/>
      <c r="P21" s="331"/>
    </row>
    <row r="22" spans="1:16" ht="15" customHeight="1" x14ac:dyDescent="0.2">
      <c r="A22" s="374">
        <v>4</v>
      </c>
      <c r="B22" s="408" t="s">
        <v>558</v>
      </c>
      <c r="C22" s="409">
        <v>0</v>
      </c>
      <c r="D22" s="409">
        <v>0</v>
      </c>
      <c r="E22" s="409">
        <f>+D22-C22</f>
        <v>0</v>
      </c>
      <c r="F22" s="410">
        <f>IF(C22=0,0,+E22/C22)</f>
        <v>0</v>
      </c>
      <c r="G22" s="411"/>
      <c r="H22" s="411"/>
      <c r="I22" s="331"/>
      <c r="J22" s="331"/>
      <c r="K22" s="331"/>
      <c r="L22" s="331"/>
      <c r="M22" s="331"/>
      <c r="N22" s="331"/>
      <c r="O22" s="331"/>
      <c r="P22" s="331"/>
    </row>
    <row r="23" spans="1:16" ht="15.75" customHeight="1" x14ac:dyDescent="0.25">
      <c r="A23" s="136"/>
      <c r="B23" s="399" t="s">
        <v>561</v>
      </c>
      <c r="C23" s="401">
        <f>SUM(C19:C22)</f>
        <v>1791</v>
      </c>
      <c r="D23" s="401">
        <f>SUM(D19:D22)</f>
        <v>1935</v>
      </c>
      <c r="E23" s="401">
        <f>+D23-C23</f>
        <v>144</v>
      </c>
      <c r="F23" s="402">
        <f>IF(C23=0,0,+E23/C23)</f>
        <v>8.0402010050251257E-2</v>
      </c>
      <c r="G23" s="411"/>
      <c r="H23" s="411"/>
      <c r="I23" s="331"/>
      <c r="J23" s="331"/>
      <c r="K23" s="331"/>
      <c r="L23" s="331"/>
      <c r="M23" s="331"/>
      <c r="N23" s="331"/>
      <c r="O23" s="331"/>
      <c r="P23" s="331"/>
    </row>
    <row r="24" spans="1:16" ht="15.75" customHeight="1" x14ac:dyDescent="0.25">
      <c r="A24" s="136"/>
      <c r="B24" s="399"/>
      <c r="C24" s="409"/>
      <c r="D24" s="409"/>
      <c r="E24" s="409"/>
      <c r="F24" s="410"/>
      <c r="G24" s="411"/>
      <c r="H24" s="411"/>
      <c r="I24" s="331"/>
      <c r="J24" s="331"/>
      <c r="K24" s="331"/>
      <c r="L24" s="331"/>
      <c r="M24" s="331"/>
      <c r="N24" s="331"/>
      <c r="O24" s="331"/>
      <c r="P24" s="331"/>
    </row>
    <row r="25" spans="1:16" ht="15.75" customHeight="1" x14ac:dyDescent="0.25">
      <c r="A25" s="136" t="s">
        <v>36</v>
      </c>
      <c r="B25" s="406" t="s">
        <v>562</v>
      </c>
      <c r="C25" s="409"/>
      <c r="D25" s="409"/>
      <c r="E25" s="409"/>
      <c r="F25" s="410"/>
      <c r="G25" s="411"/>
      <c r="H25" s="411"/>
      <c r="I25" s="331"/>
      <c r="J25" s="331"/>
      <c r="K25" s="331"/>
      <c r="L25" s="331"/>
      <c r="M25" s="331"/>
      <c r="N25" s="331"/>
      <c r="O25" s="331"/>
      <c r="P25" s="331"/>
    </row>
    <row r="26" spans="1:16" ht="15" customHeight="1" x14ac:dyDescent="0.2">
      <c r="A26" s="374">
        <v>1</v>
      </c>
      <c r="B26" s="408" t="s">
        <v>555</v>
      </c>
      <c r="C26" s="409">
        <v>0</v>
      </c>
      <c r="D26" s="409">
        <v>0</v>
      </c>
      <c r="E26" s="409">
        <f>+D26-C26</f>
        <v>0</v>
      </c>
      <c r="F26" s="410">
        <f>IF(C26=0,0,+E26/C26)</f>
        <v>0</v>
      </c>
      <c r="G26" s="411"/>
      <c r="H26" s="411"/>
      <c r="I26" s="331"/>
      <c r="J26" s="331"/>
      <c r="K26" s="331"/>
      <c r="L26" s="331"/>
      <c r="M26" s="331"/>
      <c r="N26" s="331"/>
      <c r="O26" s="331"/>
      <c r="P26" s="331"/>
    </row>
    <row r="27" spans="1:16" ht="30" customHeight="1" x14ac:dyDescent="0.2">
      <c r="A27" s="374">
        <v>2</v>
      </c>
      <c r="B27" s="408" t="s">
        <v>556</v>
      </c>
      <c r="C27" s="409">
        <v>0</v>
      </c>
      <c r="D27" s="409">
        <v>0</v>
      </c>
      <c r="E27" s="409">
        <f>+D27-C27</f>
        <v>0</v>
      </c>
      <c r="F27" s="410">
        <f>IF(C27=0,0,+E27/C27)</f>
        <v>0</v>
      </c>
      <c r="G27" s="411"/>
      <c r="H27" s="411"/>
      <c r="I27" s="331"/>
      <c r="J27" s="331"/>
      <c r="K27" s="331"/>
      <c r="L27" s="331"/>
      <c r="M27" s="331"/>
      <c r="N27" s="331"/>
      <c r="O27" s="331"/>
      <c r="P27" s="331"/>
    </row>
    <row r="28" spans="1:16" ht="15" customHeight="1" x14ac:dyDescent="0.2">
      <c r="A28" s="374">
        <v>3</v>
      </c>
      <c r="B28" s="408" t="s">
        <v>557</v>
      </c>
      <c r="C28" s="409">
        <v>0</v>
      </c>
      <c r="D28" s="409">
        <v>0</v>
      </c>
      <c r="E28" s="409">
        <f>+D28-C28</f>
        <v>0</v>
      </c>
      <c r="F28" s="410">
        <f>IF(C28=0,0,+E28/C28)</f>
        <v>0</v>
      </c>
      <c r="G28" s="411"/>
      <c r="H28" s="411"/>
      <c r="I28" s="331"/>
      <c r="J28" s="331"/>
      <c r="K28" s="331"/>
      <c r="L28" s="331"/>
      <c r="M28" s="331"/>
      <c r="N28" s="331"/>
      <c r="O28" s="331"/>
      <c r="P28" s="331"/>
    </row>
    <row r="29" spans="1:16" ht="15" customHeight="1" x14ac:dyDescent="0.2">
      <c r="A29" s="374">
        <v>4</v>
      </c>
      <c r="B29" s="408" t="s">
        <v>558</v>
      </c>
      <c r="C29" s="409">
        <v>0</v>
      </c>
      <c r="D29" s="409">
        <v>0</v>
      </c>
      <c r="E29" s="409">
        <f>+D29-C29</f>
        <v>0</v>
      </c>
      <c r="F29" s="410">
        <f>IF(C29=0,0,+E29/C29)</f>
        <v>0</v>
      </c>
      <c r="G29" s="411"/>
      <c r="H29" s="411"/>
      <c r="I29" s="331"/>
      <c r="J29" s="331"/>
      <c r="K29" s="331"/>
      <c r="L29" s="331"/>
      <c r="M29" s="331"/>
      <c r="N29" s="331"/>
      <c r="O29" s="331"/>
      <c r="P29" s="331"/>
    </row>
    <row r="30" spans="1:16" ht="15.75" customHeight="1" x14ac:dyDescent="0.25">
      <c r="A30" s="136"/>
      <c r="B30" s="399" t="s">
        <v>563</v>
      </c>
      <c r="C30" s="401">
        <f>SUM(C26:C29)</f>
        <v>0</v>
      </c>
      <c r="D30" s="401">
        <f>SUM(D26:D29)</f>
        <v>0</v>
      </c>
      <c r="E30" s="401">
        <f>+D30-C30</f>
        <v>0</v>
      </c>
      <c r="F30" s="402">
        <f>IF(C30=0,0,+E30/C30)</f>
        <v>0</v>
      </c>
      <c r="G30" s="411"/>
      <c r="H30" s="411"/>
      <c r="I30" s="331"/>
      <c r="J30" s="331"/>
      <c r="K30" s="331"/>
      <c r="L30" s="331"/>
      <c r="M30" s="331"/>
      <c r="N30" s="331"/>
      <c r="O30" s="331"/>
      <c r="P30" s="331"/>
    </row>
    <row r="31" spans="1:16" ht="15.75" customHeight="1" x14ac:dyDescent="0.25">
      <c r="A31" s="136"/>
      <c r="B31" s="399"/>
      <c r="C31" s="409"/>
      <c r="D31" s="409"/>
      <c r="E31" s="409"/>
      <c r="F31" s="410"/>
      <c r="G31" s="411"/>
      <c r="H31" s="411"/>
      <c r="I31" s="331"/>
      <c r="J31" s="331"/>
      <c r="K31" s="331"/>
      <c r="L31" s="331"/>
      <c r="M31" s="331"/>
      <c r="N31" s="331"/>
      <c r="O31" s="331"/>
      <c r="P31" s="331"/>
    </row>
    <row r="32" spans="1:16" ht="15.75" customHeight="1" x14ac:dyDescent="0.25">
      <c r="A32" s="136" t="s">
        <v>170</v>
      </c>
      <c r="B32" s="406" t="s">
        <v>564</v>
      </c>
      <c r="C32" s="409"/>
      <c r="D32" s="409"/>
      <c r="E32" s="409"/>
      <c r="F32" s="410"/>
      <c r="G32" s="411"/>
      <c r="H32" s="411"/>
      <c r="I32" s="331"/>
      <c r="J32" s="331"/>
      <c r="K32" s="331"/>
      <c r="L32" s="331"/>
      <c r="M32" s="331"/>
      <c r="N32" s="331"/>
      <c r="O32" s="331"/>
      <c r="P32" s="331"/>
    </row>
    <row r="33" spans="1:16" ht="15" customHeight="1" x14ac:dyDescent="0.2">
      <c r="A33" s="374">
        <v>1</v>
      </c>
      <c r="B33" s="408" t="s">
        <v>555</v>
      </c>
      <c r="C33" s="409">
        <v>0</v>
      </c>
      <c r="D33" s="409">
        <v>0</v>
      </c>
      <c r="E33" s="409">
        <f>+D33-C33</f>
        <v>0</v>
      </c>
      <c r="F33" s="410">
        <f>IF(C33=0,0,+E33/C33)</f>
        <v>0</v>
      </c>
      <c r="G33" s="411"/>
      <c r="H33" s="411"/>
      <c r="I33" s="331"/>
      <c r="J33" s="331"/>
      <c r="K33" s="331"/>
      <c r="L33" s="331"/>
      <c r="M33" s="331"/>
      <c r="N33" s="331"/>
      <c r="O33" s="331"/>
      <c r="P33" s="331"/>
    </row>
    <row r="34" spans="1:16" ht="30" x14ac:dyDescent="0.2">
      <c r="A34" s="374">
        <v>2</v>
      </c>
      <c r="B34" s="408" t="s">
        <v>556</v>
      </c>
      <c r="C34" s="409">
        <v>0</v>
      </c>
      <c r="D34" s="409">
        <v>0</v>
      </c>
      <c r="E34" s="409">
        <f>+D34-C34</f>
        <v>0</v>
      </c>
      <c r="F34" s="410">
        <f>IF(C34=0,0,+E34/C34)</f>
        <v>0</v>
      </c>
      <c r="G34" s="411"/>
      <c r="H34" s="411"/>
      <c r="I34" s="331"/>
      <c r="J34" s="331"/>
      <c r="K34" s="331"/>
      <c r="L34" s="331"/>
      <c r="M34" s="331"/>
      <c r="N34" s="331"/>
      <c r="O34" s="331"/>
      <c r="P34" s="331"/>
    </row>
    <row r="35" spans="1:16" ht="15" customHeight="1" x14ac:dyDescent="0.2">
      <c r="A35" s="374">
        <v>3</v>
      </c>
      <c r="B35" s="408" t="s">
        <v>557</v>
      </c>
      <c r="C35" s="409">
        <v>0</v>
      </c>
      <c r="D35" s="409">
        <v>0</v>
      </c>
      <c r="E35" s="409">
        <f>+D35-C35</f>
        <v>0</v>
      </c>
      <c r="F35" s="410">
        <f>IF(C35=0,0,+E35/C35)</f>
        <v>0</v>
      </c>
      <c r="G35" s="411"/>
      <c r="H35" s="411"/>
      <c r="I35" s="331"/>
      <c r="J35" s="331"/>
      <c r="K35" s="331"/>
      <c r="L35" s="331"/>
      <c r="M35" s="331"/>
      <c r="N35" s="331"/>
      <c r="O35" s="331"/>
      <c r="P35" s="331"/>
    </row>
    <row r="36" spans="1:16" ht="15" customHeight="1" x14ac:dyDescent="0.2">
      <c r="A36" s="374">
        <v>4</v>
      </c>
      <c r="B36" s="408" t="s">
        <v>558</v>
      </c>
      <c r="C36" s="409">
        <v>0</v>
      </c>
      <c r="D36" s="409">
        <v>0</v>
      </c>
      <c r="E36" s="409">
        <f>+D36-C36</f>
        <v>0</v>
      </c>
      <c r="F36" s="410">
        <f>IF(C36=0,0,+E36/C36)</f>
        <v>0</v>
      </c>
      <c r="G36" s="411"/>
      <c r="H36" s="411"/>
      <c r="I36" s="331"/>
      <c r="J36" s="331"/>
      <c r="K36" s="331"/>
      <c r="L36" s="331"/>
      <c r="M36" s="331"/>
      <c r="N36" s="331"/>
      <c r="O36" s="331"/>
      <c r="P36" s="331"/>
    </row>
    <row r="37" spans="1:16" ht="15.75" customHeight="1" x14ac:dyDescent="0.25">
      <c r="A37" s="136"/>
      <c r="B37" s="399" t="s">
        <v>565</v>
      </c>
      <c r="C37" s="401">
        <f>SUM(C33:C36)</f>
        <v>0</v>
      </c>
      <c r="D37" s="401">
        <f>SUM(D33:D36)</f>
        <v>0</v>
      </c>
      <c r="E37" s="401">
        <f>+D37-C37</f>
        <v>0</v>
      </c>
      <c r="F37" s="402">
        <f>IF(C37=0,0,+E37/C37)</f>
        <v>0</v>
      </c>
      <c r="G37" s="411"/>
      <c r="H37" s="411"/>
      <c r="I37" s="331"/>
      <c r="J37" s="331"/>
      <c r="K37" s="331"/>
      <c r="L37" s="331"/>
      <c r="M37" s="331"/>
      <c r="N37" s="331"/>
      <c r="O37" s="331"/>
      <c r="P37" s="331"/>
    </row>
    <row r="38" spans="1:16" ht="15.75" customHeight="1" x14ac:dyDescent="0.25">
      <c r="A38" s="136"/>
      <c r="B38" s="399"/>
      <c r="C38" s="409"/>
      <c r="D38" s="409"/>
      <c r="E38" s="409"/>
      <c r="F38" s="410"/>
      <c r="G38" s="411"/>
      <c r="H38" s="411"/>
      <c r="I38" s="331"/>
      <c r="J38" s="331"/>
      <c r="K38" s="331"/>
      <c r="L38" s="331"/>
      <c r="M38" s="331"/>
      <c r="N38" s="331"/>
      <c r="O38" s="331"/>
      <c r="P38" s="331"/>
    </row>
    <row r="39" spans="1:16" ht="15.75" customHeight="1" x14ac:dyDescent="0.25">
      <c r="A39" s="136"/>
      <c r="B39" s="813" t="s">
        <v>566</v>
      </c>
      <c r="C39" s="814"/>
      <c r="D39" s="814"/>
      <c r="E39" s="814"/>
      <c r="F39" s="815"/>
    </row>
    <row r="40" spans="1:16" ht="15.75" customHeight="1" x14ac:dyDescent="0.25">
      <c r="A40" s="136"/>
      <c r="B40" s="813" t="s">
        <v>567</v>
      </c>
      <c r="C40" s="814"/>
      <c r="D40" s="814"/>
      <c r="E40" s="814"/>
      <c r="F40" s="815"/>
    </row>
    <row r="41" spans="1:16" ht="15.75" customHeight="1" x14ac:dyDescent="0.25">
      <c r="A41" s="369"/>
      <c r="B41" s="406"/>
      <c r="C41" s="371"/>
      <c r="D41" s="371"/>
      <c r="E41" s="371"/>
      <c r="F41" s="371"/>
      <c r="G41" s="411"/>
      <c r="H41" s="411"/>
      <c r="I41" s="331"/>
      <c r="J41" s="331"/>
      <c r="K41" s="331"/>
      <c r="L41" s="331"/>
      <c r="M41" s="331"/>
      <c r="N41" s="331"/>
      <c r="O41" s="331"/>
      <c r="P41" s="331"/>
    </row>
    <row r="42" spans="1:16" ht="15.75" customHeight="1" x14ac:dyDescent="0.25">
      <c r="A42" s="136" t="s">
        <v>175</v>
      </c>
      <c r="B42" s="406" t="s">
        <v>568</v>
      </c>
      <c r="C42" s="409"/>
      <c r="D42" s="409"/>
      <c r="E42" s="409"/>
      <c r="F42" s="410"/>
      <c r="G42" s="411"/>
      <c r="H42" s="411"/>
      <c r="I42" s="331"/>
      <c r="J42" s="331"/>
      <c r="K42" s="331"/>
      <c r="L42" s="331"/>
      <c r="M42" s="331"/>
      <c r="N42" s="331"/>
      <c r="O42" s="331"/>
      <c r="P42" s="331"/>
    </row>
    <row r="43" spans="1:16" ht="15" customHeight="1" x14ac:dyDescent="0.2">
      <c r="A43" s="374">
        <v>1</v>
      </c>
      <c r="B43" s="408" t="s">
        <v>569</v>
      </c>
      <c r="C43" s="409">
        <v>0</v>
      </c>
      <c r="D43" s="409">
        <v>0</v>
      </c>
      <c r="E43" s="409">
        <f>+D43-C43</f>
        <v>0</v>
      </c>
      <c r="F43" s="410">
        <f>IF(C43=0,0,+E43/C43)</f>
        <v>0</v>
      </c>
      <c r="G43" s="411"/>
      <c r="H43" s="411"/>
      <c r="I43" s="331"/>
      <c r="J43" s="331"/>
      <c r="K43" s="331"/>
      <c r="L43" s="331"/>
      <c r="M43" s="331"/>
      <c r="N43" s="331"/>
      <c r="O43" s="331"/>
      <c r="P43" s="331"/>
    </row>
    <row r="44" spans="1:16" ht="15" customHeight="1" x14ac:dyDescent="0.2">
      <c r="A44" s="374">
        <v>2</v>
      </c>
      <c r="B44" s="408" t="s">
        <v>570</v>
      </c>
      <c r="C44" s="409">
        <v>0</v>
      </c>
      <c r="D44" s="409">
        <v>0</v>
      </c>
      <c r="E44" s="409">
        <f>+D44-C44</f>
        <v>0</v>
      </c>
      <c r="F44" s="410">
        <f>IF(C44=0,0,+E44/C44)</f>
        <v>0</v>
      </c>
      <c r="G44" s="411"/>
      <c r="H44" s="411"/>
      <c r="I44" s="331"/>
      <c r="J44" s="331"/>
      <c r="K44" s="331"/>
      <c r="L44" s="331"/>
      <c r="M44" s="331"/>
      <c r="N44" s="331"/>
      <c r="O44" s="331"/>
      <c r="P44" s="331"/>
    </row>
    <row r="45" spans="1:16" ht="15.75" customHeight="1" x14ac:dyDescent="0.25">
      <c r="A45" s="136"/>
      <c r="B45" s="399" t="s">
        <v>571</v>
      </c>
      <c r="C45" s="401">
        <f>SUM(C43:C44)</f>
        <v>0</v>
      </c>
      <c r="D45" s="401">
        <f>SUM(D43:D44)</f>
        <v>0</v>
      </c>
      <c r="E45" s="401">
        <f>+D45-C45</f>
        <v>0</v>
      </c>
      <c r="F45" s="402">
        <f>IF(C45=0,0,+E45/C45)</f>
        <v>0</v>
      </c>
      <c r="G45" s="411"/>
      <c r="H45" s="411"/>
      <c r="I45" s="331"/>
      <c r="J45" s="331"/>
      <c r="K45" s="331"/>
      <c r="L45" s="331"/>
      <c r="M45" s="331"/>
      <c r="N45" s="331"/>
      <c r="O45" s="331"/>
      <c r="P45" s="331"/>
    </row>
    <row r="46" spans="1:16" ht="15.75" customHeight="1" x14ac:dyDescent="0.25">
      <c r="A46" s="369"/>
      <c r="B46" s="406"/>
      <c r="C46" s="371"/>
      <c r="D46" s="371"/>
      <c r="E46" s="371"/>
      <c r="F46" s="371"/>
      <c r="G46" s="411"/>
      <c r="H46" s="411"/>
      <c r="I46" s="331"/>
      <c r="J46" s="331"/>
      <c r="K46" s="331"/>
      <c r="L46" s="331"/>
      <c r="M46" s="331"/>
      <c r="N46" s="331"/>
      <c r="O46" s="331"/>
      <c r="P46" s="331"/>
    </row>
    <row r="47" spans="1:16" ht="15.75" customHeight="1" x14ac:dyDescent="0.25">
      <c r="A47" s="136" t="s">
        <v>181</v>
      </c>
      <c r="B47" s="406" t="s">
        <v>572</v>
      </c>
      <c r="C47" s="409"/>
      <c r="D47" s="409"/>
      <c r="E47" s="409"/>
      <c r="F47" s="409"/>
      <c r="G47" s="411"/>
      <c r="H47" s="411"/>
      <c r="I47" s="331"/>
      <c r="J47" s="331"/>
      <c r="K47" s="331"/>
      <c r="L47" s="331"/>
      <c r="M47" s="331"/>
      <c r="N47" s="331"/>
      <c r="O47" s="331"/>
      <c r="P47" s="331"/>
    </row>
    <row r="48" spans="1:16" ht="15" customHeight="1" x14ac:dyDescent="0.2">
      <c r="A48" s="374">
        <v>1</v>
      </c>
      <c r="B48" s="408" t="s">
        <v>569</v>
      </c>
      <c r="C48" s="409">
        <v>0</v>
      </c>
      <c r="D48" s="409">
        <v>0</v>
      </c>
      <c r="E48" s="409">
        <f>+D48-C48</f>
        <v>0</v>
      </c>
      <c r="F48" s="410">
        <f>IF(C48=0,0,+E48/C48)</f>
        <v>0</v>
      </c>
      <c r="G48" s="411"/>
      <c r="H48" s="411"/>
      <c r="I48" s="331"/>
      <c r="J48" s="331"/>
      <c r="K48" s="331"/>
      <c r="L48" s="331"/>
      <c r="M48" s="331"/>
      <c r="N48" s="331"/>
      <c r="O48" s="331"/>
      <c r="P48" s="331"/>
    </row>
    <row r="49" spans="1:16" ht="15" customHeight="1" x14ac:dyDescent="0.2">
      <c r="A49" s="374">
        <v>2</v>
      </c>
      <c r="B49" s="408" t="s">
        <v>570</v>
      </c>
      <c r="C49" s="409">
        <v>0</v>
      </c>
      <c r="D49" s="409">
        <v>0</v>
      </c>
      <c r="E49" s="409">
        <f>+D49-C49</f>
        <v>0</v>
      </c>
      <c r="F49" s="410">
        <f>IF(C49=0,0,+E49/C49)</f>
        <v>0</v>
      </c>
      <c r="G49" s="411"/>
      <c r="H49" s="411"/>
      <c r="I49" s="331"/>
      <c r="J49" s="331"/>
      <c r="K49" s="331"/>
      <c r="L49" s="331"/>
      <c r="M49" s="331"/>
      <c r="N49" s="331"/>
      <c r="O49" s="331"/>
      <c r="P49" s="331"/>
    </row>
    <row r="50" spans="1:16" ht="15.75" customHeight="1" x14ac:dyDescent="0.25">
      <c r="A50" s="136"/>
      <c r="B50" s="399" t="s">
        <v>573</v>
      </c>
      <c r="C50" s="401">
        <f>SUM(C48:C49)</f>
        <v>0</v>
      </c>
      <c r="D50" s="401">
        <f>SUM(D48:D49)</f>
        <v>0</v>
      </c>
      <c r="E50" s="401">
        <f>+D50-C50</f>
        <v>0</v>
      </c>
      <c r="F50" s="402">
        <f>IF(C50=0,0,+E50/C50)</f>
        <v>0</v>
      </c>
      <c r="G50" s="411"/>
      <c r="H50" s="411"/>
      <c r="I50" s="331"/>
      <c r="J50" s="331"/>
      <c r="K50" s="331"/>
      <c r="L50" s="331"/>
      <c r="M50" s="331"/>
      <c r="N50" s="331"/>
      <c r="O50" s="331"/>
      <c r="P50" s="331"/>
    </row>
    <row r="51" spans="1:16" ht="15.75" customHeight="1" x14ac:dyDescent="0.25">
      <c r="A51" s="136"/>
      <c r="B51" s="399"/>
      <c r="C51" s="409"/>
      <c r="D51" s="409"/>
      <c r="E51" s="409"/>
      <c r="F51" s="409"/>
      <c r="G51" s="411"/>
      <c r="H51" s="411"/>
      <c r="I51" s="331"/>
      <c r="J51" s="331"/>
      <c r="K51" s="331"/>
      <c r="L51" s="331"/>
      <c r="M51" s="331"/>
      <c r="N51" s="331"/>
      <c r="O51" s="331"/>
      <c r="P51" s="331"/>
    </row>
    <row r="52" spans="1:16" ht="15.75" customHeight="1" x14ac:dyDescent="0.25">
      <c r="A52" s="136" t="s">
        <v>183</v>
      </c>
      <c r="B52" s="406" t="s">
        <v>574</v>
      </c>
      <c r="C52" s="409"/>
      <c r="D52" s="409"/>
      <c r="E52" s="409"/>
      <c r="F52" s="409"/>
      <c r="G52" s="411"/>
      <c r="H52" s="411"/>
      <c r="I52" s="331"/>
      <c r="J52" s="331"/>
      <c r="K52" s="331"/>
      <c r="L52" s="331"/>
      <c r="M52" s="331"/>
      <c r="N52" s="331"/>
      <c r="O52" s="331"/>
      <c r="P52" s="331"/>
    </row>
    <row r="53" spans="1:16" ht="15" customHeight="1" x14ac:dyDescent="0.2">
      <c r="A53" s="374">
        <v>1</v>
      </c>
      <c r="B53" s="408" t="s">
        <v>575</v>
      </c>
      <c r="C53" s="409">
        <v>0</v>
      </c>
      <c r="D53" s="409">
        <v>0</v>
      </c>
      <c r="E53" s="409">
        <f>+D53-C53</f>
        <v>0</v>
      </c>
      <c r="F53" s="410">
        <f>IF(C53=0,0,+E53/C53)</f>
        <v>0</v>
      </c>
      <c r="G53" s="411"/>
      <c r="H53" s="411"/>
      <c r="I53" s="331"/>
      <c r="J53" s="331"/>
      <c r="K53" s="331"/>
      <c r="L53" s="331"/>
      <c r="M53" s="331"/>
      <c r="N53" s="331"/>
      <c r="O53" s="331"/>
      <c r="P53" s="331"/>
    </row>
    <row r="54" spans="1:16" ht="15" customHeight="1" x14ac:dyDescent="0.2">
      <c r="A54" s="374">
        <v>2</v>
      </c>
      <c r="B54" s="408" t="s">
        <v>576</v>
      </c>
      <c r="C54" s="409">
        <v>0</v>
      </c>
      <c r="D54" s="409">
        <v>0</v>
      </c>
      <c r="E54" s="409">
        <f>+D54-C54</f>
        <v>0</v>
      </c>
      <c r="F54" s="410">
        <f>IF(C54=0,0,+E54/C54)</f>
        <v>0</v>
      </c>
      <c r="G54" s="411"/>
      <c r="H54" s="411"/>
      <c r="I54" s="331"/>
      <c r="J54" s="331"/>
      <c r="K54" s="331"/>
      <c r="L54" s="331"/>
      <c r="M54" s="331"/>
      <c r="N54" s="331"/>
      <c r="O54" s="331"/>
      <c r="P54" s="331"/>
    </row>
    <row r="55" spans="1:16" ht="15.75" customHeight="1" x14ac:dyDescent="0.25">
      <c r="A55" s="136"/>
      <c r="B55" s="399" t="s">
        <v>577</v>
      </c>
      <c r="C55" s="401">
        <f>SUM(C53:C54)</f>
        <v>0</v>
      </c>
      <c r="D55" s="401">
        <f>SUM(D53:D54)</f>
        <v>0</v>
      </c>
      <c r="E55" s="401">
        <f>+D55-C55</f>
        <v>0</v>
      </c>
      <c r="F55" s="402">
        <f>IF(C55=0,0,+E55/C55)</f>
        <v>0</v>
      </c>
      <c r="G55" s="411"/>
      <c r="H55" s="411"/>
      <c r="I55" s="331"/>
      <c r="J55" s="331"/>
      <c r="K55" s="331"/>
      <c r="L55" s="331"/>
      <c r="M55" s="331"/>
      <c r="N55" s="331"/>
      <c r="O55" s="331"/>
      <c r="P55" s="331"/>
    </row>
    <row r="56" spans="1:16" ht="15.75" customHeight="1" x14ac:dyDescent="0.25">
      <c r="A56" s="136"/>
      <c r="B56" s="399"/>
      <c r="C56" s="409"/>
      <c r="D56" s="409"/>
      <c r="E56" s="409"/>
      <c r="F56" s="410"/>
      <c r="G56" s="411"/>
      <c r="H56" s="411"/>
      <c r="I56" s="331"/>
      <c r="J56" s="331"/>
      <c r="K56" s="331"/>
      <c r="L56" s="331"/>
      <c r="M56" s="331"/>
      <c r="N56" s="331"/>
      <c r="O56" s="331"/>
      <c r="P56" s="331"/>
    </row>
    <row r="57" spans="1:16" ht="15.75" customHeight="1" x14ac:dyDescent="0.25">
      <c r="A57" s="136" t="s">
        <v>185</v>
      </c>
      <c r="B57" s="406" t="s">
        <v>578</v>
      </c>
      <c r="C57" s="409"/>
      <c r="D57" s="409"/>
      <c r="E57" s="409"/>
      <c r="F57" s="409"/>
      <c r="G57" s="411"/>
      <c r="H57" s="411"/>
      <c r="I57" s="331"/>
      <c r="J57" s="331"/>
      <c r="K57" s="331"/>
      <c r="L57" s="331"/>
      <c r="M57" s="331"/>
      <c r="N57" s="331"/>
      <c r="O57" s="331"/>
      <c r="P57" s="331"/>
    </row>
    <row r="58" spans="1:16" ht="15" customHeight="1" x14ac:dyDescent="0.2">
      <c r="A58" s="374">
        <v>1</v>
      </c>
      <c r="B58" s="408" t="s">
        <v>579</v>
      </c>
      <c r="C58" s="409">
        <v>0</v>
      </c>
      <c r="D58" s="409">
        <v>0</v>
      </c>
      <c r="E58" s="409">
        <f>+D58-C58</f>
        <v>0</v>
      </c>
      <c r="F58" s="410">
        <f>IF(C58=0,0,+E58/C58)</f>
        <v>0</v>
      </c>
      <c r="G58" s="411"/>
      <c r="H58" s="411"/>
      <c r="I58" s="331"/>
      <c r="J58" s="331"/>
      <c r="K58" s="331"/>
      <c r="L58" s="331"/>
      <c r="M58" s="331"/>
      <c r="N58" s="331"/>
      <c r="O58" s="331"/>
      <c r="P58" s="331"/>
    </row>
    <row r="59" spans="1:16" ht="15" customHeight="1" x14ac:dyDescent="0.2">
      <c r="A59" s="374">
        <v>2</v>
      </c>
      <c r="B59" s="408" t="s">
        <v>580</v>
      </c>
      <c r="C59" s="409">
        <v>0</v>
      </c>
      <c r="D59" s="409">
        <v>0</v>
      </c>
      <c r="E59" s="409">
        <f>+D59-C59</f>
        <v>0</v>
      </c>
      <c r="F59" s="410">
        <f>IF(C59=0,0,+E59/C59)</f>
        <v>0</v>
      </c>
      <c r="G59" s="411"/>
      <c r="H59" s="411"/>
      <c r="I59" s="331"/>
      <c r="J59" s="331"/>
      <c r="K59" s="331"/>
      <c r="L59" s="331"/>
      <c r="M59" s="331"/>
      <c r="N59" s="331"/>
      <c r="O59" s="331"/>
      <c r="P59" s="331"/>
    </row>
    <row r="60" spans="1:16" ht="15.75" customHeight="1" x14ac:dyDescent="0.25">
      <c r="A60" s="136"/>
      <c r="B60" s="399" t="s">
        <v>581</v>
      </c>
      <c r="C60" s="401">
        <f>SUM(C58:C59)</f>
        <v>0</v>
      </c>
      <c r="D60" s="401">
        <f>SUM(D58:D59)</f>
        <v>0</v>
      </c>
      <c r="E60" s="401">
        <f>SUM(E58:E59)</f>
        <v>0</v>
      </c>
      <c r="F60" s="402">
        <f>IF(C60=0,0,+E60/C60)</f>
        <v>0</v>
      </c>
      <c r="G60" s="411"/>
      <c r="H60" s="411"/>
      <c r="I60" s="331"/>
      <c r="J60" s="331"/>
      <c r="K60" s="331"/>
      <c r="L60" s="331"/>
      <c r="M60" s="331"/>
      <c r="N60" s="331"/>
      <c r="O60" s="331"/>
      <c r="P60" s="331"/>
    </row>
    <row r="61" spans="1:16" ht="15.75" customHeight="1" x14ac:dyDescent="0.25">
      <c r="A61" s="136"/>
      <c r="B61" s="406"/>
      <c r="C61" s="409"/>
      <c r="D61" s="409"/>
      <c r="E61" s="409"/>
      <c r="F61" s="410"/>
      <c r="G61" s="411"/>
      <c r="H61" s="411"/>
      <c r="I61" s="331"/>
      <c r="J61" s="331"/>
      <c r="K61" s="331"/>
      <c r="L61" s="331"/>
      <c r="M61" s="331"/>
      <c r="N61" s="331"/>
      <c r="O61" s="331"/>
      <c r="P61" s="331"/>
    </row>
    <row r="62" spans="1:16" ht="15.75" customHeight="1" x14ac:dyDescent="0.25">
      <c r="A62" s="136" t="s">
        <v>12</v>
      </c>
      <c r="B62" s="406" t="s">
        <v>582</v>
      </c>
      <c r="C62" s="409"/>
      <c r="D62" s="409"/>
      <c r="E62" s="409"/>
      <c r="F62" s="410"/>
      <c r="G62" s="411"/>
      <c r="H62" s="411"/>
      <c r="I62" s="331"/>
      <c r="J62" s="331"/>
      <c r="K62" s="331"/>
      <c r="L62" s="331"/>
      <c r="M62" s="331"/>
      <c r="N62" s="331"/>
      <c r="O62" s="331"/>
      <c r="P62" s="331"/>
    </row>
    <row r="63" spans="1:16" ht="15" customHeight="1" x14ac:dyDescent="0.2">
      <c r="A63" s="374">
        <v>1</v>
      </c>
      <c r="B63" s="408" t="s">
        <v>583</v>
      </c>
      <c r="C63" s="409">
        <v>404</v>
      </c>
      <c r="D63" s="409">
        <v>409</v>
      </c>
      <c r="E63" s="409">
        <f>+D63-C63</f>
        <v>5</v>
      </c>
      <c r="F63" s="410">
        <f>IF(C63=0,0,+E63/C63)</f>
        <v>1.2376237623762377E-2</v>
      </c>
      <c r="G63" s="411"/>
      <c r="H63" s="411"/>
      <c r="I63" s="331"/>
      <c r="J63" s="331"/>
      <c r="K63" s="331"/>
      <c r="L63" s="331"/>
      <c r="M63" s="331"/>
      <c r="N63" s="331"/>
      <c r="O63" s="331"/>
      <c r="P63" s="331"/>
    </row>
    <row r="64" spans="1:16" ht="15" customHeight="1" x14ac:dyDescent="0.2">
      <c r="A64" s="374">
        <v>2</v>
      </c>
      <c r="B64" s="408" t="s">
        <v>584</v>
      </c>
      <c r="C64" s="409">
        <v>1376</v>
      </c>
      <c r="D64" s="409">
        <v>1297</v>
      </c>
      <c r="E64" s="409">
        <f>+D64-C64</f>
        <v>-79</v>
      </c>
      <c r="F64" s="410">
        <f>IF(C64=0,0,+E64/C64)</f>
        <v>-5.7412790697674417E-2</v>
      </c>
      <c r="G64" s="411"/>
      <c r="H64" s="411"/>
      <c r="I64" s="331"/>
      <c r="J64" s="331"/>
      <c r="K64" s="331"/>
      <c r="L64" s="331"/>
      <c r="M64" s="331"/>
      <c r="N64" s="331"/>
      <c r="O64" s="331"/>
      <c r="P64" s="331"/>
    </row>
    <row r="65" spans="1:16" ht="15.75" customHeight="1" x14ac:dyDescent="0.25">
      <c r="A65" s="136"/>
      <c r="B65" s="399" t="s">
        <v>585</v>
      </c>
      <c r="C65" s="401">
        <f>SUM(C63:C64)</f>
        <v>1780</v>
      </c>
      <c r="D65" s="401">
        <f>SUM(D63:D64)</f>
        <v>1706</v>
      </c>
      <c r="E65" s="401">
        <f>+D65-C65</f>
        <v>-74</v>
      </c>
      <c r="F65" s="402">
        <f>IF(C65=0,0,+E65/C65)</f>
        <v>-4.1573033707865172E-2</v>
      </c>
      <c r="G65" s="411"/>
      <c r="H65" s="411"/>
      <c r="I65" s="331"/>
      <c r="J65" s="331"/>
      <c r="K65" s="331"/>
      <c r="L65" s="331"/>
      <c r="M65" s="331"/>
      <c r="N65" s="331"/>
      <c r="O65" s="331"/>
      <c r="P65" s="331"/>
    </row>
    <row r="66" spans="1:16" ht="15" customHeight="1" x14ac:dyDescent="0.2">
      <c r="A66" s="374"/>
      <c r="B66" s="408"/>
      <c r="C66" s="409"/>
      <c r="D66" s="409"/>
      <c r="E66" s="409"/>
      <c r="F66" s="410"/>
      <c r="G66" s="411"/>
      <c r="H66" s="411"/>
      <c r="I66" s="331"/>
      <c r="J66" s="331"/>
      <c r="K66" s="331"/>
      <c r="L66" s="331"/>
      <c r="M66" s="331"/>
      <c r="N66" s="331"/>
      <c r="O66" s="331"/>
      <c r="P66" s="331"/>
    </row>
    <row r="67" spans="1:16" ht="15.75" customHeight="1" x14ac:dyDescent="0.25">
      <c r="A67" s="136" t="s">
        <v>195</v>
      </c>
      <c r="B67" s="406" t="s">
        <v>586</v>
      </c>
      <c r="C67" s="409"/>
      <c r="D67" s="409"/>
      <c r="E67" s="409"/>
      <c r="F67" s="410"/>
      <c r="G67" s="411"/>
      <c r="H67" s="411"/>
      <c r="I67" s="331"/>
      <c r="J67" s="331"/>
      <c r="K67" s="331"/>
      <c r="L67" s="331"/>
      <c r="M67" s="331"/>
      <c r="N67" s="331"/>
      <c r="O67" s="331"/>
      <c r="P67" s="331"/>
    </row>
    <row r="68" spans="1:16" ht="15" customHeight="1" x14ac:dyDescent="0.2">
      <c r="A68" s="374">
        <v>1</v>
      </c>
      <c r="B68" s="408" t="s">
        <v>587</v>
      </c>
      <c r="C68" s="409">
        <v>114</v>
      </c>
      <c r="D68" s="409">
        <v>96</v>
      </c>
      <c r="E68" s="409">
        <f>+D68-C68</f>
        <v>-18</v>
      </c>
      <c r="F68" s="410">
        <f>IF(C68=0,0,+E68/C68)</f>
        <v>-0.15789473684210525</v>
      </c>
      <c r="G68" s="411"/>
      <c r="H68" s="411"/>
      <c r="I68" s="331"/>
      <c r="J68" s="331"/>
      <c r="K68" s="331"/>
      <c r="L68" s="331"/>
      <c r="M68" s="331"/>
      <c r="N68" s="331"/>
      <c r="O68" s="331"/>
      <c r="P68" s="331"/>
    </row>
    <row r="69" spans="1:16" ht="15" customHeight="1" x14ac:dyDescent="0.2">
      <c r="A69" s="374">
        <v>2</v>
      </c>
      <c r="B69" s="408" t="s">
        <v>588</v>
      </c>
      <c r="C69" s="409">
        <v>852</v>
      </c>
      <c r="D69" s="409">
        <v>860</v>
      </c>
      <c r="E69" s="409">
        <f>+D69-C69</f>
        <v>8</v>
      </c>
      <c r="F69" s="412">
        <f>IF(C69=0,0,+E69/C69)</f>
        <v>9.3896713615023476E-3</v>
      </c>
      <c r="G69" s="411"/>
      <c r="H69" s="411"/>
      <c r="I69" s="331"/>
      <c r="J69" s="331"/>
      <c r="K69" s="331"/>
      <c r="L69" s="331"/>
      <c r="M69" s="331"/>
      <c r="N69" s="331"/>
      <c r="O69" s="331"/>
      <c r="P69" s="331"/>
    </row>
    <row r="70" spans="1:16" ht="15.75" customHeight="1" x14ac:dyDescent="0.25">
      <c r="A70" s="136"/>
      <c r="B70" s="399" t="s">
        <v>589</v>
      </c>
      <c r="C70" s="401">
        <f>SUM(C68:C69)</f>
        <v>966</v>
      </c>
      <c r="D70" s="401">
        <f>SUM(D68:D69)</f>
        <v>956</v>
      </c>
      <c r="E70" s="401">
        <f>+D70-C70</f>
        <v>-10</v>
      </c>
      <c r="F70" s="402">
        <f>IF(C70=0,0,+E70/C70)</f>
        <v>-1.0351966873706004E-2</v>
      </c>
      <c r="G70" s="411"/>
      <c r="H70" s="411"/>
      <c r="I70" s="331"/>
      <c r="J70" s="331"/>
      <c r="K70" s="331"/>
      <c r="L70" s="331"/>
      <c r="M70" s="331"/>
      <c r="N70" s="331"/>
      <c r="O70" s="331"/>
      <c r="P70" s="331"/>
    </row>
    <row r="71" spans="1:16" ht="15.75" customHeight="1" x14ac:dyDescent="0.25">
      <c r="A71" s="136"/>
      <c r="B71" s="406"/>
      <c r="C71" s="409"/>
      <c r="D71" s="409"/>
      <c r="E71" s="409"/>
      <c r="F71" s="410"/>
      <c r="G71" s="411"/>
      <c r="H71" s="411"/>
      <c r="I71" s="331"/>
      <c r="J71" s="331"/>
      <c r="K71" s="331"/>
      <c r="L71" s="331"/>
      <c r="M71" s="331"/>
      <c r="N71" s="331"/>
      <c r="O71" s="331"/>
      <c r="P71" s="331"/>
    </row>
    <row r="72" spans="1:16" ht="15.75" customHeight="1" x14ac:dyDescent="0.25">
      <c r="A72" s="136" t="s">
        <v>226</v>
      </c>
      <c r="B72" s="406" t="s">
        <v>590</v>
      </c>
      <c r="C72" s="409"/>
      <c r="D72" s="409"/>
      <c r="E72" s="409"/>
      <c r="F72" s="410"/>
      <c r="G72" s="411"/>
      <c r="H72" s="411"/>
      <c r="I72" s="331"/>
      <c r="J72" s="331"/>
      <c r="K72" s="331"/>
      <c r="L72" s="331"/>
      <c r="M72" s="331"/>
      <c r="N72" s="331"/>
      <c r="O72" s="331"/>
      <c r="P72" s="331"/>
    </row>
    <row r="73" spans="1:16" ht="15" customHeight="1" x14ac:dyDescent="0.2">
      <c r="A73" s="374">
        <v>1</v>
      </c>
      <c r="B73" s="408" t="s">
        <v>591</v>
      </c>
      <c r="C73" s="376">
        <v>1878</v>
      </c>
      <c r="D73" s="376">
        <v>1593</v>
      </c>
      <c r="E73" s="409">
        <f>+D73-C73</f>
        <v>-285</v>
      </c>
      <c r="F73" s="410">
        <f>IF(C73=0,0,+E73/C73)</f>
        <v>-0.15175718849840256</v>
      </c>
      <c r="G73" s="411"/>
      <c r="H73" s="411"/>
      <c r="I73" s="331"/>
      <c r="J73" s="331"/>
      <c r="K73" s="331"/>
      <c r="L73" s="331"/>
      <c r="M73" s="331"/>
      <c r="N73" s="331"/>
      <c r="O73" s="331"/>
      <c r="P73" s="331"/>
    </row>
    <row r="74" spans="1:16" ht="15" customHeight="1" x14ac:dyDescent="0.2">
      <c r="A74" s="374">
        <v>2</v>
      </c>
      <c r="B74" s="408" t="s">
        <v>592</v>
      </c>
      <c r="C74" s="376">
        <v>15746</v>
      </c>
      <c r="D74" s="376">
        <v>14825</v>
      </c>
      <c r="E74" s="409">
        <f>+D74-C74</f>
        <v>-921</v>
      </c>
      <c r="F74" s="410">
        <f>IF(C74=0,0,+E74/C74)</f>
        <v>-5.8491045344849488E-2</v>
      </c>
      <c r="G74" s="411"/>
      <c r="H74" s="411"/>
      <c r="I74" s="331"/>
      <c r="J74" s="331"/>
      <c r="K74" s="331"/>
      <c r="L74" s="331"/>
      <c r="M74" s="331"/>
      <c r="N74" s="331"/>
      <c r="O74" s="331"/>
      <c r="P74" s="331"/>
    </row>
    <row r="75" spans="1:16" ht="15.75" customHeight="1" x14ac:dyDescent="0.25">
      <c r="A75" s="136"/>
      <c r="B75" s="399" t="s">
        <v>434</v>
      </c>
      <c r="C75" s="401">
        <f>SUM(C73:C74)</f>
        <v>17624</v>
      </c>
      <c r="D75" s="401">
        <f>SUM(D73:D74)</f>
        <v>16418</v>
      </c>
      <c r="E75" s="401">
        <f>SUM(E73:E74)</f>
        <v>-1206</v>
      </c>
      <c r="F75" s="402">
        <f>IF(C75=0,0,+E75/C75)</f>
        <v>-6.8429414434861557E-2</v>
      </c>
      <c r="G75" s="411"/>
      <c r="H75" s="411"/>
      <c r="I75" s="331"/>
      <c r="J75" s="331"/>
      <c r="K75" s="331"/>
      <c r="L75" s="331"/>
      <c r="M75" s="331"/>
      <c r="N75" s="331"/>
      <c r="O75" s="331"/>
      <c r="P75" s="331"/>
    </row>
    <row r="76" spans="1:16" ht="15" customHeight="1" x14ac:dyDescent="0.2">
      <c r="A76" s="374"/>
      <c r="B76" s="408"/>
      <c r="C76" s="376"/>
      <c r="D76" s="376"/>
      <c r="E76" s="409"/>
      <c r="F76" s="410"/>
      <c r="G76" s="411"/>
      <c r="H76" s="411"/>
      <c r="I76" s="331"/>
      <c r="J76" s="331"/>
      <c r="K76" s="331"/>
      <c r="L76" s="331"/>
      <c r="M76" s="331"/>
      <c r="N76" s="331"/>
      <c r="O76" s="331"/>
      <c r="P76" s="331"/>
    </row>
    <row r="77" spans="1:16" ht="15" customHeight="1" x14ac:dyDescent="0.2">
      <c r="A77" s="374"/>
      <c r="B77" s="408"/>
      <c r="C77" s="376"/>
      <c r="D77" s="376"/>
      <c r="E77" s="409"/>
      <c r="F77" s="410"/>
      <c r="G77" s="411"/>
      <c r="H77" s="411"/>
      <c r="I77" s="331"/>
      <c r="J77" s="331"/>
      <c r="K77" s="331"/>
      <c r="L77" s="331"/>
      <c r="M77" s="331"/>
      <c r="N77" s="331"/>
      <c r="O77" s="331"/>
      <c r="P77" s="331"/>
    </row>
    <row r="78" spans="1:16" ht="15.75" customHeight="1" x14ac:dyDescent="0.25">
      <c r="A78" s="136" t="s">
        <v>427</v>
      </c>
      <c r="B78" s="406" t="s">
        <v>593</v>
      </c>
      <c r="C78" s="376"/>
      <c r="D78" s="376"/>
      <c r="E78" s="409"/>
      <c r="F78" s="410"/>
      <c r="G78" s="411"/>
      <c r="H78" s="411"/>
      <c r="I78" s="331"/>
      <c r="J78" s="331"/>
      <c r="K78" s="331"/>
      <c r="L78" s="331"/>
      <c r="M78" s="331"/>
      <c r="N78" s="331"/>
      <c r="O78" s="331"/>
      <c r="P78" s="331"/>
    </row>
    <row r="79" spans="1:16" ht="15" customHeight="1" x14ac:dyDescent="0.2">
      <c r="A79" s="374">
        <v>1</v>
      </c>
      <c r="B79" s="408" t="s">
        <v>594</v>
      </c>
      <c r="C79" s="376">
        <v>0</v>
      </c>
      <c r="D79" s="376">
        <v>0</v>
      </c>
      <c r="E79" s="409">
        <f t="shared" ref="E79:E92" si="0">+D79-C79</f>
        <v>0</v>
      </c>
      <c r="F79" s="410">
        <f t="shared" ref="F79:F92" si="1">IF(C79=0,0,+E79/C79)</f>
        <v>0</v>
      </c>
      <c r="G79" s="411"/>
      <c r="H79" s="411"/>
      <c r="I79" s="331"/>
      <c r="J79" s="331"/>
      <c r="K79" s="331"/>
      <c r="L79" s="331"/>
      <c r="M79" s="331"/>
      <c r="N79" s="331"/>
      <c r="O79" s="331"/>
      <c r="P79" s="331"/>
    </row>
    <row r="80" spans="1:16" ht="15" customHeight="1" x14ac:dyDescent="0.2">
      <c r="A80" s="374">
        <v>2</v>
      </c>
      <c r="B80" s="408" t="s">
        <v>595</v>
      </c>
      <c r="C80" s="376">
        <v>0</v>
      </c>
      <c r="D80" s="376">
        <v>0</v>
      </c>
      <c r="E80" s="409">
        <f t="shared" si="0"/>
        <v>0</v>
      </c>
      <c r="F80" s="410">
        <f t="shared" si="1"/>
        <v>0</v>
      </c>
      <c r="G80" s="411"/>
      <c r="H80" s="411"/>
      <c r="I80" s="331"/>
      <c r="J80" s="331"/>
      <c r="K80" s="331"/>
      <c r="L80" s="331"/>
      <c r="M80" s="331"/>
      <c r="N80" s="331"/>
      <c r="O80" s="331"/>
      <c r="P80" s="331"/>
    </row>
    <row r="81" spans="1:16" ht="15" customHeight="1" x14ac:dyDescent="0.2">
      <c r="A81" s="374">
        <v>3</v>
      </c>
      <c r="B81" s="408" t="s">
        <v>596</v>
      </c>
      <c r="C81" s="376">
        <v>1</v>
      </c>
      <c r="D81" s="376">
        <v>0</v>
      </c>
      <c r="E81" s="409">
        <f t="shared" si="0"/>
        <v>-1</v>
      </c>
      <c r="F81" s="410">
        <f t="shared" si="1"/>
        <v>-1</v>
      </c>
      <c r="G81" s="411"/>
      <c r="H81" s="411"/>
      <c r="I81" s="331"/>
      <c r="J81" s="331"/>
      <c r="K81" s="331"/>
      <c r="L81" s="331"/>
      <c r="M81" s="331"/>
      <c r="N81" s="331"/>
      <c r="O81" s="331"/>
      <c r="P81" s="331"/>
    </row>
    <row r="82" spans="1:16" ht="15" customHeight="1" x14ac:dyDescent="0.2">
      <c r="A82" s="374">
        <v>4</v>
      </c>
      <c r="B82" s="408" t="s">
        <v>597</v>
      </c>
      <c r="C82" s="376">
        <v>0</v>
      </c>
      <c r="D82" s="376">
        <v>0</v>
      </c>
      <c r="E82" s="409">
        <f t="shared" si="0"/>
        <v>0</v>
      </c>
      <c r="F82" s="410">
        <f t="shared" si="1"/>
        <v>0</v>
      </c>
      <c r="G82" s="411"/>
      <c r="H82" s="411"/>
      <c r="I82" s="331"/>
      <c r="J82" s="331"/>
      <c r="K82" s="331"/>
      <c r="L82" s="331"/>
      <c r="M82" s="331"/>
      <c r="N82" s="331"/>
      <c r="O82" s="331"/>
      <c r="P82" s="331"/>
    </row>
    <row r="83" spans="1:16" ht="15" customHeight="1" x14ac:dyDescent="0.2">
      <c r="A83" s="374">
        <v>5</v>
      </c>
      <c r="B83" s="408" t="s">
        <v>598</v>
      </c>
      <c r="C83" s="376">
        <v>0</v>
      </c>
      <c r="D83" s="376">
        <v>0</v>
      </c>
      <c r="E83" s="409">
        <f t="shared" si="0"/>
        <v>0</v>
      </c>
      <c r="F83" s="410">
        <f t="shared" si="1"/>
        <v>0</v>
      </c>
      <c r="G83" s="411"/>
      <c r="H83" s="411"/>
      <c r="I83" s="331"/>
      <c r="J83" s="331"/>
      <c r="K83" s="331"/>
      <c r="L83" s="331"/>
      <c r="M83" s="331"/>
      <c r="N83" s="331"/>
      <c r="O83" s="331"/>
      <c r="P83" s="331"/>
    </row>
    <row r="84" spans="1:16" ht="15" customHeight="1" x14ac:dyDescent="0.2">
      <c r="A84" s="374">
        <v>6</v>
      </c>
      <c r="B84" s="408" t="s">
        <v>599</v>
      </c>
      <c r="C84" s="376">
        <v>0</v>
      </c>
      <c r="D84" s="376">
        <v>0</v>
      </c>
      <c r="E84" s="409">
        <f t="shared" si="0"/>
        <v>0</v>
      </c>
      <c r="F84" s="410">
        <f t="shared" si="1"/>
        <v>0</v>
      </c>
      <c r="G84" s="411"/>
      <c r="H84" s="411"/>
      <c r="I84" s="331"/>
      <c r="J84" s="331"/>
      <c r="K84" s="331"/>
      <c r="L84" s="331"/>
      <c r="M84" s="331"/>
      <c r="N84" s="331"/>
      <c r="O84" s="331"/>
      <c r="P84" s="331"/>
    </row>
    <row r="85" spans="1:16" ht="15" customHeight="1" x14ac:dyDescent="0.2">
      <c r="A85" s="374">
        <v>7</v>
      </c>
      <c r="B85" s="408" t="s">
        <v>600</v>
      </c>
      <c r="C85" s="376">
        <v>0</v>
      </c>
      <c r="D85" s="376">
        <v>0</v>
      </c>
      <c r="E85" s="409">
        <f t="shared" si="0"/>
        <v>0</v>
      </c>
      <c r="F85" s="410">
        <f t="shared" si="1"/>
        <v>0</v>
      </c>
      <c r="G85" s="411"/>
      <c r="H85" s="411"/>
      <c r="I85" s="331"/>
      <c r="J85" s="331"/>
      <c r="K85" s="331"/>
      <c r="L85" s="331"/>
      <c r="M85" s="331"/>
      <c r="N85" s="331"/>
      <c r="O85" s="331"/>
      <c r="P85" s="331"/>
    </row>
    <row r="86" spans="1:16" ht="15" customHeight="1" x14ac:dyDescent="0.2">
      <c r="A86" s="374">
        <v>8</v>
      </c>
      <c r="B86" s="408" t="s">
        <v>601</v>
      </c>
      <c r="C86" s="376">
        <v>0</v>
      </c>
      <c r="D86" s="376">
        <v>0</v>
      </c>
      <c r="E86" s="409">
        <f t="shared" si="0"/>
        <v>0</v>
      </c>
      <c r="F86" s="410">
        <f t="shared" si="1"/>
        <v>0</v>
      </c>
      <c r="G86" s="411"/>
      <c r="H86" s="411"/>
      <c r="I86" s="331"/>
      <c r="J86" s="331"/>
      <c r="K86" s="331"/>
      <c r="L86" s="331"/>
      <c r="M86" s="331"/>
      <c r="N86" s="331"/>
      <c r="O86" s="331"/>
      <c r="P86" s="331"/>
    </row>
    <row r="87" spans="1:16" ht="15" customHeight="1" x14ac:dyDescent="0.2">
      <c r="A87" s="374">
        <v>9</v>
      </c>
      <c r="B87" s="408" t="s">
        <v>602</v>
      </c>
      <c r="C87" s="376">
        <v>0</v>
      </c>
      <c r="D87" s="376">
        <v>0</v>
      </c>
      <c r="E87" s="409">
        <f t="shared" si="0"/>
        <v>0</v>
      </c>
      <c r="F87" s="410">
        <f t="shared" si="1"/>
        <v>0</v>
      </c>
      <c r="G87" s="411"/>
      <c r="H87" s="411"/>
      <c r="I87" s="331"/>
      <c r="J87" s="331"/>
      <c r="K87" s="331"/>
      <c r="L87" s="331"/>
      <c r="M87" s="331"/>
      <c r="N87" s="331"/>
      <c r="O87" s="331"/>
      <c r="P87" s="331"/>
    </row>
    <row r="88" spans="1:16" ht="15" customHeight="1" x14ac:dyDescent="0.2">
      <c r="A88" s="374">
        <v>10</v>
      </c>
      <c r="B88" s="408" t="s">
        <v>603</v>
      </c>
      <c r="C88" s="376">
        <v>0</v>
      </c>
      <c r="D88" s="376">
        <v>0</v>
      </c>
      <c r="E88" s="409">
        <f t="shared" si="0"/>
        <v>0</v>
      </c>
      <c r="F88" s="410">
        <f t="shared" si="1"/>
        <v>0</v>
      </c>
      <c r="G88" s="411"/>
      <c r="H88" s="411"/>
      <c r="I88" s="331"/>
      <c r="J88" s="331"/>
      <c r="K88" s="331"/>
      <c r="L88" s="331"/>
      <c r="M88" s="331"/>
      <c r="N88" s="331"/>
      <c r="O88" s="331"/>
      <c r="P88" s="331"/>
    </row>
    <row r="89" spans="1:16" ht="15" customHeight="1" x14ac:dyDescent="0.2">
      <c r="A89" s="374">
        <v>11</v>
      </c>
      <c r="B89" s="408" t="s">
        <v>604</v>
      </c>
      <c r="C89" s="376">
        <v>0</v>
      </c>
      <c r="D89" s="376">
        <v>0</v>
      </c>
      <c r="E89" s="409">
        <f t="shared" si="0"/>
        <v>0</v>
      </c>
      <c r="F89" s="410">
        <f t="shared" si="1"/>
        <v>0</v>
      </c>
      <c r="G89" s="411"/>
      <c r="H89" s="411"/>
      <c r="I89" s="331"/>
      <c r="J89" s="331"/>
      <c r="K89" s="331"/>
      <c r="L89" s="331"/>
      <c r="M89" s="331"/>
      <c r="N89" s="331"/>
      <c r="O89" s="331"/>
      <c r="P89" s="331"/>
    </row>
    <row r="90" spans="1:16" ht="15" customHeight="1" x14ac:dyDescent="0.2">
      <c r="A90" s="374">
        <v>12</v>
      </c>
      <c r="B90" s="408" t="s">
        <v>605</v>
      </c>
      <c r="C90" s="376">
        <v>405</v>
      </c>
      <c r="D90" s="376">
        <v>468</v>
      </c>
      <c r="E90" s="409">
        <f t="shared" si="0"/>
        <v>63</v>
      </c>
      <c r="F90" s="410">
        <f t="shared" si="1"/>
        <v>0.15555555555555556</v>
      </c>
      <c r="G90" s="411"/>
      <c r="H90" s="411"/>
      <c r="I90" s="331"/>
      <c r="J90" s="331"/>
      <c r="K90" s="331"/>
      <c r="L90" s="331"/>
      <c r="M90" s="331"/>
      <c r="N90" s="331"/>
      <c r="O90" s="331"/>
      <c r="P90" s="331"/>
    </row>
    <row r="91" spans="1:16" ht="15" customHeight="1" x14ac:dyDescent="0.2">
      <c r="A91" s="374">
        <v>13</v>
      </c>
      <c r="B91" s="408" t="s">
        <v>606</v>
      </c>
      <c r="C91" s="376">
        <v>1913</v>
      </c>
      <c r="D91" s="376">
        <v>1669</v>
      </c>
      <c r="E91" s="409">
        <f t="shared" si="0"/>
        <v>-244</v>
      </c>
      <c r="F91" s="410">
        <f t="shared" si="1"/>
        <v>-0.12754835337166753</v>
      </c>
      <c r="G91" s="411"/>
      <c r="H91" s="411"/>
      <c r="I91" s="331"/>
      <c r="J91" s="331"/>
      <c r="K91" s="331"/>
      <c r="L91" s="331"/>
      <c r="M91" s="331"/>
      <c r="N91" s="331"/>
      <c r="O91" s="331"/>
      <c r="P91" s="331"/>
    </row>
    <row r="92" spans="1:16" ht="15.75" customHeight="1" x14ac:dyDescent="0.25">
      <c r="A92" s="136"/>
      <c r="B92" s="399" t="s">
        <v>607</v>
      </c>
      <c r="C92" s="381">
        <f>SUM(C79:C91)</f>
        <v>2319</v>
      </c>
      <c r="D92" s="381">
        <f>SUM(D79:D91)</f>
        <v>2137</v>
      </c>
      <c r="E92" s="401">
        <f t="shared" si="0"/>
        <v>-182</v>
      </c>
      <c r="F92" s="402">
        <f t="shared" si="1"/>
        <v>-7.8482104355325571E-2</v>
      </c>
      <c r="G92" s="411"/>
      <c r="H92" s="411"/>
      <c r="I92" s="331"/>
      <c r="J92" s="331"/>
      <c r="K92" s="331"/>
      <c r="L92" s="331"/>
      <c r="M92" s="331"/>
      <c r="N92" s="331"/>
      <c r="O92" s="331"/>
      <c r="P92" s="331"/>
    </row>
    <row r="93" spans="1:16" ht="15.75" customHeight="1" x14ac:dyDescent="0.25">
      <c r="A93" s="136"/>
      <c r="B93" s="406"/>
      <c r="C93" s="409"/>
      <c r="D93" s="409"/>
      <c r="E93" s="409"/>
      <c r="F93" s="409"/>
      <c r="G93" s="411"/>
      <c r="H93" s="411"/>
      <c r="I93" s="331"/>
      <c r="J93" s="331"/>
      <c r="K93" s="331"/>
      <c r="L93" s="331"/>
      <c r="M93" s="331"/>
      <c r="N93" s="331"/>
      <c r="O93" s="331"/>
      <c r="P93" s="331"/>
    </row>
    <row r="94" spans="1:16" ht="15.75" customHeight="1" x14ac:dyDescent="0.25">
      <c r="A94" s="136" t="s">
        <v>430</v>
      </c>
      <c r="B94" s="406" t="s">
        <v>608</v>
      </c>
      <c r="C94" s="376"/>
      <c r="D94" s="376"/>
      <c r="E94" s="409"/>
      <c r="F94" s="410"/>
      <c r="G94" s="413"/>
      <c r="H94" s="413"/>
      <c r="I94" s="331"/>
      <c r="J94" s="331"/>
      <c r="K94" s="331"/>
      <c r="L94" s="331"/>
      <c r="M94" s="331"/>
      <c r="N94" s="331"/>
      <c r="O94" s="331"/>
      <c r="P94" s="331"/>
    </row>
    <row r="95" spans="1:16" ht="15" customHeight="1" x14ac:dyDescent="0.2">
      <c r="A95" s="374">
        <v>1</v>
      </c>
      <c r="B95" s="408" t="s">
        <v>609</v>
      </c>
      <c r="C95" s="414">
        <v>8451</v>
      </c>
      <c r="D95" s="414">
        <v>8931</v>
      </c>
      <c r="E95" s="415">
        <f t="shared" ref="E95:E100" si="2">+D95-C95</f>
        <v>480</v>
      </c>
      <c r="F95" s="412">
        <f t="shared" ref="F95:F100" si="3">IF(C95=0,0,+E95/C95)</f>
        <v>5.6798012069577568E-2</v>
      </c>
      <c r="G95" s="413"/>
      <c r="H95" s="413"/>
      <c r="I95" s="331"/>
      <c r="J95" s="331"/>
      <c r="K95" s="331"/>
      <c r="L95" s="331"/>
      <c r="M95" s="331"/>
      <c r="N95" s="331"/>
      <c r="O95" s="331"/>
      <c r="P95" s="331"/>
    </row>
    <row r="96" spans="1:16" ht="15" customHeight="1" x14ac:dyDescent="0.2">
      <c r="A96" s="374">
        <v>2</v>
      </c>
      <c r="B96" s="408" t="s">
        <v>610</v>
      </c>
      <c r="C96" s="414">
        <v>4100</v>
      </c>
      <c r="D96" s="414">
        <v>4457</v>
      </c>
      <c r="E96" s="409">
        <f t="shared" si="2"/>
        <v>357</v>
      </c>
      <c r="F96" s="410">
        <f t="shared" si="3"/>
        <v>8.7073170731707311E-2</v>
      </c>
      <c r="G96" s="413"/>
      <c r="H96" s="413"/>
      <c r="I96" s="331"/>
      <c r="J96" s="331"/>
      <c r="K96" s="331"/>
      <c r="L96" s="331"/>
      <c r="M96" s="331"/>
      <c r="N96" s="331"/>
      <c r="O96" s="331"/>
      <c r="P96" s="331"/>
    </row>
    <row r="97" spans="1:16" ht="15" customHeight="1" x14ac:dyDescent="0.2">
      <c r="A97" s="374">
        <v>3</v>
      </c>
      <c r="B97" s="408" t="s">
        <v>611</v>
      </c>
      <c r="C97" s="414">
        <v>834</v>
      </c>
      <c r="D97" s="414">
        <v>468</v>
      </c>
      <c r="E97" s="409">
        <f t="shared" si="2"/>
        <v>-366</v>
      </c>
      <c r="F97" s="410">
        <f t="shared" si="3"/>
        <v>-0.43884892086330934</v>
      </c>
      <c r="G97" s="413"/>
      <c r="H97" s="413"/>
      <c r="I97" s="331"/>
      <c r="J97" s="331"/>
      <c r="K97" s="331"/>
      <c r="L97" s="331"/>
      <c r="M97" s="331"/>
      <c r="N97" s="331"/>
      <c r="O97" s="331"/>
      <c r="P97" s="331"/>
    </row>
    <row r="98" spans="1:16" ht="15" customHeight="1" x14ac:dyDescent="0.2">
      <c r="A98" s="374">
        <v>4</v>
      </c>
      <c r="B98" s="408" t="s">
        <v>612</v>
      </c>
      <c r="C98" s="414">
        <v>0</v>
      </c>
      <c r="D98" s="414">
        <v>0</v>
      </c>
      <c r="E98" s="409">
        <f t="shared" si="2"/>
        <v>0</v>
      </c>
      <c r="F98" s="410">
        <f t="shared" si="3"/>
        <v>0</v>
      </c>
      <c r="G98" s="413"/>
      <c r="H98" s="413"/>
      <c r="I98" s="331"/>
      <c r="J98" s="331"/>
      <c r="K98" s="331"/>
      <c r="L98" s="331"/>
      <c r="M98" s="331"/>
      <c r="N98" s="331"/>
      <c r="O98" s="331"/>
      <c r="P98" s="331"/>
    </row>
    <row r="99" spans="1:16" ht="15.75" customHeight="1" x14ac:dyDescent="0.2">
      <c r="A99" s="374">
        <v>5</v>
      </c>
      <c r="B99" s="408" t="s">
        <v>613</v>
      </c>
      <c r="C99" s="414">
        <v>50300</v>
      </c>
      <c r="D99" s="414">
        <v>47995</v>
      </c>
      <c r="E99" s="409">
        <f t="shared" si="2"/>
        <v>-2305</v>
      </c>
      <c r="F99" s="410">
        <f t="shared" si="3"/>
        <v>-4.5825049701789265E-2</v>
      </c>
      <c r="G99" s="413"/>
      <c r="H99" s="413"/>
      <c r="I99" s="331"/>
      <c r="J99" s="331"/>
      <c r="K99" s="331"/>
      <c r="L99" s="331"/>
      <c r="M99" s="331"/>
      <c r="N99" s="331"/>
      <c r="O99" s="331"/>
      <c r="P99" s="331"/>
    </row>
    <row r="100" spans="1:16" ht="15.75" customHeight="1" x14ac:dyDescent="0.25">
      <c r="A100" s="136"/>
      <c r="B100" s="399" t="s">
        <v>614</v>
      </c>
      <c r="C100" s="381">
        <f>SUM(C95:C99)</f>
        <v>63685</v>
      </c>
      <c r="D100" s="381">
        <f>SUM(D95:D99)</f>
        <v>61851</v>
      </c>
      <c r="E100" s="401">
        <f t="shared" si="2"/>
        <v>-1834</v>
      </c>
      <c r="F100" s="402">
        <f t="shared" si="3"/>
        <v>-2.879799010756065E-2</v>
      </c>
      <c r="G100" s="413"/>
      <c r="H100" s="413"/>
      <c r="I100" s="331"/>
      <c r="J100" s="331"/>
      <c r="K100" s="331"/>
      <c r="L100" s="331"/>
      <c r="M100" s="331"/>
      <c r="N100" s="331"/>
      <c r="O100" s="331"/>
      <c r="P100" s="331"/>
    </row>
    <row r="101" spans="1:16" ht="15" customHeight="1" x14ac:dyDescent="0.2">
      <c r="A101" s="374"/>
      <c r="B101" s="408"/>
      <c r="C101" s="414"/>
      <c r="D101" s="414"/>
      <c r="E101" s="415"/>
      <c r="F101" s="412"/>
      <c r="G101" s="413"/>
      <c r="H101" s="413"/>
      <c r="I101" s="331"/>
      <c r="J101" s="331"/>
      <c r="K101" s="331"/>
      <c r="L101" s="331"/>
      <c r="M101" s="331"/>
      <c r="N101" s="331"/>
      <c r="O101" s="331"/>
      <c r="P101" s="331"/>
    </row>
    <row r="102" spans="1:16" ht="15.75" customHeight="1" x14ac:dyDescent="0.25">
      <c r="A102" s="136"/>
      <c r="B102" s="399"/>
      <c r="C102" s="383"/>
      <c r="D102" s="383"/>
      <c r="E102" s="383"/>
      <c r="F102" s="383"/>
      <c r="G102" s="413"/>
      <c r="H102" s="413"/>
      <c r="I102" s="331"/>
      <c r="J102" s="331"/>
      <c r="K102" s="331"/>
      <c r="L102" s="331"/>
      <c r="M102" s="331"/>
      <c r="N102" s="331"/>
      <c r="O102" s="331"/>
      <c r="P102" s="331"/>
    </row>
    <row r="103" spans="1:16" ht="15.75" customHeight="1" x14ac:dyDescent="0.25">
      <c r="A103" s="136" t="s">
        <v>462</v>
      </c>
      <c r="B103" s="406" t="s">
        <v>615</v>
      </c>
      <c r="C103" s="409"/>
      <c r="D103" s="409"/>
      <c r="E103" s="409"/>
      <c r="F103" s="409"/>
      <c r="G103" s="413"/>
      <c r="H103" s="413"/>
      <c r="I103" s="331"/>
      <c r="J103" s="331"/>
      <c r="K103" s="331"/>
      <c r="L103" s="331"/>
      <c r="M103" s="331"/>
      <c r="N103" s="331"/>
      <c r="O103" s="331"/>
      <c r="P103" s="331"/>
    </row>
    <row r="104" spans="1:16" ht="15" customHeight="1" x14ac:dyDescent="0.2">
      <c r="A104" s="374">
        <v>1</v>
      </c>
      <c r="B104" s="408" t="s">
        <v>616</v>
      </c>
      <c r="C104" s="416">
        <v>95.5</v>
      </c>
      <c r="D104" s="416">
        <v>102.6</v>
      </c>
      <c r="E104" s="417">
        <f>+D104-C104</f>
        <v>7.0999999999999943</v>
      </c>
      <c r="F104" s="410">
        <f>IF(C104=0,0,+E104/C104)</f>
        <v>7.4345549738219829E-2</v>
      </c>
      <c r="G104" s="413"/>
      <c r="H104" s="413"/>
      <c r="I104" s="331"/>
      <c r="J104" s="331"/>
      <c r="K104" s="331"/>
      <c r="L104" s="331"/>
      <c r="M104" s="331"/>
      <c r="N104" s="331"/>
      <c r="O104" s="331"/>
      <c r="P104" s="331"/>
    </row>
    <row r="105" spans="1:16" ht="15" customHeight="1" x14ac:dyDescent="0.2">
      <c r="A105" s="374">
        <v>2</v>
      </c>
      <c r="B105" s="408" t="s">
        <v>617</v>
      </c>
      <c r="C105" s="416">
        <v>0</v>
      </c>
      <c r="D105" s="416">
        <v>0</v>
      </c>
      <c r="E105" s="417">
        <f>+D105-C105</f>
        <v>0</v>
      </c>
      <c r="F105" s="410">
        <f>IF(C105=0,0,+E105/C105)</f>
        <v>0</v>
      </c>
      <c r="G105" s="413"/>
      <c r="H105" s="413"/>
      <c r="I105" s="331"/>
      <c r="J105" s="331"/>
      <c r="K105" s="331"/>
      <c r="L105" s="331"/>
      <c r="M105" s="331"/>
      <c r="N105" s="331"/>
      <c r="O105" s="331"/>
      <c r="P105" s="331"/>
    </row>
    <row r="106" spans="1:16" ht="15" customHeight="1" x14ac:dyDescent="0.2">
      <c r="A106" s="374">
        <v>3</v>
      </c>
      <c r="B106" s="408" t="s">
        <v>618</v>
      </c>
      <c r="C106" s="416">
        <v>151.9</v>
      </c>
      <c r="D106" s="416">
        <v>157</v>
      </c>
      <c r="E106" s="417">
        <f>+D106-C106</f>
        <v>5.0999999999999943</v>
      </c>
      <c r="F106" s="410">
        <f>IF(C106=0,0,+E106/C106)</f>
        <v>3.357472021066487E-2</v>
      </c>
      <c r="G106" s="413"/>
      <c r="H106" s="413"/>
      <c r="I106" s="331"/>
      <c r="J106" s="331"/>
      <c r="K106" s="331"/>
      <c r="L106" s="331"/>
      <c r="M106" s="331"/>
      <c r="N106" s="331"/>
      <c r="O106" s="331"/>
      <c r="P106" s="331"/>
    </row>
    <row r="107" spans="1:16" ht="15.75" customHeight="1" x14ac:dyDescent="0.25">
      <c r="A107" s="136"/>
      <c r="B107" s="399" t="s">
        <v>619</v>
      </c>
      <c r="C107" s="418">
        <f>SUM(C104:C106)</f>
        <v>247.4</v>
      </c>
      <c r="D107" s="418">
        <f>SUM(D104:D106)</f>
        <v>259.60000000000002</v>
      </c>
      <c r="E107" s="418">
        <f>+D107-C107</f>
        <v>12.200000000000017</v>
      </c>
      <c r="F107" s="402">
        <f>IF(C107=0,0,+E107/C107)</f>
        <v>4.9312853678253908E-2</v>
      </c>
      <c r="G107" s="413"/>
      <c r="H107" s="413"/>
      <c r="I107" s="331"/>
      <c r="J107" s="331"/>
      <c r="K107" s="331"/>
      <c r="L107" s="331"/>
      <c r="M107" s="331"/>
      <c r="N107" s="331"/>
      <c r="O107" s="331"/>
      <c r="P107" s="331"/>
    </row>
    <row r="111" spans="1:16" ht="15.75" customHeight="1" x14ac:dyDescent="0.25">
      <c r="B111" s="392"/>
    </row>
  </sheetData>
  <mergeCells count="6">
    <mergeCell ref="A1:F1"/>
    <mergeCell ref="A2:F2"/>
    <mergeCell ref="A3:F3"/>
    <mergeCell ref="A4:F4"/>
    <mergeCell ref="B39:F39"/>
    <mergeCell ref="B40:F40"/>
  </mergeCells>
  <printOptions gridLines="1"/>
  <pageMargins left="0.25" right="0.25" top="0.5" bottom="0.5" header="0.25" footer="0.25"/>
  <pageSetup paperSize="9" scale="72" orientation="portrait" horizontalDpi="1200" verticalDpi="1200" r:id="rId1"/>
  <headerFooter>
    <oddHeader>&amp;LOFFICE OF HEALTH CARE ACCESS&amp;CTWELVE MONTHS ACTUAL FILING&amp;RESSENT-SHARON HOSPITAL</oddHeader>
    <oddFooter>&amp;LREPORT 450&amp;CPAGE &amp;P of &amp;N&amp;R&amp;D,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topLeftCell="A4" zoomScale="75" zoomScaleSheetLayoutView="90" workbookViewId="0">
      <selection activeCell="B29" sqref="B29"/>
    </sheetView>
  </sheetViews>
  <sheetFormatPr defaultRowHeight="12.75" x14ac:dyDescent="0.2"/>
  <cols>
    <col min="1" max="1" width="5.28515625" style="396" customWidth="1"/>
    <col min="2" max="2" width="56.42578125" style="365" customWidth="1"/>
    <col min="3" max="3" width="15.5703125" style="365" customWidth="1"/>
    <col min="4" max="4" width="15.28515625" style="365" customWidth="1"/>
    <col min="5" max="5" width="15.7109375" style="365" customWidth="1"/>
    <col min="6" max="6" width="15.85546875" style="365" customWidth="1"/>
    <col min="7" max="16384" width="9.140625" style="365"/>
  </cols>
  <sheetData>
    <row r="1" spans="1:6" ht="15.75" customHeight="1" x14ac:dyDescent="0.25">
      <c r="A1" s="810" t="s">
        <v>0</v>
      </c>
      <c r="B1" s="811"/>
      <c r="C1" s="811"/>
      <c r="D1" s="811"/>
      <c r="E1" s="811"/>
      <c r="F1" s="812"/>
    </row>
    <row r="2" spans="1:6" ht="15.75" customHeight="1" x14ac:dyDescent="0.25">
      <c r="A2" s="810" t="s">
        <v>1</v>
      </c>
      <c r="B2" s="811"/>
      <c r="C2" s="811"/>
      <c r="D2" s="811"/>
      <c r="E2" s="811"/>
      <c r="F2" s="812"/>
    </row>
    <row r="3" spans="1:6" ht="15.75" customHeight="1" x14ac:dyDescent="0.25">
      <c r="A3" s="810" t="s">
        <v>2</v>
      </c>
      <c r="B3" s="811"/>
      <c r="C3" s="811"/>
      <c r="D3" s="811"/>
      <c r="E3" s="811"/>
      <c r="F3" s="812"/>
    </row>
    <row r="4" spans="1:6" ht="15.75" customHeight="1" x14ac:dyDescent="0.25">
      <c r="A4" s="810" t="s">
        <v>620</v>
      </c>
      <c r="B4" s="811"/>
      <c r="C4" s="811"/>
      <c r="D4" s="811"/>
      <c r="E4" s="811"/>
      <c r="F4" s="812"/>
    </row>
    <row r="5" spans="1:6" ht="15.75" customHeight="1" x14ac:dyDescent="0.25">
      <c r="A5" s="136"/>
      <c r="B5" s="399"/>
      <c r="C5" s="400"/>
      <c r="D5" s="400"/>
      <c r="E5" s="401"/>
      <c r="F5" s="402"/>
    </row>
    <row r="6" spans="1: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</row>
    <row r="7" spans="1:6" ht="15.75" customHeight="1" x14ac:dyDescent="0.25">
      <c r="A7" s="405"/>
      <c r="B7" s="361"/>
      <c r="C7" s="362"/>
      <c r="D7" s="362"/>
      <c r="E7" s="362"/>
      <c r="F7" s="362"/>
    </row>
    <row r="8" spans="1: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</row>
    <row r="9" spans="1: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</row>
    <row r="10" spans="1:6" ht="15.75" customHeight="1" x14ac:dyDescent="0.25">
      <c r="A10" s="369"/>
      <c r="B10" s="406"/>
      <c r="C10" s="371"/>
      <c r="D10" s="371"/>
      <c r="E10" s="371"/>
      <c r="F10" s="371"/>
    </row>
    <row r="11" spans="1:6" ht="15.75" customHeight="1" x14ac:dyDescent="0.25">
      <c r="A11" s="136" t="s">
        <v>14</v>
      </c>
      <c r="B11" s="406" t="s">
        <v>584</v>
      </c>
      <c r="C11" s="409"/>
      <c r="D11" s="409"/>
      <c r="E11" s="409"/>
      <c r="F11" s="410"/>
    </row>
    <row r="12" spans="1:6" ht="15.75" customHeight="1" x14ac:dyDescent="0.2">
      <c r="A12" s="374">
        <v>1</v>
      </c>
      <c r="B12" s="408" t="s">
        <v>621</v>
      </c>
      <c r="C12" s="409">
        <v>1376</v>
      </c>
      <c r="D12" s="409">
        <v>1297</v>
      </c>
      <c r="E12" s="409">
        <f>+D12-C12</f>
        <v>-79</v>
      </c>
      <c r="F12" s="410">
        <f>IF(C12=0,0,+E12/C12)</f>
        <v>-5.7412790697674417E-2</v>
      </c>
    </row>
    <row r="13" spans="1:6" ht="15.75" customHeight="1" x14ac:dyDescent="0.25">
      <c r="A13" s="374"/>
      <c r="B13" s="399" t="s">
        <v>622</v>
      </c>
      <c r="C13" s="401">
        <f>SUM(C11:C12)</f>
        <v>1376</v>
      </c>
      <c r="D13" s="401">
        <f>SUM(D11:D12)</f>
        <v>1297</v>
      </c>
      <c r="E13" s="401">
        <f>+D13-C13</f>
        <v>-79</v>
      </c>
      <c r="F13" s="402">
        <f>IF(C13=0,0,+E13/C13)</f>
        <v>-5.7412790697674417E-2</v>
      </c>
    </row>
    <row r="14" spans="1:6" ht="15.75" customHeight="1" x14ac:dyDescent="0.25">
      <c r="A14" s="136"/>
      <c r="B14" s="399"/>
      <c r="C14" s="401"/>
      <c r="D14" s="401"/>
      <c r="E14" s="401"/>
      <c r="F14" s="402"/>
    </row>
    <row r="15" spans="1:6" ht="15.75" customHeight="1" x14ac:dyDescent="0.25">
      <c r="A15" s="136" t="s">
        <v>26</v>
      </c>
      <c r="B15" s="406" t="s">
        <v>588</v>
      </c>
      <c r="C15" s="409"/>
      <c r="D15" s="409"/>
      <c r="E15" s="409"/>
      <c r="F15" s="410"/>
    </row>
    <row r="16" spans="1:6" ht="15.75" customHeight="1" x14ac:dyDescent="0.2">
      <c r="A16" s="374">
        <v>1</v>
      </c>
      <c r="B16" s="408" t="s">
        <v>621</v>
      </c>
      <c r="C16" s="409">
        <v>852</v>
      </c>
      <c r="D16" s="409">
        <v>860</v>
      </c>
      <c r="E16" s="409">
        <f>+D16-C16</f>
        <v>8</v>
      </c>
      <c r="F16" s="410">
        <f>IF(C16=0,0,+E16/C16)</f>
        <v>9.3896713615023476E-3</v>
      </c>
    </row>
    <row r="17" spans="1:6" ht="15.75" customHeight="1" x14ac:dyDescent="0.25">
      <c r="A17" s="374"/>
      <c r="B17" s="399" t="s">
        <v>623</v>
      </c>
      <c r="C17" s="401">
        <f>SUM(C15:C16)</f>
        <v>852</v>
      </c>
      <c r="D17" s="401">
        <f>SUM(D15:D16)</f>
        <v>860</v>
      </c>
      <c r="E17" s="401">
        <f>+D17-C17</f>
        <v>8</v>
      </c>
      <c r="F17" s="402">
        <f>IF(C17=0,0,+E17/C17)</f>
        <v>9.3896713615023476E-3</v>
      </c>
    </row>
    <row r="18" spans="1:6" ht="15.75" customHeight="1" x14ac:dyDescent="0.25">
      <c r="A18" s="136"/>
      <c r="B18" s="399"/>
      <c r="C18" s="401"/>
      <c r="D18" s="401"/>
      <c r="E18" s="401"/>
      <c r="F18" s="402"/>
    </row>
    <row r="19" spans="1:6" ht="15.75" customHeight="1" x14ac:dyDescent="0.25">
      <c r="A19" s="136" t="s">
        <v>36</v>
      </c>
      <c r="B19" s="406" t="s">
        <v>624</v>
      </c>
      <c r="C19" s="409"/>
      <c r="D19" s="409"/>
      <c r="E19" s="409"/>
      <c r="F19" s="410"/>
    </row>
    <row r="20" spans="1:6" ht="15.75" customHeight="1" x14ac:dyDescent="0.2">
      <c r="A20" s="374">
        <v>1</v>
      </c>
      <c r="B20" s="408" t="s">
        <v>621</v>
      </c>
      <c r="C20" s="409">
        <v>15746</v>
      </c>
      <c r="D20" s="409">
        <v>14825</v>
      </c>
      <c r="E20" s="409">
        <f>+D20-C20</f>
        <v>-921</v>
      </c>
      <c r="F20" s="410">
        <f>IF(C20=0,0,+E20/C20)</f>
        <v>-5.8491045344849488E-2</v>
      </c>
    </row>
    <row r="21" spans="1:6" ht="15.75" customHeight="1" x14ac:dyDescent="0.25">
      <c r="A21" s="374"/>
      <c r="B21" s="399" t="s">
        <v>625</v>
      </c>
      <c r="C21" s="401">
        <f>SUM(C19:C20)</f>
        <v>15746</v>
      </c>
      <c r="D21" s="401">
        <f>SUM(D19:D20)</f>
        <v>14825</v>
      </c>
      <c r="E21" s="401">
        <f>+D21-C21</f>
        <v>-921</v>
      </c>
      <c r="F21" s="402">
        <f>IF(C21=0,0,+E21/C21)</f>
        <v>-5.8491045344849488E-2</v>
      </c>
    </row>
    <row r="22" spans="1:6" ht="15.75" customHeight="1" x14ac:dyDescent="0.25">
      <c r="A22" s="136"/>
      <c r="B22" s="399"/>
      <c r="C22" s="401"/>
      <c r="D22" s="401"/>
      <c r="E22" s="401"/>
      <c r="F22" s="402"/>
    </row>
    <row r="23" spans="1:6" ht="15.75" customHeight="1" x14ac:dyDescent="0.25">
      <c r="B23" s="813" t="s">
        <v>626</v>
      </c>
      <c r="C23" s="814"/>
      <c r="D23" s="814"/>
      <c r="E23" s="814"/>
      <c r="F23" s="815"/>
    </row>
    <row r="24" spans="1:6" ht="15.75" customHeight="1" x14ac:dyDescent="0.25">
      <c r="A24" s="392"/>
    </row>
    <row r="25" spans="1:6" ht="15.75" customHeight="1" x14ac:dyDescent="0.25">
      <c r="B25" s="813" t="s">
        <v>627</v>
      </c>
      <c r="C25" s="814"/>
      <c r="D25" s="814"/>
      <c r="E25" s="814"/>
      <c r="F25" s="815"/>
    </row>
    <row r="26" spans="1:6" ht="15.75" customHeight="1" x14ac:dyDescent="0.25">
      <c r="A26" s="392"/>
    </row>
    <row r="27" spans="1:6" ht="15.75" customHeight="1" x14ac:dyDescent="0.25">
      <c r="B27" s="813" t="s">
        <v>628</v>
      </c>
      <c r="C27" s="814"/>
      <c r="D27" s="814"/>
      <c r="E27" s="814"/>
      <c r="F27" s="815"/>
    </row>
    <row r="28" spans="1:6" ht="15.75" customHeight="1" x14ac:dyDescent="0.25">
      <c r="A28" s="392"/>
    </row>
  </sheetData>
  <mergeCells count="7">
    <mergeCell ref="B27:F27"/>
    <mergeCell ref="A1:F1"/>
    <mergeCell ref="A2:F2"/>
    <mergeCell ref="A3:F3"/>
    <mergeCell ref="A4:F4"/>
    <mergeCell ref="B23:F23"/>
    <mergeCell ref="B25:F25"/>
  </mergeCells>
  <printOptions gridLines="1"/>
  <pageMargins left="0.25" right="0.25" top="0.5" bottom="0.5" header="0.25" footer="0.25"/>
  <pageSetup paperSize="9" scale="79" fitToHeight="0" orientation="portrait" horizontalDpi="1200" verticalDpi="1200" r:id="rId1"/>
  <headerFooter>
    <oddHeader>&amp;LOFFICE OF HEALTH CARE ACCESS&amp;CTWELVE MONTHS ACTUAL FILING&amp;RESSENT-SHARON HOSPITAL</oddHeader>
    <oddFooter>&amp;LREPORT 485&amp;CPAGE &amp;P of &amp;N&amp;R&amp;D,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1072"/>
  <sheetViews>
    <sheetView topLeftCell="A286" zoomScale="85" zoomScaleSheetLayoutView="80" workbookViewId="0">
      <selection activeCell="B329" sqref="B329"/>
    </sheetView>
  </sheetViews>
  <sheetFormatPr defaultRowHeight="15.75" customHeight="1" x14ac:dyDescent="0.2"/>
  <cols>
    <col min="1" max="1" width="5.140625" style="421" bestFit="1" customWidth="1"/>
    <col min="2" max="2" width="62.140625" style="485" customWidth="1"/>
    <col min="3" max="3" width="14.42578125" style="568" customWidth="1"/>
    <col min="4" max="4" width="14.28515625" style="421" customWidth="1"/>
    <col min="5" max="5" width="14" style="421" customWidth="1"/>
    <col min="6" max="6" width="15.5703125" style="421" customWidth="1"/>
    <col min="7" max="17" width="12.7109375" style="420" customWidth="1"/>
    <col min="18" max="21" width="9.140625" style="421"/>
    <col min="22" max="22" width="9.140625" style="421" hidden="1" customWidth="1"/>
    <col min="23" max="16384" width="9.140625" style="421"/>
  </cols>
  <sheetData>
    <row r="1" spans="1:21" ht="15.75" customHeight="1" x14ac:dyDescent="0.25">
      <c r="A1" s="816" t="s">
        <v>0</v>
      </c>
      <c r="B1" s="816"/>
      <c r="C1" s="816"/>
      <c r="D1" s="816"/>
      <c r="E1" s="816"/>
      <c r="F1" s="816"/>
    </row>
    <row r="2" spans="1:21" ht="15.75" customHeight="1" x14ac:dyDescent="0.25">
      <c r="A2" s="817" t="s">
        <v>629</v>
      </c>
      <c r="B2" s="818"/>
      <c r="C2" s="818"/>
      <c r="D2" s="818"/>
      <c r="E2" s="818"/>
      <c r="F2" s="819"/>
    </row>
    <row r="3" spans="1:21" ht="15.75" customHeight="1" x14ac:dyDescent="0.25">
      <c r="A3" s="817" t="s">
        <v>2</v>
      </c>
      <c r="B3" s="818"/>
      <c r="C3" s="818"/>
      <c r="D3" s="818"/>
      <c r="E3" s="818"/>
      <c r="F3" s="819"/>
    </row>
    <row r="4" spans="1:21" ht="15.75" customHeight="1" x14ac:dyDescent="0.25">
      <c r="A4" s="817" t="s">
        <v>630</v>
      </c>
      <c r="B4" s="818"/>
      <c r="C4" s="818"/>
      <c r="D4" s="818"/>
      <c r="E4" s="818"/>
      <c r="F4" s="819"/>
    </row>
    <row r="5" spans="1:21" ht="15.75" customHeight="1" x14ac:dyDescent="0.25">
      <c r="A5" s="817" t="s">
        <v>631</v>
      </c>
      <c r="B5" s="818"/>
      <c r="C5" s="818"/>
      <c r="D5" s="818"/>
      <c r="E5" s="818"/>
      <c r="F5" s="819"/>
    </row>
    <row r="6" spans="1:21" ht="15.75" customHeight="1" x14ac:dyDescent="0.25">
      <c r="A6" s="422"/>
      <c r="B6" s="423"/>
      <c r="C6" s="424"/>
      <c r="D6" s="424"/>
      <c r="E6" s="424"/>
      <c r="F6" s="424"/>
      <c r="G6" s="421"/>
      <c r="H6" s="421"/>
      <c r="I6" s="421"/>
      <c r="J6" s="421"/>
      <c r="K6" s="421"/>
      <c r="L6" s="421"/>
      <c r="M6" s="421"/>
      <c r="N6" s="421"/>
      <c r="O6" s="421"/>
      <c r="P6" s="421"/>
      <c r="Q6" s="421"/>
    </row>
    <row r="7" spans="1:21" s="428" customFormat="1" ht="15.75" customHeight="1" x14ac:dyDescent="0.2">
      <c r="A7" s="425"/>
      <c r="B7" s="425"/>
      <c r="C7" s="426" t="s">
        <v>632</v>
      </c>
      <c r="D7" s="426" t="s">
        <v>632</v>
      </c>
      <c r="E7" s="426" t="s">
        <v>633</v>
      </c>
      <c r="F7" s="426" t="s">
        <v>7</v>
      </c>
      <c r="G7" s="427"/>
      <c r="H7" s="427"/>
      <c r="I7" s="427"/>
      <c r="J7" s="427"/>
      <c r="K7" s="427"/>
      <c r="L7" s="427"/>
      <c r="M7" s="427"/>
      <c r="N7" s="427"/>
      <c r="O7" s="427"/>
      <c r="P7" s="427"/>
      <c r="Q7" s="427"/>
    </row>
    <row r="8" spans="1:21" s="428" customFormat="1" ht="15.75" customHeight="1" x14ac:dyDescent="0.2">
      <c r="A8" s="429" t="s">
        <v>8</v>
      </c>
      <c r="B8" s="430" t="s">
        <v>9</v>
      </c>
      <c r="C8" s="431" t="s">
        <v>4</v>
      </c>
      <c r="D8" s="431" t="s">
        <v>5</v>
      </c>
      <c r="E8" s="431" t="s">
        <v>11</v>
      </c>
      <c r="F8" s="431" t="s">
        <v>11</v>
      </c>
      <c r="G8" s="427"/>
      <c r="H8" s="427"/>
      <c r="I8" s="427"/>
      <c r="J8" s="427"/>
      <c r="K8" s="427"/>
      <c r="L8" s="427"/>
      <c r="M8" s="427"/>
      <c r="N8" s="427"/>
      <c r="O8" s="427"/>
      <c r="P8" s="427"/>
      <c r="Q8" s="432"/>
    </row>
    <row r="9" spans="1:21" s="428" customFormat="1" ht="15.75" customHeight="1" x14ac:dyDescent="0.2">
      <c r="A9" s="433"/>
      <c r="B9" s="434"/>
      <c r="C9" s="435"/>
      <c r="D9" s="435"/>
      <c r="E9" s="435"/>
      <c r="F9" s="435"/>
      <c r="G9" s="427"/>
      <c r="H9" s="427"/>
      <c r="I9" s="427"/>
      <c r="J9" s="427"/>
      <c r="K9" s="427"/>
      <c r="L9" s="427"/>
      <c r="M9" s="427"/>
      <c r="N9" s="427"/>
      <c r="O9" s="427"/>
      <c r="P9" s="427"/>
      <c r="Q9" s="432"/>
    </row>
    <row r="10" spans="1:21" s="428" customFormat="1" ht="15.75" customHeight="1" x14ac:dyDescent="0.25">
      <c r="A10" s="436" t="s">
        <v>12</v>
      </c>
      <c r="B10" s="437" t="s">
        <v>634</v>
      </c>
      <c r="C10" s="427"/>
      <c r="D10" s="438"/>
      <c r="E10" s="439"/>
      <c r="F10" s="440"/>
      <c r="G10" s="427"/>
      <c r="H10" s="427"/>
      <c r="I10" s="427"/>
      <c r="J10" s="427"/>
      <c r="K10" s="427"/>
      <c r="L10" s="427"/>
      <c r="M10" s="427"/>
      <c r="N10" s="427"/>
      <c r="O10" s="427"/>
      <c r="P10" s="427"/>
      <c r="Q10" s="432"/>
    </row>
    <row r="11" spans="1:21" s="428" customFormat="1" ht="15.75" customHeight="1" x14ac:dyDescent="0.2">
      <c r="C11" s="427"/>
      <c r="D11" s="438"/>
      <c r="E11" s="441"/>
      <c r="F11" s="442"/>
      <c r="G11" s="427"/>
      <c r="H11" s="427"/>
      <c r="I11" s="427"/>
      <c r="J11" s="427"/>
      <c r="K11" s="427"/>
      <c r="L11" s="427"/>
      <c r="M11" s="427"/>
      <c r="N11" s="427"/>
      <c r="O11" s="427"/>
      <c r="P11" s="427"/>
      <c r="Q11" s="432"/>
    </row>
    <row r="12" spans="1:21" s="428" customFormat="1" ht="15.75" customHeight="1" x14ac:dyDescent="0.25">
      <c r="A12" s="443" t="s">
        <v>14</v>
      </c>
      <c r="B12" s="444" t="s">
        <v>635</v>
      </c>
      <c r="C12" s="427"/>
      <c r="D12" s="438"/>
      <c r="E12" s="441"/>
      <c r="F12" s="442"/>
      <c r="G12" s="427"/>
      <c r="H12" s="427"/>
      <c r="I12" s="427"/>
      <c r="J12" s="427"/>
      <c r="K12" s="427"/>
      <c r="L12" s="427"/>
      <c r="M12" s="427"/>
      <c r="N12" s="427"/>
      <c r="O12" s="427"/>
      <c r="P12" s="427"/>
      <c r="Q12" s="432"/>
    </row>
    <row r="13" spans="1:21" ht="15.75" customHeight="1" x14ac:dyDescent="0.2">
      <c r="A13" s="428"/>
      <c r="B13" s="445"/>
      <c r="C13" s="420"/>
      <c r="D13" s="420"/>
      <c r="E13" s="420"/>
      <c r="F13" s="420"/>
      <c r="Q13" s="421"/>
    </row>
    <row r="14" spans="1:21" ht="15.75" customHeight="1" x14ac:dyDescent="0.25">
      <c r="A14" s="428"/>
      <c r="B14" s="446" t="s">
        <v>636</v>
      </c>
      <c r="C14" s="420"/>
      <c r="D14" s="420"/>
      <c r="E14" s="420"/>
      <c r="F14" s="420"/>
      <c r="Q14" s="421"/>
    </row>
    <row r="15" spans="1:21" ht="15.75" customHeight="1" x14ac:dyDescent="0.2">
      <c r="A15" s="428">
        <v>1</v>
      </c>
      <c r="B15" s="447" t="s">
        <v>637</v>
      </c>
      <c r="C15" s="448">
        <v>39105825</v>
      </c>
      <c r="D15" s="448">
        <v>38229340</v>
      </c>
      <c r="E15" s="448">
        <f t="shared" ref="E15:E24" si="0">D15-C15</f>
        <v>-876485</v>
      </c>
      <c r="F15" s="449">
        <f t="shared" ref="F15:F24" si="1">IF(C15=0,0,E15/C15)</f>
        <v>-2.2413157119175981E-2</v>
      </c>
      <c r="G15" s="450"/>
      <c r="H15" s="450"/>
      <c r="I15" s="450"/>
      <c r="J15" s="450"/>
      <c r="K15" s="450"/>
      <c r="L15" s="450"/>
      <c r="M15" s="450"/>
      <c r="N15" s="450"/>
      <c r="O15" s="450"/>
      <c r="P15" s="450"/>
      <c r="Q15" s="421"/>
    </row>
    <row r="16" spans="1:21" ht="15.75" customHeight="1" x14ac:dyDescent="0.2">
      <c r="A16" s="451">
        <v>2</v>
      </c>
      <c r="B16" s="447" t="s">
        <v>638</v>
      </c>
      <c r="C16" s="448">
        <v>17970764</v>
      </c>
      <c r="D16" s="448">
        <v>16145227</v>
      </c>
      <c r="E16" s="448">
        <f t="shared" si="0"/>
        <v>-1825537</v>
      </c>
      <c r="F16" s="449">
        <f t="shared" si="1"/>
        <v>-0.10158371675238738</v>
      </c>
      <c r="G16" s="450"/>
      <c r="H16" s="450"/>
      <c r="I16" s="450"/>
      <c r="J16" s="450"/>
      <c r="K16" s="450"/>
      <c r="L16" s="450"/>
      <c r="M16" s="450"/>
      <c r="N16" s="450"/>
      <c r="O16" s="450"/>
      <c r="P16" s="450"/>
      <c r="Q16" s="421"/>
      <c r="U16" s="441"/>
    </row>
    <row r="17" spans="1:21" ht="15.75" customHeight="1" x14ac:dyDescent="0.2">
      <c r="A17" s="451">
        <v>3</v>
      </c>
      <c r="B17" s="452" t="s">
        <v>639</v>
      </c>
      <c r="C17" s="453">
        <f>IF(C15=0,0,C16/C15)</f>
        <v>0.45954187131968194</v>
      </c>
      <c r="D17" s="453">
        <f>IF(LN_IA1=0,0,LN_IA2/LN_IA1)</f>
        <v>0.42232554891086271</v>
      </c>
      <c r="E17" s="454">
        <f t="shared" si="0"/>
        <v>-3.7216322408819225E-2</v>
      </c>
      <c r="F17" s="449">
        <f t="shared" si="1"/>
        <v>-8.098570496295332E-2</v>
      </c>
      <c r="G17" s="455"/>
      <c r="H17" s="455"/>
      <c r="I17" s="455"/>
      <c r="J17" s="455"/>
      <c r="K17" s="455"/>
      <c r="L17" s="455"/>
      <c r="M17" s="455"/>
      <c r="N17" s="455"/>
      <c r="O17" s="455"/>
      <c r="P17" s="455"/>
      <c r="Q17" s="421"/>
      <c r="U17" s="441"/>
    </row>
    <row r="18" spans="1:21" ht="15.75" customHeight="1" x14ac:dyDescent="0.2">
      <c r="A18" s="451">
        <v>4</v>
      </c>
      <c r="B18" s="447" t="s">
        <v>137</v>
      </c>
      <c r="C18" s="456">
        <v>1614</v>
      </c>
      <c r="D18" s="456">
        <v>1461</v>
      </c>
      <c r="E18" s="456">
        <f t="shared" si="0"/>
        <v>-153</v>
      </c>
      <c r="F18" s="449">
        <f t="shared" si="1"/>
        <v>-9.4795539033457249E-2</v>
      </c>
      <c r="G18" s="457"/>
      <c r="H18" s="457"/>
      <c r="I18" s="457"/>
      <c r="J18" s="457"/>
      <c r="K18" s="457"/>
      <c r="L18" s="457"/>
      <c r="M18" s="457"/>
      <c r="N18" s="457"/>
      <c r="O18" s="457"/>
      <c r="P18" s="457"/>
      <c r="Q18" s="421"/>
      <c r="U18" s="458"/>
    </row>
    <row r="19" spans="1:21" ht="15.75" customHeight="1" x14ac:dyDescent="0.2">
      <c r="A19" s="451">
        <v>5</v>
      </c>
      <c r="B19" s="452" t="s">
        <v>640</v>
      </c>
      <c r="C19" s="459">
        <v>1.1823999999999999</v>
      </c>
      <c r="D19" s="459">
        <v>1.1961999999999999</v>
      </c>
      <c r="E19" s="460">
        <f t="shared" si="0"/>
        <v>1.3800000000000034E-2</v>
      </c>
      <c r="F19" s="449">
        <f t="shared" si="1"/>
        <v>1.1671177266576484E-2</v>
      </c>
      <c r="G19" s="461"/>
      <c r="H19" s="461"/>
      <c r="I19" s="461"/>
      <c r="J19" s="461"/>
      <c r="K19" s="461"/>
      <c r="L19" s="461"/>
      <c r="M19" s="461"/>
      <c r="N19" s="461"/>
      <c r="O19" s="461"/>
      <c r="P19" s="461"/>
      <c r="Q19" s="421"/>
      <c r="U19" s="462"/>
    </row>
    <row r="20" spans="1:21" ht="15.75" customHeight="1" x14ac:dyDescent="0.2">
      <c r="A20" s="428">
        <v>6</v>
      </c>
      <c r="B20" s="452" t="s">
        <v>641</v>
      </c>
      <c r="C20" s="463">
        <f>C18*C19</f>
        <v>1908.3935999999999</v>
      </c>
      <c r="D20" s="463">
        <f>LN_IA4*LN_IA5</f>
        <v>1747.6481999999999</v>
      </c>
      <c r="E20" s="463">
        <f t="shared" si="0"/>
        <v>-160.74540000000002</v>
      </c>
      <c r="F20" s="449">
        <f t="shared" si="1"/>
        <v>-8.423073730702095E-2</v>
      </c>
      <c r="G20" s="457"/>
      <c r="H20" s="457"/>
      <c r="I20" s="457"/>
      <c r="J20" s="457"/>
      <c r="K20" s="457"/>
      <c r="L20" s="457"/>
      <c r="M20" s="457"/>
      <c r="N20" s="457"/>
      <c r="O20" s="457"/>
      <c r="P20" s="457"/>
      <c r="Q20" s="421"/>
      <c r="U20" s="464"/>
    </row>
    <row r="21" spans="1:21" ht="15.75" customHeight="1" x14ac:dyDescent="0.2">
      <c r="A21" s="451">
        <v>7</v>
      </c>
      <c r="B21" s="447" t="s">
        <v>642</v>
      </c>
      <c r="C21" s="465">
        <f>IF(C20=0,0,C16/C20)</f>
        <v>9416.6968491195948</v>
      </c>
      <c r="D21" s="465">
        <f>IF(LN_IA6=0,0,LN_IA2/LN_IA6)</f>
        <v>9238.2591645160628</v>
      </c>
      <c r="E21" s="465">
        <f t="shared" si="0"/>
        <v>-178.43768460353203</v>
      </c>
      <c r="F21" s="449">
        <f t="shared" si="1"/>
        <v>-1.8949073912283253E-2</v>
      </c>
      <c r="G21" s="450"/>
      <c r="H21" s="450"/>
      <c r="I21" s="450"/>
      <c r="J21" s="450"/>
      <c r="K21" s="450"/>
      <c r="L21" s="450"/>
      <c r="M21" s="450"/>
      <c r="N21" s="450"/>
      <c r="O21" s="450"/>
      <c r="P21" s="450"/>
      <c r="Q21" s="421"/>
      <c r="U21" s="462"/>
    </row>
    <row r="22" spans="1:21" ht="15.75" customHeight="1" x14ac:dyDescent="0.2">
      <c r="A22" s="451">
        <v>8</v>
      </c>
      <c r="B22" s="447" t="s">
        <v>139</v>
      </c>
      <c r="C22" s="456">
        <v>8491</v>
      </c>
      <c r="D22" s="456">
        <v>8225</v>
      </c>
      <c r="E22" s="456">
        <f t="shared" si="0"/>
        <v>-266</v>
      </c>
      <c r="F22" s="449">
        <f t="shared" si="1"/>
        <v>-3.1327287716405604E-2</v>
      </c>
      <c r="G22" s="457"/>
      <c r="H22" s="457"/>
      <c r="I22" s="457"/>
      <c r="J22" s="457"/>
      <c r="K22" s="457"/>
      <c r="L22" s="457"/>
      <c r="M22" s="457"/>
      <c r="N22" s="457"/>
      <c r="O22" s="457"/>
      <c r="P22" s="457"/>
      <c r="Q22" s="421"/>
      <c r="U22" s="441"/>
    </row>
    <row r="23" spans="1:21" ht="15.75" customHeight="1" x14ac:dyDescent="0.2">
      <c r="A23" s="451">
        <v>9</v>
      </c>
      <c r="B23" s="447" t="s">
        <v>643</v>
      </c>
      <c r="C23" s="465">
        <f>IF(C22=0,0,C16/C22)</f>
        <v>2116.4484748557297</v>
      </c>
      <c r="D23" s="465">
        <f>IF(LN_IA8=0,0,LN_IA2/LN_IA8)</f>
        <v>1962.9455319148935</v>
      </c>
      <c r="E23" s="465">
        <f t="shared" si="0"/>
        <v>-153.50294294083619</v>
      </c>
      <c r="F23" s="449">
        <f t="shared" si="1"/>
        <v>-7.2528551847358305E-2</v>
      </c>
      <c r="G23" s="450"/>
      <c r="H23" s="450"/>
      <c r="I23" s="450"/>
      <c r="J23" s="450"/>
      <c r="K23" s="450"/>
      <c r="L23" s="450"/>
      <c r="M23" s="450"/>
      <c r="N23" s="450"/>
      <c r="O23" s="450"/>
      <c r="P23" s="450"/>
      <c r="Q23" s="421"/>
      <c r="U23" s="462"/>
    </row>
    <row r="24" spans="1:21" ht="15.75" customHeight="1" x14ac:dyDescent="0.2">
      <c r="A24" s="451">
        <v>10</v>
      </c>
      <c r="B24" s="447" t="s">
        <v>644</v>
      </c>
      <c r="C24" s="466">
        <f>IF(C18=0,0,C22/C18)</f>
        <v>5.2608426270136306</v>
      </c>
      <c r="D24" s="466">
        <f>IF(LN_IA4=0,0,LN_IA8/LN_IA4)</f>
        <v>5.6297056810403836</v>
      </c>
      <c r="E24" s="466">
        <f t="shared" si="0"/>
        <v>0.36886305402675301</v>
      </c>
      <c r="F24" s="449">
        <f t="shared" si="1"/>
        <v>7.0114823836907245E-2</v>
      </c>
      <c r="G24" s="450"/>
      <c r="H24" s="450"/>
      <c r="I24" s="450"/>
      <c r="J24" s="450"/>
      <c r="K24" s="450"/>
      <c r="L24" s="450"/>
      <c r="M24" s="450"/>
      <c r="N24" s="450"/>
      <c r="O24" s="450"/>
      <c r="P24" s="450"/>
      <c r="Q24" s="421"/>
      <c r="U24" s="441"/>
    </row>
    <row r="25" spans="1:21" ht="15.75" customHeight="1" x14ac:dyDescent="0.2">
      <c r="A25" s="451"/>
      <c r="B25" s="447"/>
      <c r="C25" s="467"/>
      <c r="D25" s="467"/>
      <c r="E25" s="467"/>
      <c r="F25" s="449"/>
      <c r="G25" s="468"/>
      <c r="H25" s="468"/>
      <c r="I25" s="468"/>
      <c r="J25" s="468"/>
      <c r="K25" s="468"/>
      <c r="L25" s="468"/>
      <c r="M25" s="468"/>
      <c r="N25" s="468"/>
      <c r="O25" s="468"/>
      <c r="P25" s="468"/>
      <c r="Q25" s="421"/>
      <c r="U25" s="469"/>
    </row>
    <row r="26" spans="1:21" ht="15.75" customHeight="1" x14ac:dyDescent="0.25">
      <c r="A26" s="451"/>
      <c r="B26" s="470" t="s">
        <v>645</v>
      </c>
      <c r="C26" s="467"/>
      <c r="D26" s="467"/>
      <c r="E26" s="467"/>
      <c r="F26" s="449"/>
      <c r="G26" s="468"/>
      <c r="H26" s="468"/>
      <c r="I26" s="468"/>
      <c r="J26" s="468"/>
      <c r="K26" s="468"/>
      <c r="L26" s="468"/>
      <c r="M26" s="468"/>
      <c r="N26" s="468"/>
      <c r="O26" s="468"/>
      <c r="P26" s="468"/>
      <c r="Q26" s="421"/>
      <c r="U26" s="471"/>
    </row>
    <row r="27" spans="1:21" ht="15.75" customHeight="1" x14ac:dyDescent="0.2">
      <c r="A27" s="451">
        <v>11</v>
      </c>
      <c r="B27" s="447" t="s">
        <v>646</v>
      </c>
      <c r="C27" s="448">
        <v>36915275</v>
      </c>
      <c r="D27" s="448">
        <v>35294487</v>
      </c>
      <c r="E27" s="448">
        <f t="shared" ref="E27:E32" si="2">D27-C27</f>
        <v>-1620788</v>
      </c>
      <c r="F27" s="449">
        <f t="shared" ref="F27:F32" si="3">IF(C27=0,0,E27/C27)</f>
        <v>-4.3905619015434667E-2</v>
      </c>
      <c r="G27" s="450"/>
      <c r="H27" s="450"/>
      <c r="I27" s="450"/>
      <c r="J27" s="450"/>
      <c r="K27" s="450"/>
      <c r="L27" s="450"/>
      <c r="M27" s="450"/>
      <c r="N27" s="450"/>
      <c r="O27" s="450"/>
      <c r="P27" s="450"/>
      <c r="Q27" s="421"/>
      <c r="U27" s="471"/>
    </row>
    <row r="28" spans="1:21" ht="15.75" customHeight="1" x14ac:dyDescent="0.2">
      <c r="A28" s="451">
        <v>12</v>
      </c>
      <c r="B28" s="447" t="s">
        <v>647</v>
      </c>
      <c r="C28" s="448">
        <v>7527778</v>
      </c>
      <c r="D28" s="448">
        <v>7500871</v>
      </c>
      <c r="E28" s="448">
        <f t="shared" si="2"/>
        <v>-26907</v>
      </c>
      <c r="F28" s="449">
        <f t="shared" si="3"/>
        <v>-3.5743615181000289E-3</v>
      </c>
      <c r="G28" s="450"/>
      <c r="H28" s="450"/>
      <c r="I28" s="450"/>
      <c r="J28" s="450"/>
      <c r="K28" s="450"/>
      <c r="L28" s="450"/>
      <c r="M28" s="450"/>
      <c r="N28" s="450"/>
      <c r="O28" s="450"/>
      <c r="P28" s="450"/>
      <c r="Q28" s="421"/>
      <c r="U28" s="441"/>
    </row>
    <row r="29" spans="1:21" ht="15.75" customHeight="1" x14ac:dyDescent="0.2">
      <c r="A29" s="451">
        <v>13</v>
      </c>
      <c r="B29" s="447" t="s">
        <v>648</v>
      </c>
      <c r="C29" s="453">
        <f>IF(C27=0,0,C28/C27)</f>
        <v>0.20392040964072461</v>
      </c>
      <c r="D29" s="453">
        <f>IF(LN_IA11=0,0,LN_IA12/LN_IA11)</f>
        <v>0.21252245428584923</v>
      </c>
      <c r="E29" s="454">
        <f t="shared" si="2"/>
        <v>8.6020446451246235E-3</v>
      </c>
      <c r="F29" s="449">
        <f t="shared" si="3"/>
        <v>4.218334329692678E-2</v>
      </c>
      <c r="G29" s="455"/>
      <c r="H29" s="455"/>
      <c r="I29" s="455"/>
      <c r="J29" s="455"/>
      <c r="K29" s="455"/>
      <c r="L29" s="455"/>
      <c r="M29" s="455"/>
      <c r="N29" s="455"/>
      <c r="O29" s="455"/>
      <c r="P29" s="455"/>
      <c r="Q29" s="421"/>
      <c r="U29" s="441"/>
    </row>
    <row r="30" spans="1:21" ht="15.75" customHeight="1" x14ac:dyDescent="0.2">
      <c r="A30" s="451">
        <v>14</v>
      </c>
      <c r="B30" s="447" t="s">
        <v>649</v>
      </c>
      <c r="C30" s="453">
        <f>IF(C15=0,0,C27/C15)</f>
        <v>0.94398404841222505</v>
      </c>
      <c r="D30" s="453">
        <f>IF(LN_IA1=0,0,LN_IA11/LN_IA1)</f>
        <v>0.92323035134794373</v>
      </c>
      <c r="E30" s="454">
        <f t="shared" si="2"/>
        <v>-2.0753697064281318E-2</v>
      </c>
      <c r="F30" s="449">
        <f t="shared" si="3"/>
        <v>-2.1985220088399694E-2</v>
      </c>
      <c r="G30" s="472"/>
      <c r="H30" s="472"/>
      <c r="I30" s="472"/>
      <c r="J30" s="472"/>
      <c r="K30" s="472"/>
      <c r="L30" s="472"/>
      <c r="M30" s="472"/>
      <c r="N30" s="472"/>
      <c r="O30" s="472"/>
      <c r="P30" s="472"/>
      <c r="Q30" s="421"/>
      <c r="U30" s="458"/>
    </row>
    <row r="31" spans="1:21" ht="15.75" customHeight="1" x14ac:dyDescent="0.2">
      <c r="A31" s="451">
        <v>15</v>
      </c>
      <c r="B31" s="447" t="s">
        <v>650</v>
      </c>
      <c r="C31" s="463">
        <f>C30*C18</f>
        <v>1523.5902541373312</v>
      </c>
      <c r="D31" s="463">
        <f>LN_IA14*LN_IA4</f>
        <v>1348.8395433193457</v>
      </c>
      <c r="E31" s="463">
        <f t="shared" si="2"/>
        <v>-174.75071081798546</v>
      </c>
      <c r="F31" s="449">
        <f t="shared" si="3"/>
        <v>-0.11469665833280793</v>
      </c>
      <c r="G31" s="457"/>
      <c r="H31" s="457"/>
      <c r="I31" s="457"/>
      <c r="J31" s="457"/>
      <c r="K31" s="457"/>
      <c r="L31" s="457"/>
      <c r="M31" s="457"/>
      <c r="N31" s="457"/>
      <c r="O31" s="457"/>
      <c r="P31" s="457"/>
      <c r="Q31" s="421"/>
      <c r="U31" s="458"/>
    </row>
    <row r="32" spans="1:21" ht="15.75" customHeight="1" x14ac:dyDescent="0.2">
      <c r="A32" s="451">
        <v>16</v>
      </c>
      <c r="B32" s="452" t="s">
        <v>651</v>
      </c>
      <c r="C32" s="465">
        <f>IF(C31=0,0,C28/C31)</f>
        <v>4940.8152746830792</v>
      </c>
      <c r="D32" s="465">
        <f>IF(LN_IA15=0,0,LN_IA12/LN_IA15)</f>
        <v>5560.9809462889725</v>
      </c>
      <c r="E32" s="465">
        <f t="shared" si="2"/>
        <v>620.16567160589329</v>
      </c>
      <c r="F32" s="449">
        <f t="shared" si="3"/>
        <v>0.12551889458074766</v>
      </c>
      <c r="G32" s="450"/>
      <c r="H32" s="450"/>
      <c r="I32" s="450"/>
      <c r="J32" s="450"/>
      <c r="K32" s="450"/>
      <c r="L32" s="450"/>
      <c r="M32" s="450"/>
      <c r="N32" s="450"/>
      <c r="O32" s="450"/>
      <c r="P32" s="450"/>
      <c r="Q32" s="421"/>
      <c r="U32" s="462"/>
    </row>
    <row r="33" spans="1:21" ht="15.75" customHeight="1" x14ac:dyDescent="0.2">
      <c r="A33" s="451"/>
      <c r="B33" s="447"/>
      <c r="C33" s="448"/>
      <c r="D33" s="448"/>
      <c r="E33" s="448"/>
      <c r="F33" s="449"/>
      <c r="G33" s="450"/>
      <c r="H33" s="450"/>
      <c r="I33" s="450"/>
      <c r="J33" s="450"/>
      <c r="K33" s="450"/>
      <c r="L33" s="450"/>
      <c r="M33" s="450"/>
      <c r="N33" s="450"/>
      <c r="O33" s="450"/>
      <c r="P33" s="450"/>
      <c r="Q33" s="421"/>
      <c r="U33" s="441"/>
    </row>
    <row r="34" spans="1:21" ht="15.75" customHeight="1" x14ac:dyDescent="0.25">
      <c r="A34" s="451"/>
      <c r="B34" s="470" t="s">
        <v>652</v>
      </c>
      <c r="C34" s="448"/>
      <c r="D34" s="448"/>
      <c r="E34" s="448"/>
      <c r="F34" s="449"/>
      <c r="G34" s="450"/>
      <c r="H34" s="450"/>
      <c r="I34" s="450"/>
      <c r="J34" s="450"/>
      <c r="K34" s="450"/>
      <c r="L34" s="450"/>
      <c r="M34" s="450"/>
      <c r="N34" s="450"/>
      <c r="O34" s="450"/>
      <c r="P34" s="450"/>
      <c r="Q34" s="421"/>
      <c r="U34" s="441"/>
    </row>
    <row r="35" spans="1:21" ht="15.75" customHeight="1" x14ac:dyDescent="0.2">
      <c r="A35" s="451">
        <v>17</v>
      </c>
      <c r="B35" s="447" t="s">
        <v>653</v>
      </c>
      <c r="C35" s="448">
        <f>C15+C27</f>
        <v>76021100</v>
      </c>
      <c r="D35" s="448">
        <f>LN_IA1+LN_IA11</f>
        <v>73523827</v>
      </c>
      <c r="E35" s="448">
        <f>D35-C35</f>
        <v>-2497273</v>
      </c>
      <c r="F35" s="449">
        <f>IF(C35=0,0,E35/C35)</f>
        <v>-3.2849735139323162E-2</v>
      </c>
      <c r="G35" s="450"/>
      <c r="H35" s="450"/>
      <c r="I35" s="450"/>
      <c r="J35" s="450"/>
      <c r="K35" s="450"/>
      <c r="L35" s="450"/>
      <c r="M35" s="450"/>
      <c r="N35" s="450"/>
      <c r="O35" s="450"/>
      <c r="P35" s="450"/>
      <c r="Q35" s="421"/>
      <c r="U35" s="441"/>
    </row>
    <row r="36" spans="1:21" ht="15.75" customHeight="1" x14ac:dyDescent="0.2">
      <c r="A36" s="451">
        <v>18</v>
      </c>
      <c r="B36" s="447" t="s">
        <v>654</v>
      </c>
      <c r="C36" s="448">
        <f>C16+C28</f>
        <v>25498542</v>
      </c>
      <c r="D36" s="448">
        <f>LN_IA2+LN_IA12</f>
        <v>23646098</v>
      </c>
      <c r="E36" s="448">
        <f>D36-C36</f>
        <v>-1852444</v>
      </c>
      <c r="F36" s="449">
        <f>IF(C36=0,0,E36/C36)</f>
        <v>-7.2649016559456617E-2</v>
      </c>
      <c r="G36" s="450"/>
      <c r="H36" s="450"/>
      <c r="I36" s="450"/>
      <c r="J36" s="450"/>
      <c r="K36" s="450"/>
      <c r="L36" s="450"/>
      <c r="M36" s="450"/>
      <c r="N36" s="450"/>
      <c r="O36" s="450"/>
      <c r="P36" s="450"/>
      <c r="Q36" s="421"/>
      <c r="U36" s="441"/>
    </row>
    <row r="37" spans="1:21" ht="15.75" customHeight="1" x14ac:dyDescent="0.2">
      <c r="A37" s="473">
        <v>19</v>
      </c>
      <c r="B37" s="447" t="s">
        <v>655</v>
      </c>
      <c r="C37" s="448">
        <f>C35-C36</f>
        <v>50522558</v>
      </c>
      <c r="D37" s="448">
        <f>LN_IA17-LN_IA18</f>
        <v>49877729</v>
      </c>
      <c r="E37" s="448">
        <f>D37-C37</f>
        <v>-644829</v>
      </c>
      <c r="F37" s="449">
        <f>IF(C37=0,0,E37/C37)</f>
        <v>-1.2763189860655907E-2</v>
      </c>
      <c r="G37" s="450"/>
      <c r="H37" s="450"/>
      <c r="I37" s="450"/>
      <c r="J37" s="450"/>
      <c r="K37" s="450"/>
      <c r="L37" s="450"/>
      <c r="M37" s="450"/>
      <c r="N37" s="450"/>
      <c r="O37" s="450"/>
      <c r="P37" s="450"/>
      <c r="Q37" s="421"/>
      <c r="U37" s="441"/>
    </row>
    <row r="38" spans="1:21" ht="15.75" customHeight="1" x14ac:dyDescent="0.2">
      <c r="A38" s="438"/>
      <c r="B38" s="445"/>
      <c r="C38" s="420"/>
      <c r="D38" s="420"/>
      <c r="E38" s="420"/>
      <c r="F38" s="449"/>
      <c r="Q38" s="421"/>
      <c r="U38" s="441"/>
    </row>
    <row r="39" spans="1:21" ht="15.75" customHeight="1" x14ac:dyDescent="0.25">
      <c r="A39" s="443" t="s">
        <v>26</v>
      </c>
      <c r="B39" s="444" t="s">
        <v>656</v>
      </c>
      <c r="C39" s="474"/>
      <c r="D39" s="474"/>
      <c r="E39" s="474"/>
      <c r="F39" s="474"/>
      <c r="G39" s="475"/>
      <c r="H39" s="475"/>
      <c r="I39" s="475"/>
      <c r="J39" s="475"/>
      <c r="K39" s="475"/>
      <c r="L39" s="475"/>
      <c r="M39" s="475"/>
      <c r="N39" s="475"/>
      <c r="O39" s="475"/>
      <c r="P39" s="475"/>
      <c r="Q39" s="421"/>
      <c r="U39" s="476"/>
    </row>
    <row r="40" spans="1:21" ht="15.75" customHeight="1" x14ac:dyDescent="0.2">
      <c r="A40" s="451"/>
      <c r="B40" s="447"/>
      <c r="C40" s="441"/>
      <c r="D40" s="441"/>
      <c r="E40" s="441"/>
      <c r="F40" s="449"/>
      <c r="G40" s="477"/>
      <c r="H40" s="477"/>
      <c r="I40" s="477"/>
      <c r="J40" s="477"/>
      <c r="K40" s="477"/>
      <c r="L40" s="477"/>
      <c r="M40" s="477"/>
      <c r="N40" s="477"/>
      <c r="O40" s="477"/>
      <c r="P40" s="477"/>
      <c r="Q40" s="421"/>
      <c r="U40" s="476"/>
    </row>
    <row r="41" spans="1:21" ht="15.75" customHeight="1" x14ac:dyDescent="0.25">
      <c r="A41" s="451"/>
      <c r="B41" s="446" t="s">
        <v>657</v>
      </c>
      <c r="C41" s="441"/>
      <c r="D41" s="441"/>
      <c r="E41" s="441"/>
      <c r="F41" s="449"/>
      <c r="G41" s="477"/>
      <c r="H41" s="477"/>
      <c r="I41" s="477"/>
      <c r="J41" s="477"/>
      <c r="K41" s="477"/>
      <c r="L41" s="477"/>
      <c r="M41" s="477"/>
      <c r="N41" s="477"/>
      <c r="O41" s="477"/>
      <c r="P41" s="477"/>
      <c r="Q41" s="421"/>
      <c r="U41" s="441"/>
    </row>
    <row r="42" spans="1:21" ht="15.75" customHeight="1" x14ac:dyDescent="0.2">
      <c r="A42" s="428">
        <v>1</v>
      </c>
      <c r="B42" s="447" t="s">
        <v>637</v>
      </c>
      <c r="C42" s="448">
        <v>15677757</v>
      </c>
      <c r="D42" s="448">
        <v>12430476</v>
      </c>
      <c r="E42" s="448">
        <f t="shared" ref="E42:E53" si="4">D42-C42</f>
        <v>-3247281</v>
      </c>
      <c r="F42" s="449">
        <f t="shared" ref="F42:F53" si="5">IF(C42=0,0,E42/C42)</f>
        <v>-0.20712663169865433</v>
      </c>
      <c r="G42" s="450"/>
      <c r="H42" s="450"/>
      <c r="I42" s="450"/>
      <c r="J42" s="450"/>
      <c r="K42" s="450"/>
      <c r="L42" s="450"/>
      <c r="M42" s="450"/>
      <c r="N42" s="450"/>
      <c r="O42" s="450"/>
      <c r="P42" s="450"/>
      <c r="Q42" s="421"/>
      <c r="U42" s="441"/>
    </row>
    <row r="43" spans="1:21" ht="15.75" customHeight="1" x14ac:dyDescent="0.2">
      <c r="A43" s="451">
        <v>2</v>
      </c>
      <c r="B43" s="447" t="s">
        <v>638</v>
      </c>
      <c r="C43" s="448">
        <v>6677553</v>
      </c>
      <c r="D43" s="448">
        <v>5086670</v>
      </c>
      <c r="E43" s="448">
        <f t="shared" si="4"/>
        <v>-1590883</v>
      </c>
      <c r="F43" s="449">
        <f t="shared" si="5"/>
        <v>-0.23824341042294983</v>
      </c>
      <c r="G43" s="450"/>
      <c r="H43" s="450"/>
      <c r="I43" s="450"/>
      <c r="J43" s="450"/>
      <c r="K43" s="450"/>
      <c r="L43" s="450"/>
      <c r="M43" s="450"/>
      <c r="N43" s="450"/>
      <c r="O43" s="450"/>
      <c r="P43" s="450"/>
      <c r="Q43" s="421"/>
      <c r="U43" s="441"/>
    </row>
    <row r="44" spans="1:21" ht="15.75" customHeight="1" x14ac:dyDescent="0.2">
      <c r="A44" s="451">
        <v>3</v>
      </c>
      <c r="B44" s="452" t="s">
        <v>639</v>
      </c>
      <c r="C44" s="453">
        <f>IF(C42=0,0,C43/C42)</f>
        <v>0.42592527744880854</v>
      </c>
      <c r="D44" s="453">
        <f>IF(LN_IB1=0,0,LN_IB2/LN_IB1)</f>
        <v>0.40920959100842158</v>
      </c>
      <c r="E44" s="454">
        <f t="shared" si="4"/>
        <v>-1.6715686440386957E-2</v>
      </c>
      <c r="F44" s="449">
        <f t="shared" si="5"/>
        <v>-3.9245584437979257E-2</v>
      </c>
      <c r="G44" s="455"/>
      <c r="H44" s="455"/>
      <c r="I44" s="455"/>
      <c r="J44" s="455"/>
      <c r="K44" s="455"/>
      <c r="L44" s="455"/>
      <c r="M44" s="455"/>
      <c r="N44" s="455"/>
      <c r="O44" s="455"/>
      <c r="P44" s="455"/>
      <c r="Q44" s="421"/>
      <c r="U44" s="441"/>
    </row>
    <row r="45" spans="1:21" ht="15.75" customHeight="1" x14ac:dyDescent="0.2">
      <c r="A45" s="451">
        <v>4</v>
      </c>
      <c r="B45" s="447" t="s">
        <v>137</v>
      </c>
      <c r="C45" s="456">
        <v>830</v>
      </c>
      <c r="D45" s="456">
        <v>703</v>
      </c>
      <c r="E45" s="456">
        <f t="shared" si="4"/>
        <v>-127</v>
      </c>
      <c r="F45" s="449">
        <f t="shared" si="5"/>
        <v>-0.15301204819277109</v>
      </c>
      <c r="G45" s="457"/>
      <c r="H45" s="457"/>
      <c r="I45" s="457"/>
      <c r="J45" s="457"/>
      <c r="K45" s="457"/>
      <c r="L45" s="457"/>
      <c r="M45" s="457"/>
      <c r="N45" s="457"/>
      <c r="O45" s="457"/>
      <c r="P45" s="457"/>
      <c r="Q45" s="421"/>
      <c r="U45" s="458"/>
    </row>
    <row r="46" spans="1:21" ht="15.75" customHeight="1" x14ac:dyDescent="0.2">
      <c r="A46" s="451">
        <v>5</v>
      </c>
      <c r="B46" s="452" t="s">
        <v>640</v>
      </c>
      <c r="C46" s="459">
        <v>1.0066999999999999</v>
      </c>
      <c r="D46" s="459">
        <v>0.92369999999999997</v>
      </c>
      <c r="E46" s="460">
        <f t="shared" si="4"/>
        <v>-8.2999999999999963E-2</v>
      </c>
      <c r="F46" s="449">
        <f t="shared" si="5"/>
        <v>-8.2447601072812127E-2</v>
      </c>
      <c r="G46" s="461"/>
      <c r="H46" s="461"/>
      <c r="I46" s="461"/>
      <c r="J46" s="461"/>
      <c r="K46" s="461"/>
      <c r="L46" s="461"/>
      <c r="M46" s="461"/>
      <c r="N46" s="461"/>
      <c r="O46" s="461"/>
      <c r="P46" s="461"/>
      <c r="Q46" s="421"/>
      <c r="U46" s="462"/>
    </row>
    <row r="47" spans="1:21" ht="15.75" customHeight="1" x14ac:dyDescent="0.2">
      <c r="A47" s="428">
        <v>6</v>
      </c>
      <c r="B47" s="452" t="s">
        <v>641</v>
      </c>
      <c r="C47" s="463">
        <f>C45*C46</f>
        <v>835.56099999999992</v>
      </c>
      <c r="D47" s="463">
        <f>LN_IB4*LN_IB5</f>
        <v>649.36109999999996</v>
      </c>
      <c r="E47" s="463">
        <f t="shared" si="4"/>
        <v>-186.19989999999996</v>
      </c>
      <c r="F47" s="449">
        <f t="shared" si="5"/>
        <v>-0.22284417295685172</v>
      </c>
      <c r="G47" s="478"/>
      <c r="H47" s="478"/>
      <c r="I47" s="478"/>
      <c r="J47" s="478"/>
      <c r="K47" s="478"/>
      <c r="L47" s="478"/>
      <c r="M47" s="478"/>
      <c r="N47" s="478"/>
      <c r="O47" s="478"/>
      <c r="P47" s="457"/>
      <c r="Q47" s="421"/>
      <c r="U47" s="464"/>
    </row>
    <row r="48" spans="1:21" ht="15.75" customHeight="1" x14ac:dyDescent="0.2">
      <c r="A48" s="451">
        <v>7</v>
      </c>
      <c r="B48" s="447" t="s">
        <v>642</v>
      </c>
      <c r="C48" s="465">
        <f>IF(C47=0,0,C43/C47)</f>
        <v>7991.7001870599524</v>
      </c>
      <c r="D48" s="465">
        <f>IF(LN_IB6=0,0,LN_IB2/LN_IB6)</f>
        <v>7833.3457301338194</v>
      </c>
      <c r="E48" s="465">
        <f t="shared" si="4"/>
        <v>-158.35445692613303</v>
      </c>
      <c r="F48" s="449">
        <f t="shared" si="5"/>
        <v>-1.9814864574441659E-2</v>
      </c>
      <c r="G48" s="450"/>
      <c r="H48" s="450"/>
      <c r="I48" s="450"/>
      <c r="J48" s="450"/>
      <c r="K48" s="450"/>
      <c r="L48" s="450"/>
      <c r="M48" s="450"/>
      <c r="N48" s="450"/>
      <c r="O48" s="450"/>
      <c r="P48" s="450"/>
      <c r="Q48" s="421"/>
      <c r="U48" s="462"/>
    </row>
    <row r="49" spans="1:21" ht="15.75" customHeight="1" x14ac:dyDescent="0.2">
      <c r="A49" s="451">
        <v>8</v>
      </c>
      <c r="B49" s="452" t="s">
        <v>658</v>
      </c>
      <c r="C49" s="465">
        <f>C21-C48</f>
        <v>1424.9966620596424</v>
      </c>
      <c r="D49" s="465">
        <f>LN_IA7-LN_IB7</f>
        <v>1404.9134343822434</v>
      </c>
      <c r="E49" s="465">
        <f t="shared" si="4"/>
        <v>-20.083227677399009</v>
      </c>
      <c r="F49" s="449">
        <f t="shared" si="5"/>
        <v>-1.4093526119823596E-2</v>
      </c>
      <c r="G49" s="450"/>
      <c r="H49" s="450"/>
      <c r="I49" s="450"/>
      <c r="J49" s="450"/>
      <c r="K49" s="450"/>
      <c r="L49" s="450"/>
      <c r="M49" s="450"/>
      <c r="N49" s="450"/>
      <c r="O49" s="450"/>
      <c r="P49" s="450"/>
      <c r="Q49" s="421"/>
      <c r="U49" s="441"/>
    </row>
    <row r="50" spans="1:21" ht="15.75" customHeight="1" x14ac:dyDescent="0.2">
      <c r="A50" s="451">
        <v>9</v>
      </c>
      <c r="B50" s="447" t="s">
        <v>659</v>
      </c>
      <c r="C50" s="479">
        <f>C49*C47</f>
        <v>1190671.6359472168</v>
      </c>
      <c r="D50" s="479">
        <f>LN_IB8*LN_IB6</f>
        <v>912296.13315523136</v>
      </c>
      <c r="E50" s="479">
        <f t="shared" si="4"/>
        <v>-278375.5027919854</v>
      </c>
      <c r="F50" s="449">
        <f t="shared" si="5"/>
        <v>-0.23379703890445741</v>
      </c>
      <c r="G50" s="480"/>
      <c r="H50" s="480"/>
      <c r="I50" s="480"/>
      <c r="J50" s="480"/>
      <c r="K50" s="480"/>
      <c r="L50" s="480"/>
      <c r="M50" s="480"/>
      <c r="N50" s="480"/>
      <c r="O50" s="480"/>
      <c r="P50" s="480"/>
      <c r="Q50" s="421"/>
      <c r="U50" s="441"/>
    </row>
    <row r="51" spans="1:21" ht="15.75" customHeight="1" x14ac:dyDescent="0.2">
      <c r="A51" s="451">
        <v>10</v>
      </c>
      <c r="B51" s="447" t="s">
        <v>139</v>
      </c>
      <c r="C51" s="456">
        <v>2558</v>
      </c>
      <c r="D51" s="456">
        <v>2110</v>
      </c>
      <c r="E51" s="456">
        <f t="shared" si="4"/>
        <v>-448</v>
      </c>
      <c r="F51" s="449">
        <f t="shared" si="5"/>
        <v>-0.17513682564503519</v>
      </c>
      <c r="G51" s="457"/>
      <c r="H51" s="457"/>
      <c r="I51" s="457"/>
      <c r="J51" s="457"/>
      <c r="K51" s="457"/>
      <c r="L51" s="457"/>
      <c r="M51" s="457"/>
      <c r="N51" s="457"/>
      <c r="O51" s="457"/>
      <c r="P51" s="457"/>
      <c r="Q51" s="421"/>
      <c r="U51" s="481"/>
    </row>
    <row r="52" spans="1:21" ht="15.75" customHeight="1" x14ac:dyDescent="0.2">
      <c r="A52" s="451">
        <v>11</v>
      </c>
      <c r="B52" s="447" t="s">
        <v>643</v>
      </c>
      <c r="C52" s="465">
        <f>IF(C51=0,0,C43/C51)</f>
        <v>2610.4585613760751</v>
      </c>
      <c r="D52" s="465">
        <f>IF(LN_IB10=0,0,LN_IB2/LN_IB10)</f>
        <v>2410.7440758293837</v>
      </c>
      <c r="E52" s="465">
        <f t="shared" si="4"/>
        <v>-199.71448554669132</v>
      </c>
      <c r="F52" s="449">
        <f t="shared" si="5"/>
        <v>-7.6505518417964838E-2</v>
      </c>
      <c r="G52" s="457"/>
      <c r="H52" s="457"/>
      <c r="I52" s="457"/>
      <c r="J52" s="457"/>
      <c r="K52" s="457"/>
      <c r="L52" s="457"/>
      <c r="M52" s="457"/>
      <c r="N52" s="457"/>
      <c r="O52" s="457"/>
      <c r="P52" s="457"/>
      <c r="Q52" s="421"/>
      <c r="U52" s="462"/>
    </row>
    <row r="53" spans="1:21" ht="15.75" customHeight="1" x14ac:dyDescent="0.2">
      <c r="A53" s="451">
        <v>12</v>
      </c>
      <c r="B53" s="447" t="s">
        <v>644</v>
      </c>
      <c r="C53" s="466">
        <f>IF(C45=0,0,C51/C45)</f>
        <v>3.0819277108433734</v>
      </c>
      <c r="D53" s="466">
        <f>IF(LN_IB4=0,0,LN_IB10/LN_IB4)</f>
        <v>3.0014224751066858</v>
      </c>
      <c r="E53" s="466">
        <f t="shared" si="4"/>
        <v>-8.0505235736687553E-2</v>
      </c>
      <c r="F53" s="449">
        <f t="shared" si="5"/>
        <v>-2.6121714488448269E-2</v>
      </c>
      <c r="G53" s="457"/>
      <c r="H53" s="457"/>
      <c r="I53" s="457"/>
      <c r="J53" s="457"/>
      <c r="K53" s="457"/>
      <c r="L53" s="457"/>
      <c r="M53" s="457"/>
      <c r="N53" s="457"/>
      <c r="O53" s="457"/>
      <c r="P53" s="457"/>
      <c r="Q53" s="421"/>
      <c r="U53" s="462"/>
    </row>
    <row r="54" spans="1:21" ht="15.75" customHeight="1" x14ac:dyDescent="0.2">
      <c r="A54" s="428"/>
      <c r="B54" s="447"/>
      <c r="C54" s="448"/>
      <c r="D54" s="448"/>
      <c r="E54" s="448"/>
      <c r="F54" s="449"/>
      <c r="G54" s="450"/>
      <c r="H54" s="450"/>
      <c r="I54" s="450"/>
      <c r="J54" s="450"/>
      <c r="K54" s="450"/>
      <c r="L54" s="450"/>
      <c r="M54" s="450"/>
      <c r="N54" s="450"/>
      <c r="O54" s="450"/>
      <c r="P54" s="450"/>
      <c r="Q54" s="421"/>
      <c r="U54" s="482"/>
    </row>
    <row r="55" spans="1:21" ht="15.75" customHeight="1" x14ac:dyDescent="0.25">
      <c r="A55" s="428"/>
      <c r="B55" s="446" t="s">
        <v>660</v>
      </c>
      <c r="C55" s="448"/>
      <c r="D55" s="448"/>
      <c r="E55" s="448"/>
      <c r="F55" s="449"/>
      <c r="G55" s="450"/>
      <c r="H55" s="450"/>
      <c r="I55" s="450"/>
      <c r="J55" s="450"/>
      <c r="K55" s="450"/>
      <c r="L55" s="450"/>
      <c r="M55" s="450"/>
      <c r="N55" s="450"/>
      <c r="O55" s="450"/>
      <c r="P55" s="450"/>
      <c r="Q55" s="421"/>
      <c r="U55" s="441"/>
    </row>
    <row r="56" spans="1:21" ht="15.75" customHeight="1" x14ac:dyDescent="0.2">
      <c r="A56" s="451">
        <v>13</v>
      </c>
      <c r="B56" s="447" t="s">
        <v>646</v>
      </c>
      <c r="C56" s="448">
        <v>39566420</v>
      </c>
      <c r="D56" s="448">
        <v>39811467</v>
      </c>
      <c r="E56" s="448">
        <f t="shared" ref="E56:E63" si="6">D56-C56</f>
        <v>245047</v>
      </c>
      <c r="F56" s="449">
        <f t="shared" ref="F56:F63" si="7">IF(C56=0,0,E56/C56)</f>
        <v>6.1933073550753392E-3</v>
      </c>
      <c r="G56" s="450"/>
      <c r="H56" s="450"/>
      <c r="I56" s="450"/>
      <c r="J56" s="450"/>
      <c r="K56" s="450"/>
      <c r="L56" s="450"/>
      <c r="M56" s="450"/>
      <c r="N56" s="450"/>
      <c r="O56" s="450"/>
      <c r="P56" s="450"/>
      <c r="Q56" s="421"/>
      <c r="U56" s="441"/>
    </row>
    <row r="57" spans="1:21" ht="15.75" customHeight="1" x14ac:dyDescent="0.2">
      <c r="A57" s="451">
        <v>14</v>
      </c>
      <c r="B57" s="447" t="s">
        <v>647</v>
      </c>
      <c r="C57" s="448">
        <v>16477995</v>
      </c>
      <c r="D57" s="448">
        <v>16229069</v>
      </c>
      <c r="E57" s="448">
        <f t="shared" si="6"/>
        <v>-248926</v>
      </c>
      <c r="F57" s="449">
        <f t="shared" si="7"/>
        <v>-1.5106570914725972E-2</v>
      </c>
      <c r="G57" s="450"/>
      <c r="H57" s="450"/>
      <c r="I57" s="450"/>
      <c r="J57" s="450"/>
      <c r="K57" s="450"/>
      <c r="L57" s="450"/>
      <c r="M57" s="450"/>
      <c r="N57" s="450"/>
      <c r="O57" s="450"/>
      <c r="P57" s="450"/>
      <c r="Q57" s="421"/>
      <c r="U57" s="441"/>
    </row>
    <row r="58" spans="1:21" ht="15.75" customHeight="1" x14ac:dyDescent="0.2">
      <c r="A58" s="451">
        <v>15</v>
      </c>
      <c r="B58" s="447" t="s">
        <v>648</v>
      </c>
      <c r="C58" s="453">
        <f>IF(C56=0,0,C57/C56)</f>
        <v>0.41646413802411236</v>
      </c>
      <c r="D58" s="453">
        <f>IF(LN_IB13=0,0,LN_IB14/LN_IB13)</f>
        <v>0.40764810299504917</v>
      </c>
      <c r="E58" s="454">
        <f t="shared" si="6"/>
        <v>-8.8160350290631961E-3</v>
      </c>
      <c r="F58" s="449">
        <f t="shared" si="7"/>
        <v>-2.1168773548883017E-2</v>
      </c>
      <c r="G58" s="455"/>
      <c r="H58" s="455"/>
      <c r="I58" s="455"/>
      <c r="J58" s="455"/>
      <c r="K58" s="455"/>
      <c r="L58" s="455"/>
      <c r="M58" s="455"/>
      <c r="N58" s="455"/>
      <c r="O58" s="455"/>
      <c r="P58" s="455"/>
      <c r="Q58" s="421"/>
      <c r="U58" s="441"/>
    </row>
    <row r="59" spans="1:21" ht="15.75" customHeight="1" x14ac:dyDescent="0.2">
      <c r="A59" s="451">
        <v>16</v>
      </c>
      <c r="B59" s="447" t="s">
        <v>649</v>
      </c>
      <c r="C59" s="453">
        <f>IF(C42=0,0,C56/C42)</f>
        <v>2.52372963811086</v>
      </c>
      <c r="D59" s="453">
        <f>IF(LN_IB1=0,0,LN_IB13/LN_IB1)</f>
        <v>3.2027306918898359</v>
      </c>
      <c r="E59" s="454">
        <f t="shared" si="6"/>
        <v>0.6790010537789759</v>
      </c>
      <c r="F59" s="449">
        <f t="shared" si="7"/>
        <v>0.26904666947099876</v>
      </c>
      <c r="G59" s="472"/>
      <c r="H59" s="472"/>
      <c r="I59" s="472"/>
      <c r="J59" s="472"/>
      <c r="K59" s="472"/>
      <c r="L59" s="472"/>
      <c r="M59" s="472"/>
      <c r="N59" s="472"/>
      <c r="O59" s="472"/>
      <c r="P59" s="472"/>
      <c r="Q59" s="421"/>
      <c r="U59" s="483"/>
    </row>
    <row r="60" spans="1:21" ht="15.75" customHeight="1" x14ac:dyDescent="0.2">
      <c r="A60" s="451">
        <v>17</v>
      </c>
      <c r="B60" s="447" t="s">
        <v>650</v>
      </c>
      <c r="C60" s="463">
        <f>C59*C45</f>
        <v>2094.6955996320139</v>
      </c>
      <c r="D60" s="463">
        <f>LN_IB16*LN_IB4</f>
        <v>2251.5196763985546</v>
      </c>
      <c r="E60" s="463">
        <f t="shared" si="6"/>
        <v>156.82407676654066</v>
      </c>
      <c r="F60" s="449">
        <f t="shared" si="7"/>
        <v>7.486723932302658E-2</v>
      </c>
      <c r="G60" s="484"/>
      <c r="H60" s="484"/>
      <c r="I60" s="484"/>
      <c r="J60" s="484"/>
      <c r="K60" s="484"/>
      <c r="L60" s="484"/>
      <c r="M60" s="484"/>
      <c r="N60" s="484"/>
      <c r="O60" s="484"/>
      <c r="P60" s="484"/>
      <c r="Q60" s="421"/>
      <c r="U60" s="458"/>
    </row>
    <row r="61" spans="1:21" ht="15.75" customHeight="1" x14ac:dyDescent="0.2">
      <c r="A61" s="451">
        <v>18</v>
      </c>
      <c r="B61" s="452" t="s">
        <v>651</v>
      </c>
      <c r="C61" s="465">
        <f>IF(C60=0,0,C57/C60)</f>
        <v>7866.5344038030034</v>
      </c>
      <c r="D61" s="465">
        <f>IF(LN_IB17=0,0,LN_IB14/LN_IB17)</f>
        <v>7208.0511532368228</v>
      </c>
      <c r="E61" s="465">
        <f t="shared" si="6"/>
        <v>-658.48325056618069</v>
      </c>
      <c r="F61" s="449">
        <f t="shared" si="7"/>
        <v>-8.3706905323879727E-2</v>
      </c>
      <c r="G61" s="450"/>
      <c r="H61" s="450"/>
      <c r="I61" s="450"/>
      <c r="J61" s="450"/>
      <c r="K61" s="450"/>
      <c r="L61" s="450"/>
      <c r="M61" s="450"/>
      <c r="N61" s="450"/>
      <c r="O61" s="450"/>
      <c r="P61" s="450"/>
      <c r="Q61" s="421"/>
      <c r="U61" s="482"/>
    </row>
    <row r="62" spans="1:21" ht="15.75" customHeight="1" x14ac:dyDescent="0.2">
      <c r="A62" s="473">
        <v>19</v>
      </c>
      <c r="B62" s="447" t="s">
        <v>661</v>
      </c>
      <c r="C62" s="465">
        <f>C32-C61</f>
        <v>-2925.7191291199242</v>
      </c>
      <c r="D62" s="465">
        <f>LN_IA16-LN_IB18</f>
        <v>-1647.0702069478502</v>
      </c>
      <c r="E62" s="465">
        <f t="shared" si="6"/>
        <v>1278.648922172074</v>
      </c>
      <c r="F62" s="449">
        <f t="shared" si="7"/>
        <v>-0.43703748232206419</v>
      </c>
      <c r="G62" s="450"/>
      <c r="H62" s="450"/>
      <c r="I62" s="450"/>
      <c r="J62" s="450"/>
      <c r="K62" s="450"/>
      <c r="L62" s="450"/>
      <c r="M62" s="450"/>
      <c r="N62" s="450"/>
      <c r="O62" s="450"/>
      <c r="P62" s="450"/>
      <c r="Q62" s="421"/>
      <c r="U62" s="441"/>
    </row>
    <row r="63" spans="1:21" ht="15.75" customHeight="1" x14ac:dyDescent="0.2">
      <c r="A63" s="473">
        <v>20</v>
      </c>
      <c r="B63" s="452" t="s">
        <v>662</v>
      </c>
      <c r="C63" s="448">
        <f>C62*C60</f>
        <v>-6128490.9855267135</v>
      </c>
      <c r="D63" s="448">
        <f>LN_IB19*LN_IB17</f>
        <v>-3708410.979352924</v>
      </c>
      <c r="E63" s="448">
        <f t="shared" si="6"/>
        <v>2420080.0061737895</v>
      </c>
      <c r="F63" s="449">
        <f t="shared" si="7"/>
        <v>-0.39489003278117663</v>
      </c>
      <c r="G63" s="450"/>
      <c r="H63" s="450"/>
      <c r="I63" s="450"/>
      <c r="J63" s="450"/>
      <c r="K63" s="450"/>
      <c r="L63" s="450"/>
      <c r="M63" s="450"/>
      <c r="N63" s="450"/>
      <c r="O63" s="450"/>
      <c r="P63" s="450"/>
      <c r="Q63" s="421"/>
      <c r="U63" s="441"/>
    </row>
    <row r="64" spans="1:21" ht="15.75" customHeight="1" x14ac:dyDescent="0.2">
      <c r="A64" s="451"/>
      <c r="B64" s="447"/>
      <c r="C64" s="448"/>
      <c r="D64" s="448"/>
      <c r="E64" s="448"/>
      <c r="F64" s="449"/>
      <c r="G64" s="450"/>
      <c r="H64" s="450"/>
      <c r="I64" s="450"/>
      <c r="J64" s="450"/>
      <c r="K64" s="450"/>
      <c r="L64" s="450"/>
      <c r="M64" s="450"/>
      <c r="N64" s="450"/>
      <c r="O64" s="450"/>
      <c r="P64" s="450"/>
      <c r="Q64" s="421"/>
      <c r="U64" s="441"/>
    </row>
    <row r="65" spans="1:21" ht="15.75" customHeight="1" x14ac:dyDescent="0.25">
      <c r="A65" s="428"/>
      <c r="B65" s="470" t="s">
        <v>663</v>
      </c>
      <c r="C65" s="448"/>
      <c r="D65" s="448"/>
      <c r="E65" s="448"/>
      <c r="F65" s="449"/>
      <c r="G65" s="450"/>
      <c r="H65" s="450"/>
      <c r="I65" s="450"/>
      <c r="J65" s="450"/>
      <c r="K65" s="450"/>
      <c r="L65" s="450"/>
      <c r="M65" s="450"/>
      <c r="N65" s="450"/>
      <c r="O65" s="450"/>
      <c r="P65" s="450"/>
      <c r="Q65" s="421"/>
      <c r="U65" s="441"/>
    </row>
    <row r="66" spans="1:21" ht="15.75" customHeight="1" x14ac:dyDescent="0.2">
      <c r="A66" s="473">
        <v>21</v>
      </c>
      <c r="B66" s="447" t="s">
        <v>653</v>
      </c>
      <c r="C66" s="448">
        <f>C42+C56</f>
        <v>55244177</v>
      </c>
      <c r="D66" s="448">
        <f>LN_IB1+LN_IB13</f>
        <v>52241943</v>
      </c>
      <c r="E66" s="448">
        <f>D66-C66</f>
        <v>-3002234</v>
      </c>
      <c r="F66" s="449">
        <f>IF(C66=0,0,E66/C66)</f>
        <v>-5.4344804521207726E-2</v>
      </c>
      <c r="G66" s="450"/>
      <c r="H66" s="450"/>
      <c r="I66" s="450"/>
      <c r="J66" s="450"/>
      <c r="K66" s="450"/>
      <c r="L66" s="450"/>
      <c r="M66" s="450"/>
      <c r="N66" s="450"/>
      <c r="O66" s="450"/>
      <c r="P66" s="450"/>
      <c r="Q66" s="421"/>
      <c r="U66" s="441"/>
    </row>
    <row r="67" spans="1:21" ht="15.75" customHeight="1" x14ac:dyDescent="0.2">
      <c r="A67" s="473">
        <v>22</v>
      </c>
      <c r="B67" s="447" t="s">
        <v>654</v>
      </c>
      <c r="C67" s="448">
        <f>C43+C57</f>
        <v>23155548</v>
      </c>
      <c r="D67" s="448">
        <f>LN_IB2+LN_IB14</f>
        <v>21315739</v>
      </c>
      <c r="E67" s="448">
        <f>D67-C67</f>
        <v>-1839809</v>
      </c>
      <c r="F67" s="449">
        <f>IF(C67=0,0,E67/C67)</f>
        <v>-7.9454349342110153E-2</v>
      </c>
      <c r="G67" s="450"/>
      <c r="H67" s="450"/>
      <c r="I67" s="450"/>
      <c r="J67" s="450"/>
      <c r="K67" s="450"/>
      <c r="L67" s="450"/>
      <c r="M67" s="450"/>
      <c r="N67" s="450"/>
      <c r="O67" s="450"/>
      <c r="P67" s="450"/>
      <c r="Q67" s="421"/>
      <c r="U67" s="441"/>
    </row>
    <row r="68" spans="1:21" ht="15.75" customHeight="1" x14ac:dyDescent="0.2">
      <c r="A68" s="473">
        <v>23</v>
      </c>
      <c r="B68" s="447" t="s">
        <v>655</v>
      </c>
      <c r="C68" s="448">
        <f>C66-C67</f>
        <v>32088629</v>
      </c>
      <c r="D68" s="448">
        <f>LN_IB21-LN_IB22</f>
        <v>30926204</v>
      </c>
      <c r="E68" s="448">
        <f>D68-C68</f>
        <v>-1162425</v>
      </c>
      <c r="F68" s="449">
        <f>IF(C68=0,0,E68/C68)</f>
        <v>-3.6225449208191478E-2</v>
      </c>
      <c r="G68" s="450"/>
      <c r="H68" s="450"/>
      <c r="I68" s="450"/>
      <c r="J68" s="450"/>
      <c r="K68" s="450"/>
      <c r="L68" s="450"/>
      <c r="M68" s="450"/>
      <c r="N68" s="450"/>
      <c r="O68" s="450"/>
      <c r="P68" s="450"/>
      <c r="Q68" s="421"/>
      <c r="U68" s="441"/>
    </row>
    <row r="69" spans="1:21" ht="15.75" customHeight="1" x14ac:dyDescent="0.2">
      <c r="A69" s="473"/>
      <c r="B69" s="447"/>
      <c r="C69" s="448"/>
      <c r="D69" s="448"/>
      <c r="E69" s="448"/>
      <c r="F69" s="449"/>
      <c r="G69" s="450"/>
      <c r="H69" s="450"/>
      <c r="I69" s="450"/>
      <c r="J69" s="450"/>
      <c r="K69" s="450"/>
      <c r="L69" s="450"/>
      <c r="M69" s="450"/>
      <c r="N69" s="450"/>
      <c r="O69" s="450"/>
      <c r="P69" s="450"/>
      <c r="Q69" s="421"/>
      <c r="U69" s="441"/>
    </row>
    <row r="70" spans="1:21" ht="15.75" customHeight="1" x14ac:dyDescent="0.2">
      <c r="A70" s="473">
        <v>24</v>
      </c>
      <c r="B70" s="447" t="s">
        <v>664</v>
      </c>
      <c r="C70" s="441">
        <f>C50+C63</f>
        <v>-4937819.3495794963</v>
      </c>
      <c r="D70" s="441">
        <f>LN_IB9+LN_IB20</f>
        <v>-2796114.8461976927</v>
      </c>
      <c r="E70" s="448">
        <f>D70-C70</f>
        <v>2141704.5033818036</v>
      </c>
      <c r="F70" s="449">
        <f>IF(C70=0,0,E70/C70)</f>
        <v>-0.43373488411725525</v>
      </c>
      <c r="G70" s="477"/>
      <c r="H70" s="477"/>
      <c r="I70" s="477"/>
      <c r="J70" s="477"/>
      <c r="K70" s="477"/>
      <c r="L70" s="477"/>
      <c r="M70" s="477"/>
      <c r="N70" s="477"/>
      <c r="O70" s="477"/>
      <c r="P70" s="477"/>
      <c r="Q70" s="421"/>
      <c r="U70" s="476"/>
    </row>
    <row r="71" spans="1:21" ht="15.75" customHeight="1" x14ac:dyDescent="0.2">
      <c r="A71" s="428"/>
      <c r="C71" s="421"/>
      <c r="Q71" s="421"/>
      <c r="U71" s="441"/>
    </row>
    <row r="72" spans="1:21" ht="15.75" customHeight="1" x14ac:dyDescent="0.2">
      <c r="A72" s="428"/>
      <c r="B72" s="434" t="s">
        <v>665</v>
      </c>
      <c r="C72" s="486"/>
      <c r="D72" s="486"/>
      <c r="E72" s="486"/>
      <c r="F72" s="486"/>
      <c r="G72" s="486"/>
      <c r="H72" s="486"/>
      <c r="I72" s="486"/>
      <c r="J72" s="486"/>
      <c r="K72" s="486"/>
      <c r="L72" s="486"/>
      <c r="M72" s="486"/>
      <c r="N72" s="486"/>
      <c r="O72" s="486"/>
      <c r="P72" s="486"/>
      <c r="Q72" s="421"/>
      <c r="U72" s="487"/>
    </row>
    <row r="73" spans="1:21" ht="15.75" customHeight="1" x14ac:dyDescent="0.2">
      <c r="A73" s="428">
        <v>25</v>
      </c>
      <c r="B73" s="445" t="s">
        <v>666</v>
      </c>
      <c r="C73" s="488">
        <v>55244177</v>
      </c>
      <c r="D73" s="488">
        <v>52241943</v>
      </c>
      <c r="E73" s="488">
        <f>D73-C73</f>
        <v>-3002234</v>
      </c>
      <c r="F73" s="489">
        <f>IF(C73=0,0,E73/C73)</f>
        <v>-5.4344804521207726E-2</v>
      </c>
      <c r="G73" s="488"/>
      <c r="H73" s="488"/>
      <c r="I73" s="488"/>
      <c r="J73" s="488"/>
      <c r="K73" s="488"/>
      <c r="L73" s="488"/>
      <c r="M73" s="488"/>
      <c r="N73" s="488"/>
      <c r="O73" s="488"/>
      <c r="P73" s="490"/>
      <c r="Q73" s="421"/>
      <c r="U73" s="491"/>
    </row>
    <row r="74" spans="1:21" ht="15.75" customHeight="1" x14ac:dyDescent="0.2">
      <c r="A74" s="428">
        <v>26</v>
      </c>
      <c r="B74" s="445" t="s">
        <v>667</v>
      </c>
      <c r="C74" s="488">
        <v>27839311</v>
      </c>
      <c r="D74" s="488">
        <v>25479835</v>
      </c>
      <c r="E74" s="488">
        <f>D74-C74</f>
        <v>-2359476</v>
      </c>
      <c r="F74" s="489">
        <f>IF(C74=0,0,E74/C74)</f>
        <v>-8.4753390628094213E-2</v>
      </c>
      <c r="G74" s="488"/>
      <c r="H74" s="488"/>
      <c r="I74" s="488"/>
      <c r="J74" s="488"/>
      <c r="K74" s="488"/>
      <c r="L74" s="488"/>
      <c r="M74" s="488"/>
      <c r="N74" s="488"/>
      <c r="O74" s="488"/>
      <c r="P74" s="490"/>
      <c r="Q74" s="421"/>
      <c r="U74" s="492"/>
    </row>
    <row r="75" spans="1:21" ht="15.75" customHeight="1" x14ac:dyDescent="0.2">
      <c r="A75" s="428"/>
      <c r="B75" s="445" t="s">
        <v>668</v>
      </c>
      <c r="C75" s="488"/>
      <c r="D75" s="488"/>
      <c r="E75" s="488"/>
      <c r="F75" s="489"/>
      <c r="G75" s="488"/>
      <c r="H75" s="488"/>
      <c r="I75" s="488"/>
      <c r="J75" s="488"/>
      <c r="K75" s="488"/>
      <c r="L75" s="488"/>
      <c r="M75" s="488"/>
      <c r="N75" s="488"/>
      <c r="O75" s="488"/>
      <c r="P75" s="490"/>
      <c r="Q75" s="421"/>
      <c r="U75" s="492"/>
    </row>
    <row r="76" spans="1:21" ht="15.75" customHeight="1" x14ac:dyDescent="0.2">
      <c r="A76" s="451">
        <v>27</v>
      </c>
      <c r="B76" s="447" t="s">
        <v>669</v>
      </c>
      <c r="C76" s="441">
        <f>C73-C74</f>
        <v>27404866</v>
      </c>
      <c r="D76" s="441">
        <f>LN_IB32-LN_IB33</f>
        <v>26762108</v>
      </c>
      <c r="E76" s="488">
        <f>D76-C76</f>
        <v>-642758</v>
      </c>
      <c r="F76" s="489">
        <f>IF(E76=0,0,E76/C76)</f>
        <v>-2.3454155915230528E-2</v>
      </c>
      <c r="G76" s="477"/>
      <c r="H76" s="477"/>
      <c r="I76" s="477"/>
      <c r="J76" s="477"/>
      <c r="K76" s="477"/>
      <c r="L76" s="477"/>
      <c r="M76" s="477"/>
      <c r="N76" s="477"/>
      <c r="O76" s="477"/>
      <c r="P76" s="477"/>
      <c r="Q76" s="421"/>
      <c r="U76" s="492"/>
    </row>
    <row r="77" spans="1:21" ht="15.75" customHeight="1" x14ac:dyDescent="0.2">
      <c r="A77" s="451">
        <v>28</v>
      </c>
      <c r="B77" s="447" t="s">
        <v>670</v>
      </c>
      <c r="C77" s="453">
        <f>IF(C73=0,0,C76/C73)</f>
        <v>0.49606795662826147</v>
      </c>
      <c r="D77" s="453">
        <f>IF(LN_IB32=0,0,LN_IB34/LN_IB32)</f>
        <v>0.51227244744706379</v>
      </c>
      <c r="E77" s="493">
        <f>D77-C77</f>
        <v>1.620449081880232E-2</v>
      </c>
      <c r="F77" s="493"/>
      <c r="G77" s="477"/>
      <c r="H77" s="477"/>
      <c r="I77" s="477"/>
      <c r="J77" s="477"/>
      <c r="K77" s="477"/>
      <c r="L77" s="477"/>
      <c r="M77" s="477"/>
      <c r="N77" s="477"/>
      <c r="O77" s="477"/>
      <c r="P77" s="477"/>
      <c r="Q77" s="421"/>
      <c r="U77" s="441"/>
    </row>
    <row r="78" spans="1:21" ht="15.75" hidden="1" customHeight="1" x14ac:dyDescent="0.2">
      <c r="A78" s="494"/>
      <c r="B78" s="447"/>
      <c r="C78" s="441"/>
      <c r="D78" s="441"/>
      <c r="E78" s="488"/>
      <c r="F78" s="489"/>
      <c r="G78" s="477"/>
      <c r="H78" s="477"/>
      <c r="I78" s="477"/>
      <c r="J78" s="477"/>
      <c r="K78" s="477"/>
      <c r="L78" s="477"/>
      <c r="M78" s="477"/>
      <c r="N78" s="477"/>
      <c r="O78" s="477"/>
      <c r="P78" s="477"/>
      <c r="Q78" s="421"/>
      <c r="U78" s="476"/>
    </row>
    <row r="79" spans="1:21" ht="15.75" customHeight="1" x14ac:dyDescent="0.25">
      <c r="A79" s="443" t="s">
        <v>36</v>
      </c>
      <c r="B79" s="444" t="s">
        <v>671</v>
      </c>
      <c r="C79" s="474"/>
      <c r="D79" s="474"/>
      <c r="E79" s="474"/>
      <c r="F79" s="474"/>
      <c r="G79" s="475"/>
      <c r="H79" s="475"/>
      <c r="I79" s="475"/>
      <c r="J79" s="475"/>
      <c r="K79" s="475"/>
      <c r="L79" s="475"/>
      <c r="M79" s="475"/>
      <c r="N79" s="475"/>
      <c r="O79" s="475"/>
      <c r="P79" s="475"/>
      <c r="Q79" s="421"/>
      <c r="U79" s="441"/>
    </row>
    <row r="80" spans="1:21" ht="15.75" hidden="1" customHeight="1" x14ac:dyDescent="0.25">
      <c r="A80" s="443"/>
      <c r="B80" s="495"/>
      <c r="C80" s="474"/>
      <c r="D80" s="474"/>
      <c r="E80" s="474"/>
      <c r="F80" s="474"/>
      <c r="G80" s="475"/>
      <c r="H80" s="475"/>
      <c r="I80" s="475"/>
      <c r="J80" s="475"/>
      <c r="K80" s="475"/>
      <c r="L80" s="475"/>
      <c r="M80" s="475"/>
      <c r="N80" s="475"/>
      <c r="O80" s="475"/>
      <c r="P80" s="475"/>
      <c r="Q80" s="421"/>
      <c r="U80" s="476"/>
    </row>
    <row r="81" spans="1:21" ht="15.75" customHeight="1" x14ac:dyDescent="0.25">
      <c r="A81" s="443"/>
      <c r="B81" s="495"/>
      <c r="C81" s="474"/>
      <c r="D81" s="474"/>
      <c r="E81" s="474"/>
      <c r="F81" s="474"/>
      <c r="G81" s="475"/>
      <c r="H81" s="475"/>
      <c r="I81" s="475"/>
      <c r="J81" s="475"/>
      <c r="K81" s="475"/>
      <c r="L81" s="475"/>
      <c r="M81" s="475"/>
      <c r="N81" s="475"/>
      <c r="O81" s="475"/>
      <c r="P81" s="475"/>
      <c r="Q81" s="421"/>
      <c r="U81" s="476"/>
    </row>
    <row r="82" spans="1:21" ht="15.75" customHeight="1" x14ac:dyDescent="0.25">
      <c r="A82" s="451"/>
      <c r="B82" s="446" t="s">
        <v>672</v>
      </c>
      <c r="C82" s="496"/>
      <c r="D82" s="496"/>
      <c r="E82" s="496"/>
      <c r="F82" s="497"/>
      <c r="G82" s="498"/>
      <c r="H82" s="498"/>
      <c r="I82" s="498"/>
      <c r="J82" s="498"/>
      <c r="K82" s="498"/>
      <c r="L82" s="498"/>
      <c r="M82" s="498"/>
      <c r="N82" s="498"/>
      <c r="O82" s="498"/>
      <c r="P82" s="498"/>
      <c r="Q82" s="421"/>
      <c r="U82" s="476"/>
    </row>
    <row r="83" spans="1:21" ht="15.75" customHeight="1" x14ac:dyDescent="0.2">
      <c r="A83" s="428">
        <v>1</v>
      </c>
      <c r="B83" s="447" t="s">
        <v>637</v>
      </c>
      <c r="C83" s="448">
        <v>1089118</v>
      </c>
      <c r="D83" s="448">
        <v>456951</v>
      </c>
      <c r="E83" s="448">
        <f t="shared" ref="E83:E95" si="8">D83-C83</f>
        <v>-632167</v>
      </c>
      <c r="F83" s="449">
        <f t="shared" ref="F83:F95" si="9">IF(C83=0,0,E83/C83)</f>
        <v>-0.58043940142390449</v>
      </c>
      <c r="G83" s="450"/>
      <c r="H83" s="450"/>
      <c r="I83" s="450"/>
      <c r="J83" s="450"/>
      <c r="K83" s="450"/>
      <c r="L83" s="450"/>
      <c r="M83" s="450"/>
      <c r="N83" s="450"/>
      <c r="O83" s="450"/>
      <c r="P83" s="450"/>
      <c r="Q83" s="421"/>
      <c r="U83" s="494"/>
    </row>
    <row r="84" spans="1:21" ht="15.75" customHeight="1" x14ac:dyDescent="0.2">
      <c r="A84" s="451">
        <v>2</v>
      </c>
      <c r="B84" s="447" t="s">
        <v>638</v>
      </c>
      <c r="C84" s="448">
        <v>224283</v>
      </c>
      <c r="D84" s="448">
        <v>36844</v>
      </c>
      <c r="E84" s="448">
        <f t="shared" si="8"/>
        <v>-187439</v>
      </c>
      <c r="F84" s="449">
        <f t="shared" si="9"/>
        <v>-0.83572540049847732</v>
      </c>
      <c r="G84" s="450"/>
      <c r="H84" s="450"/>
      <c r="I84" s="450"/>
      <c r="J84" s="450"/>
      <c r="K84" s="450"/>
      <c r="L84" s="450"/>
      <c r="M84" s="450"/>
      <c r="N84" s="450"/>
      <c r="O84" s="450"/>
      <c r="P84" s="450"/>
      <c r="Q84" s="421"/>
      <c r="U84" s="441"/>
    </row>
    <row r="85" spans="1:21" ht="15.75" customHeight="1" x14ac:dyDescent="0.2">
      <c r="A85" s="428">
        <v>3</v>
      </c>
      <c r="B85" s="452" t="s">
        <v>639</v>
      </c>
      <c r="C85" s="453">
        <f>IF(C83=0,0,C84/C83)</f>
        <v>0.20593085414068998</v>
      </c>
      <c r="D85" s="453">
        <f>IF(LN_IC1=0,0,LN_IC2/LN_IC1)</f>
        <v>8.0630089440662134E-2</v>
      </c>
      <c r="E85" s="454">
        <f t="shared" si="8"/>
        <v>-0.12530076470002785</v>
      </c>
      <c r="F85" s="449">
        <f t="shared" si="9"/>
        <v>-0.60846037483253268</v>
      </c>
      <c r="G85" s="455"/>
      <c r="H85" s="455"/>
      <c r="I85" s="455"/>
      <c r="J85" s="455"/>
      <c r="K85" s="455"/>
      <c r="L85" s="455"/>
      <c r="M85" s="455"/>
      <c r="N85" s="455"/>
      <c r="O85" s="455"/>
      <c r="P85" s="455"/>
      <c r="Q85" s="421"/>
      <c r="U85" s="441"/>
    </row>
    <row r="86" spans="1:21" ht="15.75" customHeight="1" x14ac:dyDescent="0.2">
      <c r="A86" s="451">
        <v>4</v>
      </c>
      <c r="B86" s="447" t="s">
        <v>137</v>
      </c>
      <c r="C86" s="456">
        <v>93</v>
      </c>
      <c r="D86" s="456">
        <v>40</v>
      </c>
      <c r="E86" s="456">
        <f t="shared" si="8"/>
        <v>-53</v>
      </c>
      <c r="F86" s="449">
        <f t="shared" si="9"/>
        <v>-0.56989247311827962</v>
      </c>
      <c r="G86" s="457"/>
      <c r="H86" s="457"/>
      <c r="I86" s="457"/>
      <c r="J86" s="457"/>
      <c r="K86" s="457"/>
      <c r="L86" s="457"/>
      <c r="M86" s="457"/>
      <c r="N86" s="457"/>
      <c r="O86" s="457"/>
      <c r="P86" s="457"/>
      <c r="Q86" s="421"/>
      <c r="U86" s="458"/>
    </row>
    <row r="87" spans="1:21" ht="15.75" customHeight="1" x14ac:dyDescent="0.2">
      <c r="A87" s="428">
        <v>5</v>
      </c>
      <c r="B87" s="452" t="s">
        <v>640</v>
      </c>
      <c r="C87" s="459">
        <v>0.89090000000000003</v>
      </c>
      <c r="D87" s="459">
        <v>0.75600000000000001</v>
      </c>
      <c r="E87" s="460">
        <f t="shared" si="8"/>
        <v>-0.13490000000000002</v>
      </c>
      <c r="F87" s="449">
        <f t="shared" si="9"/>
        <v>-0.15141991244808622</v>
      </c>
      <c r="G87" s="461"/>
      <c r="H87" s="461"/>
      <c r="I87" s="461"/>
      <c r="J87" s="461"/>
      <c r="K87" s="461"/>
      <c r="L87" s="461"/>
      <c r="M87" s="461"/>
      <c r="N87" s="461"/>
      <c r="O87" s="461"/>
      <c r="P87" s="461"/>
      <c r="Q87" s="421"/>
      <c r="U87" s="462"/>
    </row>
    <row r="88" spans="1:21" ht="15.75" customHeight="1" x14ac:dyDescent="0.2">
      <c r="A88" s="451">
        <v>6</v>
      </c>
      <c r="B88" s="452" t="s">
        <v>641</v>
      </c>
      <c r="C88" s="463">
        <f>C86*C87</f>
        <v>82.853700000000003</v>
      </c>
      <c r="D88" s="463">
        <f>LN_IC4*LN_IC5</f>
        <v>30.240000000000002</v>
      </c>
      <c r="E88" s="463">
        <f t="shared" si="8"/>
        <v>-52.613700000000001</v>
      </c>
      <c r="F88" s="449">
        <f t="shared" si="9"/>
        <v>-0.63501931718197258</v>
      </c>
      <c r="G88" s="484"/>
      <c r="H88" s="484"/>
      <c r="I88" s="484"/>
      <c r="J88" s="484"/>
      <c r="K88" s="484"/>
      <c r="L88" s="484"/>
      <c r="M88" s="484"/>
      <c r="N88" s="484"/>
      <c r="O88" s="484"/>
      <c r="P88" s="457"/>
      <c r="Q88" s="421"/>
      <c r="U88" s="464"/>
    </row>
    <row r="89" spans="1:21" ht="15.75" customHeight="1" x14ac:dyDescent="0.2">
      <c r="A89" s="428">
        <v>7</v>
      </c>
      <c r="B89" s="447" t="s">
        <v>642</v>
      </c>
      <c r="C89" s="465">
        <f>IF(C88=0,0,C84/C88)</f>
        <v>2706.9762726347767</v>
      </c>
      <c r="D89" s="465">
        <f>IF(LN_IC6=0,0,LN_IC2/LN_IC6)</f>
        <v>1218.3862433862432</v>
      </c>
      <c r="E89" s="465">
        <f t="shared" si="8"/>
        <v>-1488.5900292485335</v>
      </c>
      <c r="F89" s="449">
        <f t="shared" si="9"/>
        <v>-0.54990878357409712</v>
      </c>
      <c r="G89" s="450"/>
      <c r="H89" s="450"/>
      <c r="I89" s="450"/>
      <c r="J89" s="450"/>
      <c r="K89" s="450"/>
      <c r="L89" s="450"/>
      <c r="M89" s="450"/>
      <c r="N89" s="450"/>
      <c r="O89" s="450"/>
      <c r="P89" s="450"/>
      <c r="Q89" s="421"/>
      <c r="U89" s="482"/>
    </row>
    <row r="90" spans="1:21" ht="15.75" customHeight="1" x14ac:dyDescent="0.2">
      <c r="A90" s="451">
        <v>8</v>
      </c>
      <c r="B90" s="447" t="s">
        <v>673</v>
      </c>
      <c r="C90" s="465">
        <f>C48-C89</f>
        <v>5284.7239144251762</v>
      </c>
      <c r="D90" s="465">
        <f>LN_IB7-LN_IC7</f>
        <v>6614.9594867475762</v>
      </c>
      <c r="E90" s="465">
        <f t="shared" si="8"/>
        <v>1330.2355723224</v>
      </c>
      <c r="F90" s="449">
        <f t="shared" si="9"/>
        <v>0.25171335227018965</v>
      </c>
      <c r="G90" s="450"/>
      <c r="H90" s="450"/>
      <c r="I90" s="450"/>
      <c r="J90" s="450"/>
      <c r="K90" s="450"/>
      <c r="L90" s="450"/>
      <c r="M90" s="450"/>
      <c r="N90" s="450"/>
      <c r="O90" s="450"/>
      <c r="P90" s="450"/>
      <c r="Q90" s="421"/>
      <c r="U90" s="441"/>
    </row>
    <row r="91" spans="1:21" ht="15.75" customHeight="1" x14ac:dyDescent="0.2">
      <c r="A91" s="428">
        <v>9</v>
      </c>
      <c r="B91" s="447" t="s">
        <v>674</v>
      </c>
      <c r="C91" s="465">
        <f>C21-C89</f>
        <v>6709.7205764848186</v>
      </c>
      <c r="D91" s="465">
        <f>LN_IA7-LN_IC7</f>
        <v>8019.8729211298196</v>
      </c>
      <c r="E91" s="465">
        <f t="shared" si="8"/>
        <v>1310.152344645001</v>
      </c>
      <c r="F91" s="449">
        <f t="shared" si="9"/>
        <v>0.19526183388867466</v>
      </c>
      <c r="G91" s="450"/>
      <c r="H91" s="450"/>
      <c r="I91" s="450"/>
      <c r="J91" s="450"/>
      <c r="K91" s="450"/>
      <c r="L91" s="450"/>
      <c r="M91" s="450"/>
      <c r="N91" s="450"/>
      <c r="O91" s="450"/>
      <c r="P91" s="450"/>
      <c r="Q91" s="421"/>
      <c r="U91" s="441"/>
    </row>
    <row r="92" spans="1:21" ht="15.75" customHeight="1" x14ac:dyDescent="0.2">
      <c r="A92" s="451">
        <v>10</v>
      </c>
      <c r="B92" s="447" t="s">
        <v>659</v>
      </c>
      <c r="C92" s="441">
        <f>C91*C88</f>
        <v>555925.17572790023</v>
      </c>
      <c r="D92" s="441">
        <f>LN_IC9*LN_IC6</f>
        <v>242520.95713496575</v>
      </c>
      <c r="E92" s="441">
        <f t="shared" si="8"/>
        <v>-313404.21859293449</v>
      </c>
      <c r="F92" s="449">
        <f t="shared" si="9"/>
        <v>-0.56375251972098384</v>
      </c>
      <c r="G92" s="477"/>
      <c r="H92" s="477"/>
      <c r="I92" s="477"/>
      <c r="J92" s="477"/>
      <c r="K92" s="477"/>
      <c r="L92" s="477"/>
      <c r="M92" s="477"/>
      <c r="N92" s="477"/>
      <c r="O92" s="477"/>
      <c r="P92" s="477"/>
      <c r="Q92" s="421"/>
      <c r="U92" s="441"/>
    </row>
    <row r="93" spans="1:21" ht="15.75" customHeight="1" x14ac:dyDescent="0.2">
      <c r="A93" s="428">
        <v>11</v>
      </c>
      <c r="B93" s="447" t="s">
        <v>139</v>
      </c>
      <c r="C93" s="456">
        <v>241</v>
      </c>
      <c r="D93" s="456">
        <v>93</v>
      </c>
      <c r="E93" s="456">
        <f t="shared" si="8"/>
        <v>-148</v>
      </c>
      <c r="F93" s="449">
        <f t="shared" si="9"/>
        <v>-0.61410788381742742</v>
      </c>
      <c r="G93" s="457"/>
      <c r="H93" s="457"/>
      <c r="I93" s="457"/>
      <c r="J93" s="457"/>
      <c r="K93" s="457"/>
      <c r="L93" s="457"/>
      <c r="M93" s="457"/>
      <c r="N93" s="457"/>
      <c r="O93" s="457"/>
      <c r="P93" s="457"/>
      <c r="Q93" s="421"/>
      <c r="U93" s="441"/>
    </row>
    <row r="94" spans="1:21" ht="15.75" customHeight="1" x14ac:dyDescent="0.2">
      <c r="A94" s="451">
        <v>12</v>
      </c>
      <c r="B94" s="447" t="s">
        <v>643</v>
      </c>
      <c r="C94" s="499">
        <f>IF(C93=0,0,C84/C93)</f>
        <v>930.63485477178426</v>
      </c>
      <c r="D94" s="499">
        <f>IF(LN_IC11=0,0,LN_IC2/LN_IC11)</f>
        <v>396.1720430107527</v>
      </c>
      <c r="E94" s="499">
        <f t="shared" si="8"/>
        <v>-534.46281176103162</v>
      </c>
      <c r="F94" s="449">
        <f t="shared" si="9"/>
        <v>-0.5742991561304629</v>
      </c>
      <c r="G94" s="457"/>
      <c r="H94" s="457"/>
      <c r="I94" s="457"/>
      <c r="J94" s="457"/>
      <c r="K94" s="457"/>
      <c r="L94" s="457"/>
      <c r="M94" s="457"/>
      <c r="N94" s="457"/>
      <c r="O94" s="457"/>
      <c r="P94" s="457"/>
      <c r="Q94" s="421"/>
      <c r="U94" s="462"/>
    </row>
    <row r="95" spans="1:21" ht="15.75" customHeight="1" x14ac:dyDescent="0.2">
      <c r="A95" s="428">
        <v>13</v>
      </c>
      <c r="B95" s="447" t="s">
        <v>644</v>
      </c>
      <c r="C95" s="466">
        <f>IF(C86=0,0,C93/C86)</f>
        <v>2.5913978494623655</v>
      </c>
      <c r="D95" s="466">
        <f>IF(LN_IC4=0,0,LN_IC11/LN_IC4)</f>
        <v>2.3250000000000002</v>
      </c>
      <c r="E95" s="466">
        <f t="shared" si="8"/>
        <v>-0.26639784946236533</v>
      </c>
      <c r="F95" s="449">
        <f t="shared" si="9"/>
        <v>-0.10280082987551857</v>
      </c>
      <c r="G95" s="457"/>
      <c r="H95" s="457"/>
      <c r="I95" s="457"/>
      <c r="J95" s="457"/>
      <c r="K95" s="457"/>
      <c r="L95" s="457"/>
      <c r="M95" s="457"/>
      <c r="N95" s="457"/>
      <c r="O95" s="457"/>
      <c r="P95" s="457"/>
      <c r="Q95" s="421"/>
      <c r="U95" s="462"/>
    </row>
    <row r="96" spans="1:21" ht="15.75" customHeight="1" x14ac:dyDescent="0.2">
      <c r="A96" s="451"/>
      <c r="B96" s="447"/>
      <c r="C96" s="471"/>
      <c r="D96" s="471"/>
      <c r="G96" s="500"/>
      <c r="H96" s="500"/>
      <c r="I96" s="500"/>
      <c r="J96" s="500"/>
      <c r="K96" s="500"/>
      <c r="L96" s="500"/>
      <c r="M96" s="500"/>
      <c r="N96" s="500"/>
      <c r="O96" s="500"/>
      <c r="P96" s="500"/>
      <c r="Q96" s="421"/>
      <c r="U96" s="482"/>
    </row>
    <row r="97" spans="1:21" ht="15.75" customHeight="1" x14ac:dyDescent="0.25">
      <c r="A97" s="451"/>
      <c r="B97" s="446" t="s">
        <v>675</v>
      </c>
      <c r="C97" s="465"/>
      <c r="D97" s="465"/>
      <c r="E97" s="465"/>
      <c r="F97" s="449"/>
      <c r="G97" s="501"/>
      <c r="H97" s="501"/>
      <c r="I97" s="501"/>
      <c r="J97" s="501"/>
      <c r="K97" s="501"/>
      <c r="L97" s="501"/>
      <c r="M97" s="501"/>
      <c r="N97" s="501"/>
      <c r="O97" s="501"/>
      <c r="P97" s="501"/>
      <c r="Q97" s="421"/>
      <c r="U97" s="471"/>
    </row>
    <row r="98" spans="1:21" ht="15.75" customHeight="1" x14ac:dyDescent="0.2">
      <c r="A98" s="451">
        <v>14</v>
      </c>
      <c r="B98" s="447" t="s">
        <v>646</v>
      </c>
      <c r="C98" s="448">
        <v>2713314</v>
      </c>
      <c r="D98" s="448">
        <v>2398137</v>
      </c>
      <c r="E98" s="448">
        <f t="shared" ref="E98:E106" si="10">D98-C98</f>
        <v>-315177</v>
      </c>
      <c r="F98" s="449">
        <f t="shared" ref="F98:F106" si="11">IF(C98=0,0,E98/C98)</f>
        <v>-0.11615942718019366</v>
      </c>
      <c r="G98" s="450"/>
      <c r="H98" s="450"/>
      <c r="I98" s="450"/>
      <c r="J98" s="450"/>
      <c r="K98" s="450"/>
      <c r="L98" s="450"/>
      <c r="M98" s="450"/>
      <c r="N98" s="450"/>
      <c r="O98" s="450"/>
      <c r="P98" s="450"/>
      <c r="Q98" s="421"/>
      <c r="U98" s="499"/>
    </row>
    <row r="99" spans="1:21" ht="15.75" customHeight="1" x14ac:dyDescent="0.2">
      <c r="A99" s="451">
        <v>15</v>
      </c>
      <c r="B99" s="447" t="s">
        <v>647</v>
      </c>
      <c r="C99" s="448">
        <v>426841</v>
      </c>
      <c r="D99" s="448">
        <v>242542</v>
      </c>
      <c r="E99" s="448">
        <f t="shared" si="10"/>
        <v>-184299</v>
      </c>
      <c r="F99" s="449">
        <f t="shared" si="11"/>
        <v>-0.43177436094470772</v>
      </c>
      <c r="G99" s="450"/>
      <c r="H99" s="450"/>
      <c r="I99" s="450"/>
      <c r="J99" s="450"/>
      <c r="K99" s="450"/>
      <c r="L99" s="450"/>
      <c r="M99" s="450"/>
      <c r="N99" s="450"/>
      <c r="O99" s="450"/>
      <c r="P99" s="450"/>
      <c r="Q99" s="421"/>
      <c r="U99" s="441"/>
    </row>
    <row r="100" spans="1:21" ht="15.75" customHeight="1" x14ac:dyDescent="0.2">
      <c r="A100" s="451">
        <v>16</v>
      </c>
      <c r="B100" s="447" t="s">
        <v>648</v>
      </c>
      <c r="C100" s="453">
        <f>IF(C98=0,0,C99/C98)</f>
        <v>0.15731352876961532</v>
      </c>
      <c r="D100" s="453">
        <f>IF(LN_IC14=0,0,LN_IC15/LN_IC14)</f>
        <v>0.10113767478671985</v>
      </c>
      <c r="E100" s="454">
        <f t="shared" si="10"/>
        <v>-5.6175853982895471E-2</v>
      </c>
      <c r="F100" s="449">
        <f t="shared" si="11"/>
        <v>-0.35709486922237094</v>
      </c>
      <c r="G100" s="455"/>
      <c r="H100" s="455"/>
      <c r="I100" s="455"/>
      <c r="J100" s="455"/>
      <c r="K100" s="455"/>
      <c r="L100" s="455"/>
      <c r="M100" s="455"/>
      <c r="N100" s="455"/>
      <c r="O100" s="455"/>
      <c r="P100" s="455"/>
      <c r="Q100" s="421"/>
      <c r="U100" s="441"/>
    </row>
    <row r="101" spans="1:21" ht="15.75" customHeight="1" x14ac:dyDescent="0.2">
      <c r="A101" s="451">
        <v>17</v>
      </c>
      <c r="B101" s="447" t="s">
        <v>649</v>
      </c>
      <c r="C101" s="453">
        <f>IF(C83=0,0,C98/C83)</f>
        <v>2.4912947908307457</v>
      </c>
      <c r="D101" s="453">
        <f>IF(LN_IC1=0,0,LN_IC14/LN_IC1)</f>
        <v>5.2481272609098131</v>
      </c>
      <c r="E101" s="454">
        <f t="shared" si="10"/>
        <v>2.7568324700790674</v>
      </c>
      <c r="F101" s="449">
        <f t="shared" si="11"/>
        <v>1.1065862138136513</v>
      </c>
      <c r="G101" s="472"/>
      <c r="H101" s="472"/>
      <c r="I101" s="472"/>
      <c r="J101" s="472"/>
      <c r="K101" s="472"/>
      <c r="L101" s="472"/>
      <c r="M101" s="472"/>
      <c r="N101" s="472"/>
      <c r="O101" s="472"/>
      <c r="P101" s="472"/>
      <c r="Q101" s="421"/>
      <c r="U101" s="458"/>
    </row>
    <row r="102" spans="1:21" ht="15.75" customHeight="1" x14ac:dyDescent="0.2">
      <c r="A102" s="451">
        <v>18</v>
      </c>
      <c r="B102" s="447" t="s">
        <v>650</v>
      </c>
      <c r="C102" s="463">
        <f>C101*C86</f>
        <v>231.69041554725933</v>
      </c>
      <c r="D102" s="463">
        <f>LN_IC17*LN_IC4</f>
        <v>209.92509043639251</v>
      </c>
      <c r="E102" s="463">
        <f t="shared" si="10"/>
        <v>-21.765325110866826</v>
      </c>
      <c r="F102" s="449">
        <f t="shared" si="11"/>
        <v>-9.3941413413483291E-2</v>
      </c>
      <c r="G102" s="484"/>
      <c r="H102" s="484"/>
      <c r="I102" s="484"/>
      <c r="J102" s="484"/>
      <c r="K102" s="484"/>
      <c r="L102" s="484"/>
      <c r="M102" s="484"/>
      <c r="N102" s="484"/>
      <c r="O102" s="484"/>
      <c r="P102" s="484"/>
      <c r="Q102" s="421"/>
      <c r="U102" s="458"/>
    </row>
    <row r="103" spans="1:21" ht="15.75" customHeight="1" x14ac:dyDescent="0.2">
      <c r="A103" s="451">
        <v>19</v>
      </c>
      <c r="B103" s="452" t="s">
        <v>651</v>
      </c>
      <c r="C103" s="465">
        <f>IF(C102=0,0,C99/C102)</f>
        <v>1842.2902777043644</v>
      </c>
      <c r="D103" s="465">
        <f>IF(LN_IC18=0,0,LN_IC15/LN_IC18)</f>
        <v>1155.3740407866608</v>
      </c>
      <c r="E103" s="465">
        <f t="shared" si="10"/>
        <v>-686.9162369177036</v>
      </c>
      <c r="F103" s="449">
        <f t="shared" si="11"/>
        <v>-0.37285993702016068</v>
      </c>
      <c r="G103" s="450"/>
      <c r="H103" s="450"/>
      <c r="I103" s="450"/>
      <c r="J103" s="450"/>
      <c r="K103" s="450"/>
      <c r="L103" s="450"/>
      <c r="M103" s="450"/>
      <c r="N103" s="450"/>
      <c r="O103" s="450"/>
      <c r="P103" s="450"/>
      <c r="Q103" s="421"/>
      <c r="U103" s="482"/>
    </row>
    <row r="104" spans="1:21" ht="15.75" customHeight="1" x14ac:dyDescent="0.2">
      <c r="A104" s="451">
        <v>20</v>
      </c>
      <c r="B104" s="452" t="s">
        <v>676</v>
      </c>
      <c r="C104" s="465">
        <f>C61-C103</f>
        <v>6024.2441260986388</v>
      </c>
      <c r="D104" s="465">
        <f>LN_IB18-LN_IC19</f>
        <v>6052.677112450162</v>
      </c>
      <c r="E104" s="465">
        <f t="shared" si="10"/>
        <v>28.432986351523141</v>
      </c>
      <c r="F104" s="449">
        <f t="shared" si="11"/>
        <v>4.7197599825584474E-3</v>
      </c>
      <c r="G104" s="450"/>
      <c r="H104" s="450"/>
      <c r="I104" s="450"/>
      <c r="J104" s="450"/>
      <c r="K104" s="450"/>
      <c r="L104" s="450"/>
      <c r="M104" s="450"/>
      <c r="N104" s="450"/>
      <c r="O104" s="450"/>
      <c r="P104" s="450"/>
      <c r="Q104" s="421"/>
      <c r="U104" s="441"/>
    </row>
    <row r="105" spans="1:21" ht="15.75" customHeight="1" x14ac:dyDescent="0.2">
      <c r="A105" s="451">
        <v>21</v>
      </c>
      <c r="B105" s="447" t="s">
        <v>677</v>
      </c>
      <c r="C105" s="465">
        <f>C32-C103</f>
        <v>3098.5249969787146</v>
      </c>
      <c r="D105" s="465">
        <f>LN_IA16-LN_IC19</f>
        <v>4405.6069055023117</v>
      </c>
      <c r="E105" s="465">
        <f t="shared" si="10"/>
        <v>1307.0819085235971</v>
      </c>
      <c r="F105" s="449">
        <f t="shared" si="11"/>
        <v>0.42184003995388009</v>
      </c>
      <c r="G105" s="450"/>
      <c r="H105" s="450"/>
      <c r="I105" s="450"/>
      <c r="J105" s="450"/>
      <c r="K105" s="450"/>
      <c r="L105" s="450"/>
      <c r="M105" s="450"/>
      <c r="N105" s="450"/>
      <c r="O105" s="450"/>
      <c r="P105" s="450"/>
      <c r="Q105" s="421"/>
      <c r="U105" s="441"/>
    </row>
    <row r="106" spans="1:21" ht="15.75" customHeight="1" x14ac:dyDescent="0.2">
      <c r="A106" s="451">
        <v>22</v>
      </c>
      <c r="B106" s="452" t="s">
        <v>662</v>
      </c>
      <c r="C106" s="448">
        <f>C105*C102</f>
        <v>717898.54413356888</v>
      </c>
      <c r="D106" s="448">
        <f>LN_IC21*LN_IC18</f>
        <v>924847.42806476809</v>
      </c>
      <c r="E106" s="448">
        <f t="shared" si="10"/>
        <v>206948.88393119921</v>
      </c>
      <c r="F106" s="449">
        <f t="shared" si="11"/>
        <v>0.28827037695272895</v>
      </c>
      <c r="G106" s="450"/>
      <c r="H106" s="450"/>
      <c r="I106" s="450"/>
      <c r="J106" s="450"/>
      <c r="K106" s="450"/>
      <c r="L106" s="450"/>
      <c r="M106" s="450"/>
      <c r="N106" s="450"/>
      <c r="O106" s="450"/>
      <c r="P106" s="450"/>
      <c r="Q106" s="421"/>
      <c r="U106" s="441"/>
    </row>
    <row r="107" spans="1:21" ht="15.75" customHeight="1" x14ac:dyDescent="0.2">
      <c r="A107" s="451"/>
      <c r="B107" s="447"/>
      <c r="C107" s="448"/>
      <c r="D107" s="448"/>
      <c r="E107" s="448"/>
      <c r="F107" s="449"/>
      <c r="G107" s="450"/>
      <c r="H107" s="450"/>
      <c r="I107" s="450"/>
      <c r="J107" s="450"/>
      <c r="K107" s="450"/>
      <c r="L107" s="450"/>
      <c r="M107" s="450"/>
      <c r="N107" s="450"/>
      <c r="O107" s="450"/>
      <c r="P107" s="450"/>
      <c r="Q107" s="421"/>
      <c r="U107" s="441"/>
    </row>
    <row r="108" spans="1:21" ht="15.75" customHeight="1" x14ac:dyDescent="0.25">
      <c r="A108" s="502"/>
      <c r="B108" s="446" t="s">
        <v>678</v>
      </c>
      <c r="C108" s="448"/>
      <c r="D108" s="448"/>
      <c r="E108" s="448"/>
      <c r="F108" s="449"/>
      <c r="G108" s="450"/>
      <c r="H108" s="450"/>
      <c r="I108" s="450"/>
      <c r="J108" s="450"/>
      <c r="K108" s="450"/>
      <c r="L108" s="450"/>
      <c r="M108" s="450"/>
      <c r="N108" s="450"/>
      <c r="O108" s="450"/>
      <c r="P108" s="450"/>
      <c r="Q108" s="421"/>
      <c r="U108" s="441"/>
    </row>
    <row r="109" spans="1:21" ht="15.75" customHeight="1" x14ac:dyDescent="0.2">
      <c r="A109" s="451">
        <v>23</v>
      </c>
      <c r="B109" s="447" t="s">
        <v>653</v>
      </c>
      <c r="C109" s="448">
        <f>C83+C98</f>
        <v>3802432</v>
      </c>
      <c r="D109" s="448">
        <f>LN_IC1+LN_IC14</f>
        <v>2855088</v>
      </c>
      <c r="E109" s="448">
        <f>D109-C109</f>
        <v>-947344</v>
      </c>
      <c r="F109" s="449">
        <f>IF(C109=0,0,E109/C109)</f>
        <v>-0.24914160200629493</v>
      </c>
      <c r="G109" s="450"/>
      <c r="H109" s="450"/>
      <c r="I109" s="450"/>
      <c r="J109" s="450"/>
      <c r="K109" s="450"/>
      <c r="L109" s="450"/>
      <c r="M109" s="450"/>
      <c r="N109" s="450"/>
      <c r="O109" s="450"/>
      <c r="P109" s="450"/>
      <c r="Q109" s="421"/>
      <c r="U109" s="441"/>
    </row>
    <row r="110" spans="1:21" ht="15.75" customHeight="1" x14ac:dyDescent="0.2">
      <c r="A110" s="451">
        <v>24</v>
      </c>
      <c r="B110" s="447" t="s">
        <v>654</v>
      </c>
      <c r="C110" s="448">
        <f>C84+C99</f>
        <v>651124</v>
      </c>
      <c r="D110" s="448">
        <f>LN_IC2+LN_IC15</f>
        <v>279386</v>
      </c>
      <c r="E110" s="448">
        <f>D110-C110</f>
        <v>-371738</v>
      </c>
      <c r="F110" s="449">
        <f>IF(C110=0,0,E110/C110)</f>
        <v>-0.57091736750603572</v>
      </c>
      <c r="G110" s="450"/>
      <c r="H110" s="450"/>
      <c r="I110" s="450"/>
      <c r="J110" s="450"/>
      <c r="K110" s="450"/>
      <c r="L110" s="450"/>
      <c r="M110" s="450"/>
      <c r="N110" s="450"/>
      <c r="O110" s="450"/>
      <c r="P110" s="450"/>
      <c r="Q110" s="421"/>
      <c r="U110" s="441"/>
    </row>
    <row r="111" spans="1:21" ht="15.75" customHeight="1" x14ac:dyDescent="0.2">
      <c r="A111" s="451">
        <v>25</v>
      </c>
      <c r="B111" s="447" t="s">
        <v>655</v>
      </c>
      <c r="C111" s="448">
        <f>C109-C110</f>
        <v>3151308</v>
      </c>
      <c r="D111" s="448">
        <f>LN_IC23-LN_IC24</f>
        <v>2575702</v>
      </c>
      <c r="E111" s="448">
        <f>D111-C111</f>
        <v>-575606</v>
      </c>
      <c r="F111" s="449">
        <f>IF(C111=0,0,E111/C111)</f>
        <v>-0.18265621767215393</v>
      </c>
      <c r="G111" s="450"/>
      <c r="H111" s="450"/>
      <c r="I111" s="450"/>
      <c r="J111" s="450"/>
      <c r="K111" s="450"/>
      <c r="L111" s="450"/>
      <c r="M111" s="450"/>
      <c r="N111" s="450"/>
      <c r="O111" s="450"/>
      <c r="P111" s="450"/>
      <c r="Q111" s="421"/>
      <c r="U111" s="441"/>
    </row>
    <row r="112" spans="1:21" ht="15.75" customHeight="1" x14ac:dyDescent="0.2">
      <c r="A112" s="451"/>
      <c r="B112" s="447"/>
      <c r="C112" s="448"/>
      <c r="D112" s="448"/>
      <c r="E112" s="448"/>
      <c r="F112" s="449"/>
      <c r="G112" s="450"/>
      <c r="H112" s="450"/>
      <c r="I112" s="450"/>
      <c r="J112" s="450"/>
      <c r="K112" s="450"/>
      <c r="L112" s="450"/>
      <c r="M112" s="450"/>
      <c r="N112" s="450"/>
      <c r="O112" s="450"/>
      <c r="P112" s="450"/>
      <c r="Q112" s="421"/>
      <c r="U112" s="441"/>
    </row>
    <row r="113" spans="1:21" ht="15.75" customHeight="1" x14ac:dyDescent="0.2">
      <c r="A113" s="451">
        <v>26</v>
      </c>
      <c r="B113" s="447" t="s">
        <v>664</v>
      </c>
      <c r="C113" s="448">
        <f>C92+C106</f>
        <v>1273823.7198614692</v>
      </c>
      <c r="D113" s="448">
        <f>LN_IC10+LN_IC22</f>
        <v>1167368.3851997338</v>
      </c>
      <c r="E113" s="448">
        <f>D113-C113</f>
        <v>-106455.33466173545</v>
      </c>
      <c r="F113" s="449">
        <f>IF(C113=0,0,E113/C113)</f>
        <v>-8.3571480890081623E-2</v>
      </c>
      <c r="G113" s="450"/>
      <c r="H113" s="450"/>
      <c r="I113" s="450"/>
      <c r="J113" s="450"/>
      <c r="K113" s="450"/>
      <c r="L113" s="450"/>
      <c r="M113" s="450"/>
      <c r="N113" s="450"/>
      <c r="O113" s="450"/>
      <c r="P113" s="450"/>
      <c r="Q113" s="421"/>
      <c r="U113" s="476"/>
    </row>
    <row r="114" spans="1:21" ht="15.75" customHeight="1" x14ac:dyDescent="0.2">
      <c r="A114" s="451"/>
      <c r="B114" s="447"/>
      <c r="C114" s="448"/>
      <c r="D114" s="448"/>
      <c r="E114" s="448"/>
      <c r="F114" s="449"/>
      <c r="G114" s="450"/>
      <c r="H114" s="450"/>
      <c r="I114" s="450"/>
      <c r="J114" s="450"/>
      <c r="K114" s="450"/>
      <c r="L114" s="450"/>
      <c r="M114" s="450"/>
      <c r="N114" s="450"/>
      <c r="O114" s="450"/>
      <c r="P114" s="450"/>
      <c r="Q114" s="421"/>
      <c r="U114" s="476"/>
    </row>
    <row r="115" spans="1:21" ht="15.75" customHeight="1" x14ac:dyDescent="0.25">
      <c r="A115" s="443" t="s">
        <v>170</v>
      </c>
      <c r="B115" s="444" t="s">
        <v>679</v>
      </c>
      <c r="C115" s="448"/>
      <c r="D115" s="448"/>
      <c r="E115" s="448"/>
      <c r="F115" s="449"/>
      <c r="G115" s="450"/>
      <c r="H115" s="450"/>
      <c r="I115" s="450"/>
      <c r="J115" s="450"/>
      <c r="K115" s="450"/>
      <c r="L115" s="450"/>
      <c r="M115" s="450"/>
      <c r="N115" s="450"/>
      <c r="O115" s="450"/>
      <c r="P115" s="450"/>
      <c r="Q115" s="421"/>
      <c r="U115" s="441"/>
    </row>
    <row r="116" spans="1:21" ht="15.75" customHeight="1" x14ac:dyDescent="0.25">
      <c r="A116" s="443"/>
      <c r="B116" s="495"/>
      <c r="C116" s="448"/>
      <c r="D116" s="448"/>
      <c r="E116" s="448"/>
      <c r="F116" s="449"/>
      <c r="G116" s="450"/>
      <c r="H116" s="450"/>
      <c r="I116" s="450"/>
      <c r="J116" s="450"/>
      <c r="K116" s="450"/>
      <c r="L116" s="450"/>
      <c r="M116" s="450"/>
      <c r="N116" s="450"/>
      <c r="O116" s="450"/>
      <c r="P116" s="450"/>
      <c r="Q116" s="421"/>
      <c r="U116" s="441"/>
    </row>
    <row r="117" spans="1:21" ht="15.75" customHeight="1" x14ac:dyDescent="0.25">
      <c r="A117" s="451"/>
      <c r="B117" s="470" t="s">
        <v>680</v>
      </c>
      <c r="C117" s="503"/>
      <c r="D117" s="503"/>
      <c r="E117" s="503"/>
      <c r="F117" s="496"/>
      <c r="G117" s="472"/>
      <c r="H117" s="472"/>
      <c r="I117" s="472"/>
      <c r="J117" s="472"/>
      <c r="K117" s="472"/>
      <c r="L117" s="472"/>
      <c r="M117" s="472"/>
      <c r="N117" s="472"/>
      <c r="O117" s="472"/>
      <c r="P117" s="472"/>
      <c r="Q117" s="421"/>
      <c r="U117" s="441"/>
    </row>
    <row r="118" spans="1:21" ht="15.75" customHeight="1" x14ac:dyDescent="0.2">
      <c r="A118" s="428">
        <v>1</v>
      </c>
      <c r="B118" s="447" t="s">
        <v>637</v>
      </c>
      <c r="C118" s="448">
        <v>3175671</v>
      </c>
      <c r="D118" s="448">
        <v>3849691</v>
      </c>
      <c r="E118" s="448">
        <f t="shared" ref="E118:E130" si="12">D118-C118</f>
        <v>674020</v>
      </c>
      <c r="F118" s="449">
        <f t="shared" ref="F118:F130" si="13">IF(C118=0,0,E118/C118)</f>
        <v>0.21224490824143938</v>
      </c>
      <c r="G118" s="450"/>
      <c r="H118" s="450"/>
      <c r="I118" s="450"/>
      <c r="J118" s="450"/>
      <c r="K118" s="450"/>
      <c r="L118" s="450"/>
      <c r="M118" s="450"/>
      <c r="N118" s="450"/>
      <c r="O118" s="450"/>
      <c r="P118" s="450"/>
      <c r="Q118" s="421"/>
      <c r="U118" s="458"/>
    </row>
    <row r="119" spans="1:21" ht="15.75" customHeight="1" x14ac:dyDescent="0.2">
      <c r="A119" s="451">
        <v>2</v>
      </c>
      <c r="B119" s="447" t="s">
        <v>638</v>
      </c>
      <c r="C119" s="448">
        <v>819553</v>
      </c>
      <c r="D119" s="448">
        <v>993888</v>
      </c>
      <c r="E119" s="448">
        <f t="shared" si="12"/>
        <v>174335</v>
      </c>
      <c r="F119" s="449">
        <f t="shared" si="13"/>
        <v>0.21271961666908668</v>
      </c>
      <c r="G119" s="450"/>
      <c r="H119" s="450"/>
      <c r="I119" s="450"/>
      <c r="J119" s="450"/>
      <c r="K119" s="450"/>
      <c r="L119" s="450"/>
      <c r="M119" s="450"/>
      <c r="N119" s="450"/>
      <c r="O119" s="450"/>
      <c r="P119" s="450"/>
      <c r="Q119" s="421"/>
      <c r="U119" s="441"/>
    </row>
    <row r="120" spans="1:21" ht="15.75" customHeight="1" x14ac:dyDescent="0.2">
      <c r="A120" s="451">
        <v>3</v>
      </c>
      <c r="B120" s="452" t="s">
        <v>639</v>
      </c>
      <c r="C120" s="453">
        <f>IF(C118=0,0,C119/C118)</f>
        <v>0.25807238848104858</v>
      </c>
      <c r="D120" s="453">
        <f>IF(LN_ID1=0,0,LN_1D2/LN_ID1)</f>
        <v>0.2581734482066223</v>
      </c>
      <c r="E120" s="454">
        <f t="shared" si="12"/>
        <v>1.0105972557372667E-4</v>
      </c>
      <c r="F120" s="449">
        <f t="shared" si="13"/>
        <v>3.9159449086568181E-4</v>
      </c>
      <c r="G120" s="455"/>
      <c r="H120" s="455"/>
      <c r="I120" s="455"/>
      <c r="J120" s="455"/>
      <c r="K120" s="455"/>
      <c r="L120" s="455"/>
      <c r="M120" s="455"/>
      <c r="N120" s="455"/>
      <c r="O120" s="455"/>
      <c r="P120" s="455"/>
      <c r="Q120" s="421"/>
      <c r="U120" s="441"/>
    </row>
    <row r="121" spans="1:21" ht="15.75" customHeight="1" x14ac:dyDescent="0.2">
      <c r="A121" s="451">
        <v>4</v>
      </c>
      <c r="B121" s="447" t="s">
        <v>137</v>
      </c>
      <c r="C121" s="456">
        <v>217</v>
      </c>
      <c r="D121" s="456">
        <v>235</v>
      </c>
      <c r="E121" s="456">
        <f t="shared" si="12"/>
        <v>18</v>
      </c>
      <c r="F121" s="449">
        <f t="shared" si="13"/>
        <v>8.294930875576037E-2</v>
      </c>
      <c r="G121" s="457"/>
      <c r="H121" s="457"/>
      <c r="I121" s="457"/>
      <c r="J121" s="457"/>
      <c r="K121" s="457"/>
      <c r="L121" s="457"/>
      <c r="M121" s="457"/>
      <c r="N121" s="457"/>
      <c r="O121" s="457"/>
      <c r="P121" s="457"/>
      <c r="Q121" s="421"/>
      <c r="U121" s="458"/>
    </row>
    <row r="122" spans="1:21" ht="15.75" customHeight="1" x14ac:dyDescent="0.2">
      <c r="A122" s="451">
        <v>5</v>
      </c>
      <c r="B122" s="452" t="s">
        <v>640</v>
      </c>
      <c r="C122" s="459">
        <v>0.91049999999999998</v>
      </c>
      <c r="D122" s="459">
        <v>0.93440000000000001</v>
      </c>
      <c r="E122" s="460">
        <f t="shared" si="12"/>
        <v>2.3900000000000032E-2</v>
      </c>
      <c r="F122" s="449">
        <f t="shared" si="13"/>
        <v>2.6249313563975873E-2</v>
      </c>
      <c r="G122" s="504"/>
      <c r="H122" s="504"/>
      <c r="I122" s="504"/>
      <c r="J122" s="504"/>
      <c r="K122" s="504"/>
      <c r="L122" s="504"/>
      <c r="M122" s="504"/>
      <c r="N122" s="504"/>
      <c r="O122" s="504"/>
      <c r="P122" s="504"/>
      <c r="Q122" s="421"/>
      <c r="U122" s="462"/>
    </row>
    <row r="123" spans="1:21" ht="15.75" customHeight="1" x14ac:dyDescent="0.2">
      <c r="A123" s="451">
        <v>6</v>
      </c>
      <c r="B123" s="452" t="s">
        <v>641</v>
      </c>
      <c r="C123" s="463">
        <f>C121*C122</f>
        <v>197.57849999999999</v>
      </c>
      <c r="D123" s="463">
        <f>LN_ID4*LN_ID5</f>
        <v>219.584</v>
      </c>
      <c r="E123" s="463">
        <f t="shared" si="12"/>
        <v>22.005500000000012</v>
      </c>
      <c r="F123" s="449">
        <f t="shared" si="13"/>
        <v>0.11137598473518127</v>
      </c>
      <c r="G123" s="457"/>
      <c r="H123" s="457"/>
      <c r="I123" s="457"/>
      <c r="J123" s="457"/>
      <c r="K123" s="457"/>
      <c r="L123" s="457"/>
      <c r="M123" s="457"/>
      <c r="N123" s="457"/>
      <c r="O123" s="457"/>
      <c r="P123" s="457"/>
      <c r="Q123" s="421"/>
      <c r="U123" s="505"/>
    </row>
    <row r="124" spans="1:21" ht="15.75" customHeight="1" x14ac:dyDescent="0.2">
      <c r="A124" s="451">
        <v>7</v>
      </c>
      <c r="B124" s="447" t="s">
        <v>642</v>
      </c>
      <c r="C124" s="465">
        <f>IF(C123=0,0,C119/C123)</f>
        <v>4147.9867495704239</v>
      </c>
      <c r="D124" s="465">
        <f>IF(LN_ID6=0,0,LN_1D2/LN_ID6)</f>
        <v>4526.2314194112505</v>
      </c>
      <c r="E124" s="465">
        <f t="shared" si="12"/>
        <v>378.24466984082665</v>
      </c>
      <c r="F124" s="449">
        <f t="shared" si="13"/>
        <v>9.1187530885916801E-2</v>
      </c>
      <c r="G124" s="450"/>
      <c r="H124" s="450"/>
      <c r="I124" s="450"/>
      <c r="J124" s="450"/>
      <c r="K124" s="450"/>
      <c r="L124" s="450"/>
      <c r="M124" s="450"/>
      <c r="N124" s="450"/>
      <c r="O124" s="450"/>
      <c r="P124" s="450"/>
      <c r="Q124" s="421"/>
      <c r="U124" s="462"/>
    </row>
    <row r="125" spans="1:21" ht="15.75" customHeight="1" x14ac:dyDescent="0.2">
      <c r="A125" s="451">
        <v>8</v>
      </c>
      <c r="B125" s="447" t="s">
        <v>681</v>
      </c>
      <c r="C125" s="465">
        <f>C48-C124</f>
        <v>3843.7134374895286</v>
      </c>
      <c r="D125" s="465">
        <f>LN_IB7-LN_ID7</f>
        <v>3307.1143107225689</v>
      </c>
      <c r="E125" s="465">
        <f t="shared" si="12"/>
        <v>-536.59912676695967</v>
      </c>
      <c r="F125" s="449">
        <f t="shared" si="13"/>
        <v>-0.13960435279416469</v>
      </c>
      <c r="G125" s="450"/>
      <c r="H125" s="450"/>
      <c r="I125" s="450"/>
      <c r="J125" s="450"/>
      <c r="K125" s="450"/>
      <c r="L125" s="450"/>
      <c r="M125" s="450"/>
      <c r="N125" s="450"/>
      <c r="O125" s="450"/>
      <c r="P125" s="450"/>
      <c r="Q125" s="421"/>
      <c r="U125" s="441"/>
    </row>
    <row r="126" spans="1:21" ht="15.75" customHeight="1" x14ac:dyDescent="0.2">
      <c r="A126" s="451">
        <v>9</v>
      </c>
      <c r="B126" s="447" t="s">
        <v>682</v>
      </c>
      <c r="C126" s="465">
        <f>C21-C124</f>
        <v>5268.710099549171</v>
      </c>
      <c r="D126" s="465">
        <f>LN_IA7-LN_ID7</f>
        <v>4712.0277451048123</v>
      </c>
      <c r="E126" s="465">
        <f t="shared" si="12"/>
        <v>-556.68235444435868</v>
      </c>
      <c r="F126" s="449">
        <f t="shared" si="13"/>
        <v>-0.10565818652500779</v>
      </c>
      <c r="G126" s="450"/>
      <c r="H126" s="450"/>
      <c r="I126" s="450"/>
      <c r="J126" s="450"/>
      <c r="K126" s="450"/>
      <c r="L126" s="450"/>
      <c r="M126" s="450"/>
      <c r="N126" s="450"/>
      <c r="O126" s="450"/>
      <c r="P126" s="450"/>
      <c r="Q126" s="421"/>
      <c r="U126" s="441"/>
    </row>
    <row r="127" spans="1:21" ht="15.75" customHeight="1" x14ac:dyDescent="0.2">
      <c r="A127" s="451">
        <v>10</v>
      </c>
      <c r="B127" s="447" t="s">
        <v>659</v>
      </c>
      <c r="C127" s="479">
        <f>C126*C123</f>
        <v>1040983.8384037758</v>
      </c>
      <c r="D127" s="479">
        <f>LN_ID9*LN_ID6</f>
        <v>1034685.9003810951</v>
      </c>
      <c r="E127" s="479">
        <f t="shared" si="12"/>
        <v>-6297.938022680697</v>
      </c>
      <c r="F127" s="449">
        <f t="shared" si="13"/>
        <v>-6.0499863593827079E-3</v>
      </c>
      <c r="G127" s="480"/>
      <c r="H127" s="480"/>
      <c r="I127" s="480"/>
      <c r="J127" s="480"/>
      <c r="K127" s="480"/>
      <c r="L127" s="480"/>
      <c r="M127" s="480"/>
      <c r="N127" s="480"/>
      <c r="O127" s="480"/>
      <c r="P127" s="480"/>
      <c r="Q127" s="421"/>
      <c r="U127" s="441"/>
    </row>
    <row r="128" spans="1:21" ht="15.75" customHeight="1" x14ac:dyDescent="0.2">
      <c r="A128" s="451">
        <v>11</v>
      </c>
      <c r="B128" s="447" t="s">
        <v>139</v>
      </c>
      <c r="C128" s="456">
        <v>615</v>
      </c>
      <c r="D128" s="456">
        <v>711</v>
      </c>
      <c r="E128" s="456">
        <f t="shared" si="12"/>
        <v>96</v>
      </c>
      <c r="F128" s="449">
        <f t="shared" si="13"/>
        <v>0.15609756097560976</v>
      </c>
      <c r="G128" s="457"/>
      <c r="H128" s="457"/>
      <c r="I128" s="457"/>
      <c r="J128" s="457"/>
      <c r="K128" s="457"/>
      <c r="L128" s="457"/>
      <c r="M128" s="457"/>
      <c r="N128" s="457"/>
      <c r="O128" s="457"/>
      <c r="P128" s="457"/>
      <c r="Q128" s="421"/>
      <c r="U128" s="481"/>
    </row>
    <row r="129" spans="1:21" ht="15.75" customHeight="1" x14ac:dyDescent="0.2">
      <c r="A129" s="451">
        <v>12</v>
      </c>
      <c r="B129" s="447" t="s">
        <v>643</v>
      </c>
      <c r="C129" s="465">
        <f>IF(C128=0,0,C119/C128)</f>
        <v>1332.6065040650406</v>
      </c>
      <c r="D129" s="465">
        <f>IF(LN_ID11=0,0,LN_1D2/LN_ID11)</f>
        <v>1397.873417721519</v>
      </c>
      <c r="E129" s="465">
        <f t="shared" si="12"/>
        <v>65.266913656478437</v>
      </c>
      <c r="F129" s="449">
        <f t="shared" si="13"/>
        <v>4.8976883616720632E-2</v>
      </c>
      <c r="G129" s="450"/>
      <c r="H129" s="450"/>
      <c r="I129" s="450"/>
      <c r="J129" s="450"/>
      <c r="K129" s="450"/>
      <c r="L129" s="450"/>
      <c r="M129" s="450"/>
      <c r="N129" s="450"/>
      <c r="O129" s="450"/>
      <c r="P129" s="450"/>
      <c r="Q129" s="421"/>
      <c r="U129" s="462"/>
    </row>
    <row r="130" spans="1:21" ht="15.75" customHeight="1" x14ac:dyDescent="0.2">
      <c r="A130" s="451">
        <v>13</v>
      </c>
      <c r="B130" s="447" t="s">
        <v>644</v>
      </c>
      <c r="C130" s="466">
        <f>IF(C121=0,0,C128/C121)</f>
        <v>2.8341013824884791</v>
      </c>
      <c r="D130" s="466">
        <f>IF(LN_ID4=0,0,LN_ID11/LN_ID4)</f>
        <v>3.0255319148936168</v>
      </c>
      <c r="E130" s="466">
        <f t="shared" si="12"/>
        <v>0.19143053240513774</v>
      </c>
      <c r="F130" s="449">
        <f t="shared" si="13"/>
        <v>6.7545407368967303E-2</v>
      </c>
      <c r="G130" s="450"/>
      <c r="H130" s="450"/>
      <c r="I130" s="450"/>
      <c r="J130" s="450"/>
      <c r="K130" s="450"/>
      <c r="L130" s="450"/>
      <c r="M130" s="450"/>
      <c r="N130" s="450"/>
      <c r="O130" s="450"/>
      <c r="P130" s="450"/>
      <c r="Q130" s="421"/>
      <c r="U130" s="441"/>
    </row>
    <row r="131" spans="1:21" ht="15.75" customHeight="1" x14ac:dyDescent="0.2">
      <c r="A131" s="451"/>
      <c r="B131" s="447"/>
      <c r="C131" s="448"/>
      <c r="D131" s="448"/>
      <c r="E131" s="448"/>
      <c r="F131" s="503"/>
      <c r="G131" s="450"/>
      <c r="H131" s="450"/>
      <c r="I131" s="450"/>
      <c r="J131" s="450"/>
      <c r="K131" s="450"/>
      <c r="L131" s="450"/>
      <c r="M131" s="450"/>
      <c r="N131" s="450"/>
      <c r="O131" s="450"/>
      <c r="P131" s="450"/>
      <c r="Q131" s="421"/>
      <c r="U131" s="469"/>
    </row>
    <row r="132" spans="1:21" ht="15.75" customHeight="1" x14ac:dyDescent="0.25">
      <c r="A132" s="451"/>
      <c r="B132" s="446" t="s">
        <v>683</v>
      </c>
      <c r="C132" s="448"/>
      <c r="D132" s="448"/>
      <c r="E132" s="448"/>
      <c r="F132" s="503"/>
      <c r="G132" s="450"/>
      <c r="H132" s="450"/>
      <c r="I132" s="450"/>
      <c r="J132" s="450"/>
      <c r="K132" s="450"/>
      <c r="L132" s="450"/>
      <c r="M132" s="450"/>
      <c r="N132" s="450"/>
      <c r="O132" s="450"/>
      <c r="P132" s="450"/>
      <c r="Q132" s="421"/>
      <c r="U132" s="441"/>
    </row>
    <row r="133" spans="1:21" ht="15.75" customHeight="1" x14ac:dyDescent="0.2">
      <c r="A133" s="451">
        <v>14</v>
      </c>
      <c r="B133" s="447" t="s">
        <v>646</v>
      </c>
      <c r="C133" s="448">
        <v>5267908</v>
      </c>
      <c r="D133" s="448">
        <v>6879873</v>
      </c>
      <c r="E133" s="448">
        <f t="shared" ref="E133:E141" si="14">D133-C133</f>
        <v>1611965</v>
      </c>
      <c r="F133" s="449">
        <f t="shared" ref="F133:F141" si="15">IF(C133=0,0,E133/C133)</f>
        <v>0.30599718142382137</v>
      </c>
      <c r="G133" s="450"/>
      <c r="H133" s="450"/>
      <c r="I133" s="450"/>
      <c r="J133" s="450"/>
      <c r="K133" s="450"/>
      <c r="L133" s="450"/>
      <c r="M133" s="450"/>
      <c r="N133" s="450"/>
      <c r="O133" s="450"/>
      <c r="P133" s="450"/>
      <c r="Q133" s="421"/>
      <c r="U133" s="441"/>
    </row>
    <row r="134" spans="1:21" ht="15.75" customHeight="1" x14ac:dyDescent="0.2">
      <c r="A134" s="451">
        <v>15</v>
      </c>
      <c r="B134" s="447" t="s">
        <v>647</v>
      </c>
      <c r="C134" s="448">
        <v>1271376</v>
      </c>
      <c r="D134" s="448">
        <v>1453468</v>
      </c>
      <c r="E134" s="448">
        <f t="shared" si="14"/>
        <v>182092</v>
      </c>
      <c r="F134" s="449">
        <f t="shared" si="15"/>
        <v>0.14322434905173606</v>
      </c>
      <c r="G134" s="450"/>
      <c r="H134" s="450"/>
      <c r="I134" s="450"/>
      <c r="J134" s="450"/>
      <c r="K134" s="450"/>
      <c r="L134" s="450"/>
      <c r="M134" s="450"/>
      <c r="N134" s="450"/>
      <c r="O134" s="450"/>
      <c r="P134" s="450"/>
      <c r="Q134" s="421"/>
      <c r="U134" s="441"/>
    </row>
    <row r="135" spans="1:21" ht="15.75" customHeight="1" x14ac:dyDescent="0.2">
      <c r="A135" s="451">
        <v>16</v>
      </c>
      <c r="B135" s="447" t="s">
        <v>648</v>
      </c>
      <c r="C135" s="453">
        <f>IF(C133=0,0,C134/C133)</f>
        <v>0.24134362255377276</v>
      </c>
      <c r="D135" s="453">
        <f>IF(LN_ID14=0,0,LN_ID15/LN_ID14)</f>
        <v>0.21126378350298036</v>
      </c>
      <c r="E135" s="454">
        <f t="shared" si="14"/>
        <v>-3.0079839050792395E-2</v>
      </c>
      <c r="F135" s="449">
        <f t="shared" si="15"/>
        <v>-0.12463490326573859</v>
      </c>
      <c r="G135" s="455"/>
      <c r="H135" s="455"/>
      <c r="I135" s="455"/>
      <c r="J135" s="455"/>
      <c r="K135" s="455"/>
      <c r="L135" s="455"/>
      <c r="M135" s="455"/>
      <c r="N135" s="455"/>
      <c r="O135" s="455"/>
      <c r="P135" s="455"/>
      <c r="Q135" s="421"/>
      <c r="U135" s="441"/>
    </row>
    <row r="136" spans="1:21" ht="15.75" customHeight="1" x14ac:dyDescent="0.2">
      <c r="A136" s="451">
        <v>17</v>
      </c>
      <c r="B136" s="447" t="s">
        <v>649</v>
      </c>
      <c r="C136" s="453">
        <f>IF(C118=0,0,C133/C118)</f>
        <v>1.6588330466222729</v>
      </c>
      <c r="D136" s="453">
        <f>IF(LN_ID1=0,0,LN_ID14/LN_ID1)</f>
        <v>1.7871234340626299</v>
      </c>
      <c r="E136" s="454">
        <f t="shared" si="14"/>
        <v>0.12829038744035692</v>
      </c>
      <c r="F136" s="449">
        <f t="shared" si="15"/>
        <v>7.7337733114000037E-2</v>
      </c>
      <c r="G136" s="472"/>
      <c r="H136" s="472"/>
      <c r="I136" s="472"/>
      <c r="J136" s="472"/>
      <c r="K136" s="472"/>
      <c r="L136" s="472"/>
      <c r="M136" s="472"/>
      <c r="N136" s="472"/>
      <c r="O136" s="472"/>
      <c r="P136" s="472"/>
      <c r="Q136" s="421"/>
      <c r="U136" s="458"/>
    </row>
    <row r="137" spans="1:21" ht="15.75" customHeight="1" x14ac:dyDescent="0.2">
      <c r="A137" s="451">
        <v>18</v>
      </c>
      <c r="B137" s="447" t="s">
        <v>650</v>
      </c>
      <c r="C137" s="463">
        <f>C136*C121</f>
        <v>359.9667711170332</v>
      </c>
      <c r="D137" s="463">
        <f>LN_ID17*LN_ID4</f>
        <v>419.97400700471803</v>
      </c>
      <c r="E137" s="463">
        <f t="shared" si="14"/>
        <v>60.007235887684828</v>
      </c>
      <c r="F137" s="449">
        <f t="shared" si="15"/>
        <v>0.16670215337230432</v>
      </c>
      <c r="G137" s="457"/>
      <c r="H137" s="457"/>
      <c r="I137" s="457"/>
      <c r="J137" s="457"/>
      <c r="K137" s="457"/>
      <c r="L137" s="457"/>
      <c r="M137" s="457"/>
      <c r="N137" s="457"/>
      <c r="O137" s="457"/>
      <c r="P137" s="457"/>
      <c r="Q137" s="421"/>
      <c r="U137" s="458"/>
    </row>
    <row r="138" spans="1:21" ht="15.75" customHeight="1" x14ac:dyDescent="0.2">
      <c r="A138" s="451">
        <v>19</v>
      </c>
      <c r="B138" s="452" t="s">
        <v>651</v>
      </c>
      <c r="C138" s="465">
        <f>IF(C137=0,0,C134/C137)</f>
        <v>3531.9260054330052</v>
      </c>
      <c r="D138" s="465">
        <f>IF(LN_ID18=0,0,LN_ID15/LN_ID18)</f>
        <v>3460.8522807547743</v>
      </c>
      <c r="E138" s="465">
        <f t="shared" si="14"/>
        <v>-71.073724678230974</v>
      </c>
      <c r="F138" s="449">
        <f t="shared" si="15"/>
        <v>-2.0123220183237533E-2</v>
      </c>
      <c r="G138" s="450"/>
      <c r="H138" s="450"/>
      <c r="I138" s="450"/>
      <c r="J138" s="450"/>
      <c r="K138" s="450"/>
      <c r="L138" s="450"/>
      <c r="M138" s="450"/>
      <c r="N138" s="450"/>
      <c r="O138" s="450"/>
      <c r="P138" s="450"/>
      <c r="Q138" s="421"/>
      <c r="U138" s="462"/>
    </row>
    <row r="139" spans="1:21" ht="15.75" customHeight="1" x14ac:dyDescent="0.2">
      <c r="A139" s="451">
        <v>20</v>
      </c>
      <c r="B139" s="452" t="s">
        <v>684</v>
      </c>
      <c r="C139" s="465">
        <f>C61-C138</f>
        <v>4334.6083983699982</v>
      </c>
      <c r="D139" s="465">
        <f>LN_IB18-LN_ID19</f>
        <v>3747.1988724820485</v>
      </c>
      <c r="E139" s="465">
        <f t="shared" si="14"/>
        <v>-587.40952588794971</v>
      </c>
      <c r="F139" s="449">
        <f t="shared" si="15"/>
        <v>-0.13551616937503311</v>
      </c>
      <c r="G139" s="450"/>
      <c r="H139" s="450"/>
      <c r="I139" s="450"/>
      <c r="J139" s="450"/>
      <c r="K139" s="450"/>
      <c r="L139" s="450"/>
      <c r="M139" s="450"/>
      <c r="N139" s="450"/>
      <c r="O139" s="450"/>
      <c r="P139" s="450"/>
      <c r="Q139" s="421"/>
      <c r="U139" s="441"/>
    </row>
    <row r="140" spans="1:21" ht="15.75" customHeight="1" x14ac:dyDescent="0.2">
      <c r="A140" s="451">
        <v>21</v>
      </c>
      <c r="B140" s="447" t="s">
        <v>685</v>
      </c>
      <c r="C140" s="465">
        <f>C32-C138</f>
        <v>1408.889269250074</v>
      </c>
      <c r="D140" s="465">
        <f>LN_IA16-LN_ID19</f>
        <v>2100.1286655341983</v>
      </c>
      <c r="E140" s="465">
        <f t="shared" si="14"/>
        <v>691.23939628412427</v>
      </c>
      <c r="F140" s="449">
        <f t="shared" si="15"/>
        <v>0.49062719929157977</v>
      </c>
      <c r="G140" s="450"/>
      <c r="H140" s="450"/>
      <c r="I140" s="450"/>
      <c r="J140" s="450"/>
      <c r="K140" s="450"/>
      <c r="L140" s="450"/>
      <c r="M140" s="450"/>
      <c r="N140" s="450"/>
      <c r="O140" s="450"/>
      <c r="P140" s="450"/>
      <c r="Q140" s="421"/>
      <c r="U140" s="441"/>
    </row>
    <row r="141" spans="1:21" ht="15.75" customHeight="1" x14ac:dyDescent="0.2">
      <c r="A141" s="428">
        <v>22</v>
      </c>
      <c r="B141" s="452" t="s">
        <v>662</v>
      </c>
      <c r="C141" s="441">
        <f>C140*C137</f>
        <v>507153.32111338555</v>
      </c>
      <c r="D141" s="441">
        <f>LN_ID21*LN_ID18</f>
        <v>881999.45088986855</v>
      </c>
      <c r="E141" s="441">
        <f t="shared" si="14"/>
        <v>374846.12977648299</v>
      </c>
      <c r="F141" s="449">
        <f t="shared" si="15"/>
        <v>0.73911796328881318</v>
      </c>
      <c r="G141" s="477"/>
      <c r="H141" s="477"/>
      <c r="I141" s="477"/>
      <c r="J141" s="477"/>
      <c r="K141" s="477"/>
      <c r="L141" s="477"/>
      <c r="M141" s="477"/>
      <c r="N141" s="477"/>
      <c r="O141" s="477"/>
      <c r="P141" s="477"/>
      <c r="Q141" s="421"/>
      <c r="U141" s="441"/>
    </row>
    <row r="142" spans="1:21" ht="15.75" customHeight="1" x14ac:dyDescent="0.2">
      <c r="A142" s="428"/>
      <c r="B142" s="447"/>
      <c r="C142" s="441"/>
      <c r="D142" s="441"/>
      <c r="E142" s="441"/>
      <c r="F142" s="449"/>
      <c r="G142" s="477"/>
      <c r="H142" s="477"/>
      <c r="I142" s="477"/>
      <c r="J142" s="477"/>
      <c r="K142" s="477"/>
      <c r="L142" s="477"/>
      <c r="M142" s="477"/>
      <c r="N142" s="477"/>
      <c r="O142" s="477"/>
      <c r="P142" s="477"/>
      <c r="Q142" s="421"/>
      <c r="U142" s="441"/>
    </row>
    <row r="143" spans="1:21" ht="15.75" customHeight="1" x14ac:dyDescent="0.25">
      <c r="A143" s="428"/>
      <c r="B143" s="495" t="s">
        <v>686</v>
      </c>
      <c r="C143" s="441"/>
      <c r="D143" s="441"/>
      <c r="E143" s="441"/>
      <c r="F143" s="449"/>
      <c r="G143" s="477"/>
      <c r="H143" s="477"/>
      <c r="I143" s="477"/>
      <c r="J143" s="477"/>
      <c r="K143" s="477"/>
      <c r="L143" s="477"/>
      <c r="M143" s="477"/>
      <c r="N143" s="477"/>
      <c r="O143" s="477"/>
      <c r="P143" s="477"/>
      <c r="Q143" s="421"/>
      <c r="U143" s="441"/>
    </row>
    <row r="144" spans="1:21" ht="15.75" customHeight="1" x14ac:dyDescent="0.2">
      <c r="A144" s="451">
        <v>23</v>
      </c>
      <c r="B144" s="447" t="s">
        <v>653</v>
      </c>
      <c r="C144" s="448">
        <f>C118+C133</f>
        <v>8443579</v>
      </c>
      <c r="D144" s="448">
        <f>LN_ID1+LN_ID14</f>
        <v>10729564</v>
      </c>
      <c r="E144" s="448">
        <f>D144-C144</f>
        <v>2285985</v>
      </c>
      <c r="F144" s="449">
        <f>IF(C144=0,0,E144/C144)</f>
        <v>0.27073649692861285</v>
      </c>
      <c r="G144" s="450"/>
      <c r="H144" s="450"/>
      <c r="I144" s="450"/>
      <c r="J144" s="450"/>
      <c r="K144" s="450"/>
      <c r="L144" s="450"/>
      <c r="M144" s="450"/>
      <c r="N144" s="450"/>
      <c r="O144" s="450"/>
      <c r="P144" s="450"/>
      <c r="Q144" s="421"/>
      <c r="U144" s="441"/>
    </row>
    <row r="145" spans="1:21" ht="15.75" customHeight="1" x14ac:dyDescent="0.2">
      <c r="A145" s="451">
        <v>24</v>
      </c>
      <c r="B145" s="447" t="s">
        <v>654</v>
      </c>
      <c r="C145" s="448">
        <f>C119+C134</f>
        <v>2090929</v>
      </c>
      <c r="D145" s="448">
        <f>LN_1D2+LN_ID15</f>
        <v>2447356</v>
      </c>
      <c r="E145" s="448">
        <f>D145-C145</f>
        <v>356427</v>
      </c>
      <c r="F145" s="449">
        <f>IF(C145=0,0,E145/C145)</f>
        <v>0.17046346384788771</v>
      </c>
      <c r="G145" s="450"/>
      <c r="H145" s="450"/>
      <c r="I145" s="450"/>
      <c r="J145" s="450"/>
      <c r="K145" s="450"/>
      <c r="L145" s="450"/>
      <c r="M145" s="450"/>
      <c r="N145" s="450"/>
      <c r="O145" s="450"/>
      <c r="P145" s="450"/>
      <c r="Q145" s="421"/>
      <c r="U145" s="441"/>
    </row>
    <row r="146" spans="1:21" ht="15.75" customHeight="1" x14ac:dyDescent="0.2">
      <c r="A146" s="451">
        <v>25</v>
      </c>
      <c r="B146" s="447" t="s">
        <v>655</v>
      </c>
      <c r="C146" s="448">
        <f>C144-C145</f>
        <v>6352650</v>
      </c>
      <c r="D146" s="448">
        <f>LN_ID23-LN_ID24</f>
        <v>8282208</v>
      </c>
      <c r="E146" s="448">
        <f>D146-C146</f>
        <v>1929558</v>
      </c>
      <c r="F146" s="449">
        <f>IF(C146=0,0,E146/C146)</f>
        <v>0.30374064366839038</v>
      </c>
      <c r="G146" s="450"/>
      <c r="H146" s="450"/>
      <c r="I146" s="450"/>
      <c r="J146" s="450"/>
      <c r="K146" s="450"/>
      <c r="L146" s="450"/>
      <c r="M146" s="450"/>
      <c r="N146" s="450"/>
      <c r="O146" s="450"/>
      <c r="P146" s="450"/>
      <c r="Q146" s="421"/>
      <c r="U146" s="441"/>
    </row>
    <row r="147" spans="1:21" ht="15.75" customHeight="1" x14ac:dyDescent="0.2">
      <c r="A147" s="451"/>
      <c r="B147" s="447"/>
      <c r="C147" s="448"/>
      <c r="D147" s="448"/>
      <c r="E147" s="448"/>
      <c r="F147" s="449"/>
      <c r="G147" s="450"/>
      <c r="H147" s="450"/>
      <c r="I147" s="450"/>
      <c r="J147" s="450"/>
      <c r="K147" s="450"/>
      <c r="L147" s="450"/>
      <c r="M147" s="450"/>
      <c r="N147" s="450"/>
      <c r="O147" s="450"/>
      <c r="P147" s="450"/>
      <c r="Q147" s="421"/>
      <c r="U147" s="441"/>
    </row>
    <row r="148" spans="1:21" ht="15.75" customHeight="1" x14ac:dyDescent="0.2">
      <c r="A148" s="451">
        <v>26</v>
      </c>
      <c r="B148" s="447" t="s">
        <v>664</v>
      </c>
      <c r="C148" s="448">
        <f>C127+C141</f>
        <v>1548137.1595171613</v>
      </c>
      <c r="D148" s="448">
        <f>LN_ID10+LN_ID22</f>
        <v>1916685.3512709637</v>
      </c>
      <c r="E148" s="448">
        <f>D148-C148</f>
        <v>368548.19175380236</v>
      </c>
      <c r="F148" s="503">
        <f>IF(C148=0,0,E148/C148)</f>
        <v>0.23805913415885355</v>
      </c>
      <c r="G148" s="450"/>
      <c r="H148" s="450"/>
      <c r="I148" s="450"/>
      <c r="J148" s="450"/>
      <c r="K148" s="450"/>
      <c r="L148" s="450"/>
      <c r="M148" s="450"/>
      <c r="N148" s="450"/>
      <c r="O148" s="450"/>
      <c r="P148" s="450"/>
      <c r="Q148" s="421"/>
      <c r="U148" s="476"/>
    </row>
    <row r="149" spans="1:21" ht="15.75" customHeight="1" x14ac:dyDescent="0.2">
      <c r="A149" s="451"/>
      <c r="B149" s="447"/>
      <c r="C149" s="448"/>
      <c r="D149" s="448"/>
      <c r="E149" s="448"/>
      <c r="F149" s="503"/>
      <c r="G149" s="450"/>
      <c r="H149" s="450"/>
      <c r="I149" s="450"/>
      <c r="J149" s="450"/>
      <c r="K149" s="450"/>
      <c r="L149" s="450"/>
      <c r="M149" s="450"/>
      <c r="N149" s="450"/>
      <c r="O149" s="450"/>
      <c r="P149" s="450"/>
      <c r="Q149" s="421"/>
      <c r="U149" s="476"/>
    </row>
    <row r="150" spans="1:21" ht="15.75" customHeight="1" x14ac:dyDescent="0.25">
      <c r="A150" s="443" t="s">
        <v>175</v>
      </c>
      <c r="B150" s="444" t="s">
        <v>687</v>
      </c>
      <c r="C150" s="448"/>
      <c r="D150" s="448"/>
      <c r="E150" s="448"/>
      <c r="F150" s="449"/>
      <c r="G150" s="450"/>
      <c r="H150" s="450"/>
      <c r="I150" s="450"/>
      <c r="J150" s="450"/>
      <c r="K150" s="450"/>
      <c r="L150" s="450"/>
      <c r="M150" s="450"/>
      <c r="N150" s="450"/>
      <c r="O150" s="450"/>
      <c r="P150" s="450"/>
      <c r="Q150" s="421"/>
      <c r="U150" s="441"/>
    </row>
    <row r="151" spans="1:21" ht="15.75" customHeight="1" x14ac:dyDescent="0.2">
      <c r="A151" s="428"/>
      <c r="B151" s="447"/>
      <c r="C151" s="496"/>
      <c r="D151" s="496"/>
      <c r="E151" s="496"/>
      <c r="F151" s="497"/>
      <c r="G151" s="498"/>
      <c r="H151" s="498"/>
      <c r="I151" s="498"/>
      <c r="J151" s="498"/>
      <c r="K151" s="498"/>
      <c r="L151" s="498"/>
      <c r="M151" s="498"/>
      <c r="N151" s="498"/>
      <c r="O151" s="498"/>
      <c r="P151" s="498"/>
      <c r="Q151" s="421"/>
      <c r="U151" s="441"/>
    </row>
    <row r="152" spans="1:21" ht="15.75" customHeight="1" x14ac:dyDescent="0.25">
      <c r="A152" s="451"/>
      <c r="B152" s="446" t="s">
        <v>688</v>
      </c>
      <c r="C152" s="496"/>
      <c r="D152" s="496"/>
      <c r="E152" s="496"/>
      <c r="F152" s="497"/>
      <c r="G152" s="498"/>
      <c r="H152" s="498"/>
      <c r="I152" s="498"/>
      <c r="J152" s="498"/>
      <c r="K152" s="498"/>
      <c r="L152" s="498"/>
      <c r="M152" s="498"/>
      <c r="N152" s="498"/>
      <c r="O152" s="498"/>
      <c r="P152" s="498"/>
      <c r="Q152" s="421"/>
      <c r="U152" s="494"/>
    </row>
    <row r="153" spans="1:21" ht="15.75" customHeight="1" x14ac:dyDescent="0.2">
      <c r="A153" s="428">
        <v>1</v>
      </c>
      <c r="B153" s="447" t="s">
        <v>637</v>
      </c>
      <c r="C153" s="448">
        <v>3350285</v>
      </c>
      <c r="D153" s="448">
        <v>3308200</v>
      </c>
      <c r="E153" s="448">
        <f t="shared" ref="E153:E165" si="16">D153-C153</f>
        <v>-42085</v>
      </c>
      <c r="F153" s="449">
        <f t="shared" ref="F153:F165" si="17">IF(C153=0,0,E153/C153)</f>
        <v>-1.256161789220917E-2</v>
      </c>
      <c r="G153" s="450"/>
      <c r="H153" s="450"/>
      <c r="I153" s="450"/>
      <c r="J153" s="450"/>
      <c r="K153" s="450"/>
      <c r="L153" s="450"/>
      <c r="M153" s="450"/>
      <c r="N153" s="450"/>
      <c r="O153" s="450"/>
      <c r="P153" s="450"/>
      <c r="Q153" s="421"/>
      <c r="U153" s="494"/>
    </row>
    <row r="154" spans="1:21" ht="15.75" customHeight="1" x14ac:dyDescent="0.2">
      <c r="A154" s="451">
        <v>2</v>
      </c>
      <c r="B154" s="447" t="s">
        <v>638</v>
      </c>
      <c r="C154" s="448">
        <v>1196216</v>
      </c>
      <c r="D154" s="448">
        <v>1236898</v>
      </c>
      <c r="E154" s="448">
        <f t="shared" si="16"/>
        <v>40682</v>
      </c>
      <c r="F154" s="449">
        <f t="shared" si="17"/>
        <v>3.4008908090177696E-2</v>
      </c>
      <c r="G154" s="450"/>
      <c r="H154" s="450"/>
      <c r="I154" s="450"/>
      <c r="J154" s="450"/>
      <c r="K154" s="450"/>
      <c r="L154" s="450"/>
      <c r="M154" s="450"/>
      <c r="N154" s="450"/>
      <c r="O154" s="450"/>
      <c r="P154" s="450"/>
      <c r="Q154" s="421"/>
      <c r="U154" s="441"/>
    </row>
    <row r="155" spans="1:21" ht="15.75" customHeight="1" x14ac:dyDescent="0.2">
      <c r="A155" s="451">
        <v>3</v>
      </c>
      <c r="B155" s="452" t="s">
        <v>639</v>
      </c>
      <c r="C155" s="453">
        <f>IF(C153=0,0,C154/C153)</f>
        <v>0.35704902717231518</v>
      </c>
      <c r="D155" s="453">
        <f>IF(LN_IE1=0,0,LN_IE2/LN_IE1)</f>
        <v>0.3738885194365516</v>
      </c>
      <c r="E155" s="454">
        <f t="shared" si="16"/>
        <v>1.6839492264236422E-2</v>
      </c>
      <c r="F155" s="449">
        <f t="shared" si="17"/>
        <v>4.7162969179886681E-2</v>
      </c>
      <c r="G155" s="472"/>
      <c r="H155" s="472"/>
      <c r="I155" s="472"/>
      <c r="J155" s="472"/>
      <c r="K155" s="472"/>
      <c r="L155" s="472"/>
      <c r="M155" s="472"/>
      <c r="N155" s="472"/>
      <c r="O155" s="472"/>
      <c r="P155" s="472"/>
      <c r="Q155" s="421"/>
      <c r="U155" s="441"/>
    </row>
    <row r="156" spans="1:21" ht="15.75" customHeight="1" x14ac:dyDescent="0.2">
      <c r="A156" s="451">
        <v>4</v>
      </c>
      <c r="B156" s="447" t="s">
        <v>137</v>
      </c>
      <c r="C156" s="506">
        <v>208</v>
      </c>
      <c r="D156" s="506">
        <v>212</v>
      </c>
      <c r="E156" s="506">
        <f t="shared" si="16"/>
        <v>4</v>
      </c>
      <c r="F156" s="449">
        <f t="shared" si="17"/>
        <v>1.9230769230769232E-2</v>
      </c>
      <c r="G156" s="507"/>
      <c r="H156" s="507"/>
      <c r="I156" s="507"/>
      <c r="J156" s="507"/>
      <c r="K156" s="507"/>
      <c r="L156" s="507"/>
      <c r="M156" s="507"/>
      <c r="N156" s="507"/>
      <c r="O156" s="507"/>
      <c r="P156" s="507"/>
      <c r="Q156" s="421"/>
      <c r="U156" s="458"/>
    </row>
    <row r="157" spans="1:21" ht="15.75" customHeight="1" x14ac:dyDescent="0.2">
      <c r="A157" s="451">
        <v>5</v>
      </c>
      <c r="B157" s="452" t="s">
        <v>640</v>
      </c>
      <c r="C157" s="459">
        <v>0.96150000000000002</v>
      </c>
      <c r="D157" s="459">
        <v>0.87749999999999995</v>
      </c>
      <c r="E157" s="460">
        <f t="shared" si="16"/>
        <v>-8.4000000000000075E-2</v>
      </c>
      <c r="F157" s="449">
        <f t="shared" si="17"/>
        <v>-8.7363494539781664E-2</v>
      </c>
      <c r="G157" s="461"/>
      <c r="H157" s="461"/>
      <c r="I157" s="461"/>
      <c r="J157" s="461"/>
      <c r="K157" s="461"/>
      <c r="L157" s="461"/>
      <c r="M157" s="461"/>
      <c r="N157" s="461"/>
      <c r="O157" s="461"/>
      <c r="P157" s="461"/>
      <c r="Q157" s="421"/>
      <c r="U157" s="508"/>
    </row>
    <row r="158" spans="1:21" ht="15.75" customHeight="1" x14ac:dyDescent="0.2">
      <c r="A158" s="451">
        <v>6</v>
      </c>
      <c r="B158" s="452" t="s">
        <v>641</v>
      </c>
      <c r="C158" s="463">
        <f>C156*C157</f>
        <v>199.99200000000002</v>
      </c>
      <c r="D158" s="463">
        <f>LN_IE4*LN_IE5</f>
        <v>186.03</v>
      </c>
      <c r="E158" s="463">
        <f t="shared" si="16"/>
        <v>-13.962000000000018</v>
      </c>
      <c r="F158" s="449">
        <f t="shared" si="17"/>
        <v>-6.9812792511700555E-2</v>
      </c>
      <c r="G158" s="457"/>
      <c r="H158" s="457"/>
      <c r="I158" s="457"/>
      <c r="J158" s="457"/>
      <c r="K158" s="457"/>
      <c r="L158" s="457"/>
      <c r="M158" s="457"/>
      <c r="N158" s="457"/>
      <c r="O158" s="457"/>
      <c r="P158" s="509"/>
      <c r="Q158" s="421"/>
      <c r="U158" s="464"/>
    </row>
    <row r="159" spans="1:21" ht="15.75" customHeight="1" x14ac:dyDescent="0.2">
      <c r="A159" s="451">
        <v>7</v>
      </c>
      <c r="B159" s="447" t="s">
        <v>642</v>
      </c>
      <c r="C159" s="465">
        <f>IF(C158=0,0,C154/C158)</f>
        <v>5981.3192527701103</v>
      </c>
      <c r="D159" s="465">
        <f>IF(LN_IE6=0,0,LN_IE2/LN_IE6)</f>
        <v>6648.9168413696716</v>
      </c>
      <c r="E159" s="465">
        <f t="shared" si="16"/>
        <v>667.59758859956128</v>
      </c>
      <c r="F159" s="449">
        <f t="shared" si="17"/>
        <v>0.11161376953593956</v>
      </c>
      <c r="G159" s="450"/>
      <c r="H159" s="450"/>
      <c r="I159" s="450"/>
      <c r="J159" s="450"/>
      <c r="K159" s="450"/>
      <c r="L159" s="450"/>
      <c r="M159" s="450"/>
      <c r="N159" s="450"/>
      <c r="O159" s="450"/>
      <c r="P159" s="450"/>
      <c r="Q159" s="421"/>
      <c r="U159" s="462"/>
    </row>
    <row r="160" spans="1:21" ht="15.75" customHeight="1" x14ac:dyDescent="0.2">
      <c r="A160" s="451">
        <v>8</v>
      </c>
      <c r="B160" s="510" t="s">
        <v>689</v>
      </c>
      <c r="C160" s="465">
        <f>C48-C159</f>
        <v>2010.3809342898421</v>
      </c>
      <c r="D160" s="465">
        <f>LN_IB7-LN_IE7</f>
        <v>1184.4288887641478</v>
      </c>
      <c r="E160" s="465">
        <f t="shared" si="16"/>
        <v>-825.9520455256943</v>
      </c>
      <c r="F160" s="449">
        <f t="shared" si="17"/>
        <v>-0.41084355280033436</v>
      </c>
      <c r="G160" s="450"/>
      <c r="H160" s="450"/>
      <c r="I160" s="450"/>
      <c r="J160" s="450"/>
      <c r="K160" s="450"/>
      <c r="L160" s="450"/>
      <c r="M160" s="450"/>
      <c r="N160" s="450"/>
      <c r="O160" s="450"/>
      <c r="P160" s="450"/>
      <c r="Q160" s="421"/>
      <c r="U160" s="441"/>
    </row>
    <row r="161" spans="1:21" ht="15.75" customHeight="1" x14ac:dyDescent="0.2">
      <c r="A161" s="451">
        <v>9</v>
      </c>
      <c r="B161" s="510" t="s">
        <v>690</v>
      </c>
      <c r="C161" s="465">
        <f>C21-C159</f>
        <v>3435.3775963494845</v>
      </c>
      <c r="D161" s="465">
        <f>LN_IA7-LN_IE7</f>
        <v>2589.3423231463912</v>
      </c>
      <c r="E161" s="465">
        <f t="shared" si="16"/>
        <v>-846.03527320309331</v>
      </c>
      <c r="F161" s="449">
        <f t="shared" si="17"/>
        <v>-0.24627140670129272</v>
      </c>
      <c r="G161" s="450"/>
      <c r="H161" s="450"/>
      <c r="I161" s="450"/>
      <c r="J161" s="450"/>
      <c r="K161" s="450"/>
      <c r="L161" s="450"/>
      <c r="M161" s="450"/>
      <c r="N161" s="450"/>
      <c r="O161" s="450"/>
      <c r="P161" s="450"/>
      <c r="Q161" s="421"/>
      <c r="U161" s="441"/>
    </row>
    <row r="162" spans="1:21" ht="15.75" customHeight="1" x14ac:dyDescent="0.2">
      <c r="A162" s="451">
        <v>10</v>
      </c>
      <c r="B162" s="447" t="s">
        <v>659</v>
      </c>
      <c r="C162" s="479">
        <f>C161*C158</f>
        <v>687048.03624912619</v>
      </c>
      <c r="D162" s="479">
        <f>LN_IE9*LN_IE6</f>
        <v>481695.35237492318</v>
      </c>
      <c r="E162" s="479">
        <f t="shared" si="16"/>
        <v>-205352.68387420301</v>
      </c>
      <c r="F162" s="449">
        <f t="shared" si="17"/>
        <v>-0.29889130459539126</v>
      </c>
      <c r="G162" s="480"/>
      <c r="H162" s="480"/>
      <c r="I162" s="480"/>
      <c r="J162" s="480"/>
      <c r="K162" s="480"/>
      <c r="L162" s="480"/>
      <c r="M162" s="480"/>
      <c r="N162" s="480"/>
      <c r="O162" s="480"/>
      <c r="P162" s="480"/>
      <c r="Q162" s="421"/>
      <c r="U162" s="441"/>
    </row>
    <row r="163" spans="1:21" ht="15.75" customHeight="1" x14ac:dyDescent="0.2">
      <c r="A163" s="451">
        <v>11</v>
      </c>
      <c r="B163" s="447" t="s">
        <v>139</v>
      </c>
      <c r="C163" s="456">
        <v>653</v>
      </c>
      <c r="D163" s="456">
        <v>634</v>
      </c>
      <c r="E163" s="506">
        <f t="shared" si="16"/>
        <v>-19</v>
      </c>
      <c r="F163" s="449">
        <f t="shared" si="17"/>
        <v>-2.9096477794793262E-2</v>
      </c>
      <c r="G163" s="457"/>
      <c r="H163" s="457"/>
      <c r="I163" s="457"/>
      <c r="J163" s="457"/>
      <c r="K163" s="457"/>
      <c r="L163" s="457"/>
      <c r="M163" s="457"/>
      <c r="N163" s="457"/>
      <c r="O163" s="457"/>
      <c r="P163" s="457"/>
      <c r="Q163" s="421"/>
      <c r="U163" s="481"/>
    </row>
    <row r="164" spans="1:21" ht="15.75" customHeight="1" x14ac:dyDescent="0.2">
      <c r="A164" s="451">
        <v>12</v>
      </c>
      <c r="B164" s="447" t="s">
        <v>643</v>
      </c>
      <c r="C164" s="465">
        <f>IF(C163=0,0,C154/C163)</f>
        <v>1831.8774885145483</v>
      </c>
      <c r="D164" s="465">
        <f>IF(LN_IE11=0,0,LN_IE2/LN_IE11)</f>
        <v>1950.9432176656151</v>
      </c>
      <c r="E164" s="465">
        <f t="shared" si="16"/>
        <v>119.06572915106676</v>
      </c>
      <c r="F164" s="449">
        <f t="shared" si="17"/>
        <v>6.4996556755340662E-2</v>
      </c>
      <c r="G164" s="450"/>
      <c r="H164" s="450"/>
      <c r="I164" s="450"/>
      <c r="J164" s="450"/>
      <c r="K164" s="450"/>
      <c r="L164" s="450"/>
      <c r="M164" s="450"/>
      <c r="N164" s="450"/>
      <c r="O164" s="450"/>
      <c r="P164" s="450"/>
      <c r="Q164" s="421"/>
      <c r="U164" s="462"/>
    </row>
    <row r="165" spans="1:21" ht="15.75" customHeight="1" x14ac:dyDescent="0.2">
      <c r="A165" s="451">
        <v>13</v>
      </c>
      <c r="B165" s="447" t="s">
        <v>644</v>
      </c>
      <c r="C165" s="466">
        <f>IF(C156=0,0,C163/C156)</f>
        <v>3.1394230769230771</v>
      </c>
      <c r="D165" s="466">
        <f>IF(LN_IE4=0,0,LN_IE11/LN_IE4)</f>
        <v>2.9905660377358489</v>
      </c>
      <c r="E165" s="466">
        <f t="shared" si="16"/>
        <v>-0.14885703918722815</v>
      </c>
      <c r="F165" s="449">
        <f t="shared" si="17"/>
        <v>-4.7415412176023665E-2</v>
      </c>
      <c r="G165" s="450"/>
      <c r="H165" s="450"/>
      <c r="I165" s="450"/>
      <c r="J165" s="450"/>
      <c r="K165" s="450"/>
      <c r="L165" s="450"/>
      <c r="M165" s="450"/>
      <c r="N165" s="450"/>
      <c r="O165" s="450"/>
      <c r="P165" s="450"/>
      <c r="Q165" s="421"/>
      <c r="U165" s="441"/>
    </row>
    <row r="166" spans="1:21" ht="15.75" customHeight="1" x14ac:dyDescent="0.2">
      <c r="A166" s="451"/>
      <c r="B166" s="447"/>
      <c r="C166" s="448"/>
      <c r="D166" s="448"/>
      <c r="E166" s="448"/>
      <c r="F166" s="449"/>
      <c r="G166" s="450"/>
      <c r="H166" s="450"/>
      <c r="I166" s="450"/>
      <c r="J166" s="450"/>
      <c r="K166" s="450"/>
      <c r="L166" s="450"/>
      <c r="M166" s="450"/>
      <c r="N166" s="450"/>
      <c r="O166" s="450"/>
      <c r="P166" s="450"/>
      <c r="Q166" s="421"/>
      <c r="U166" s="469"/>
    </row>
    <row r="167" spans="1:21" ht="15.75" customHeight="1" x14ac:dyDescent="0.25">
      <c r="A167" s="451"/>
      <c r="B167" s="446" t="s">
        <v>691</v>
      </c>
      <c r="C167" s="448"/>
      <c r="D167" s="448"/>
      <c r="E167" s="448"/>
      <c r="F167" s="449"/>
      <c r="G167" s="450"/>
      <c r="H167" s="450"/>
      <c r="I167" s="450"/>
      <c r="J167" s="450"/>
      <c r="K167" s="450"/>
      <c r="L167" s="450"/>
      <c r="M167" s="450"/>
      <c r="N167" s="450"/>
      <c r="O167" s="450"/>
      <c r="P167" s="450"/>
      <c r="Q167" s="421"/>
      <c r="U167" s="441"/>
    </row>
    <row r="168" spans="1:21" ht="15.75" customHeight="1" x14ac:dyDescent="0.2">
      <c r="A168" s="451">
        <v>14</v>
      </c>
      <c r="B168" s="447" t="s">
        <v>646</v>
      </c>
      <c r="C168" s="511">
        <v>4106382</v>
      </c>
      <c r="D168" s="511">
        <v>5144701</v>
      </c>
      <c r="E168" s="511">
        <f t="shared" ref="E168:E176" si="18">D168-C168</f>
        <v>1038319</v>
      </c>
      <c r="F168" s="449">
        <f t="shared" ref="F168:F176" si="19">IF(C168=0,0,E168/C168)</f>
        <v>0.25285494627630845</v>
      </c>
      <c r="G168" s="512"/>
      <c r="H168" s="512"/>
      <c r="I168" s="512"/>
      <c r="J168" s="512"/>
      <c r="K168" s="512"/>
      <c r="L168" s="512"/>
      <c r="M168" s="512"/>
      <c r="N168" s="512"/>
      <c r="O168" s="512"/>
      <c r="P168" s="512"/>
      <c r="Q168" s="421"/>
      <c r="U168" s="441"/>
    </row>
    <row r="169" spans="1:21" ht="15.75" customHeight="1" x14ac:dyDescent="0.2">
      <c r="A169" s="451">
        <v>15</v>
      </c>
      <c r="B169" s="447" t="s">
        <v>647</v>
      </c>
      <c r="C169" s="511">
        <v>565931</v>
      </c>
      <c r="D169" s="511">
        <v>621811</v>
      </c>
      <c r="E169" s="511">
        <f t="shared" si="18"/>
        <v>55880</v>
      </c>
      <c r="F169" s="449">
        <f t="shared" si="19"/>
        <v>9.873995239702367E-2</v>
      </c>
      <c r="G169" s="512"/>
      <c r="H169" s="512"/>
      <c r="I169" s="512"/>
      <c r="J169" s="512"/>
      <c r="K169" s="512"/>
      <c r="L169" s="512"/>
      <c r="M169" s="512"/>
      <c r="N169" s="512"/>
      <c r="O169" s="512"/>
      <c r="P169" s="512"/>
      <c r="Q169" s="421"/>
      <c r="U169" s="513"/>
    </row>
    <row r="170" spans="1:21" ht="15.75" customHeight="1" x14ac:dyDescent="0.2">
      <c r="A170" s="451">
        <v>16</v>
      </c>
      <c r="B170" s="447" t="s">
        <v>648</v>
      </c>
      <c r="C170" s="453">
        <f>IF(C168=0,0,C169/C168)</f>
        <v>0.13781742663006025</v>
      </c>
      <c r="D170" s="453">
        <f>IF(LN_IE14=0,0,LN_IE15/LN_IE14)</f>
        <v>0.120864361213606</v>
      </c>
      <c r="E170" s="454">
        <f t="shared" si="18"/>
        <v>-1.6953065416454249E-2</v>
      </c>
      <c r="F170" s="449">
        <f t="shared" si="19"/>
        <v>-0.12301104316771873</v>
      </c>
      <c r="G170" s="472"/>
      <c r="H170" s="472"/>
      <c r="I170" s="472"/>
      <c r="J170" s="472"/>
      <c r="K170" s="472"/>
      <c r="L170" s="472"/>
      <c r="M170" s="472"/>
      <c r="N170" s="472"/>
      <c r="O170" s="472"/>
      <c r="P170" s="472"/>
      <c r="Q170" s="421"/>
      <c r="U170" s="513"/>
    </row>
    <row r="171" spans="1:21" ht="15.75" customHeight="1" x14ac:dyDescent="0.2">
      <c r="A171" s="451">
        <v>17</v>
      </c>
      <c r="B171" s="447" t="s">
        <v>649</v>
      </c>
      <c r="C171" s="453">
        <f>IF(C153=0,0,C168/C153)</f>
        <v>1.2256813972542635</v>
      </c>
      <c r="D171" s="453">
        <f>IF(LN_IE1=0,0,LN_IE14/LN_IE1)</f>
        <v>1.5551360256332749</v>
      </c>
      <c r="E171" s="454">
        <f t="shared" si="18"/>
        <v>0.3294546283790114</v>
      </c>
      <c r="F171" s="449">
        <f t="shared" si="19"/>
        <v>0.26879303962436424</v>
      </c>
      <c r="G171" s="472"/>
      <c r="H171" s="472"/>
      <c r="I171" s="472"/>
      <c r="J171" s="472"/>
      <c r="K171" s="472"/>
      <c r="L171" s="472"/>
      <c r="M171" s="472"/>
      <c r="N171" s="472"/>
      <c r="O171" s="472"/>
      <c r="P171" s="472"/>
      <c r="Q171" s="421"/>
      <c r="U171" s="458"/>
    </row>
    <row r="172" spans="1:21" ht="15.75" customHeight="1" x14ac:dyDescent="0.2">
      <c r="A172" s="451">
        <v>18</v>
      </c>
      <c r="B172" s="447" t="s">
        <v>650</v>
      </c>
      <c r="C172" s="463">
        <f>C171*C156</f>
        <v>254.9417306288868</v>
      </c>
      <c r="D172" s="463">
        <f>LN_IE17*LN_IE4</f>
        <v>329.68883743425425</v>
      </c>
      <c r="E172" s="463">
        <f t="shared" si="18"/>
        <v>74.747106805367451</v>
      </c>
      <c r="F172" s="449">
        <f t="shared" si="19"/>
        <v>0.29319290577098656</v>
      </c>
      <c r="G172" s="514"/>
      <c r="H172" s="514"/>
      <c r="I172" s="514"/>
      <c r="J172" s="514"/>
      <c r="K172" s="514"/>
      <c r="L172" s="514"/>
      <c r="M172" s="514"/>
      <c r="N172" s="514"/>
      <c r="O172" s="514"/>
      <c r="P172" s="514"/>
      <c r="Q172" s="421"/>
      <c r="U172" s="458"/>
    </row>
    <row r="173" spans="1:21" ht="15.75" customHeight="1" x14ac:dyDescent="0.2">
      <c r="A173" s="451">
        <v>19</v>
      </c>
      <c r="B173" s="452" t="s">
        <v>651</v>
      </c>
      <c r="C173" s="465">
        <f>IF(C172=0,0,C169/C172)</f>
        <v>2219.8445056600544</v>
      </c>
      <c r="D173" s="465">
        <f>IF(LN_IE18=0,0,LN_IE15/LN_IE18)</f>
        <v>1886.0541498436387</v>
      </c>
      <c r="E173" s="465">
        <f t="shared" si="18"/>
        <v>-333.79035581641574</v>
      </c>
      <c r="F173" s="449">
        <f t="shared" si="19"/>
        <v>-0.1503665481817906</v>
      </c>
      <c r="G173" s="450"/>
      <c r="H173" s="450"/>
      <c r="I173" s="450"/>
      <c r="J173" s="450"/>
      <c r="K173" s="450"/>
      <c r="L173" s="450"/>
      <c r="M173" s="450"/>
      <c r="N173" s="450"/>
      <c r="O173" s="450"/>
      <c r="P173" s="450"/>
      <c r="Q173" s="421"/>
      <c r="U173" s="482"/>
    </row>
    <row r="174" spans="1:21" ht="15.75" customHeight="1" x14ac:dyDescent="0.2">
      <c r="A174" s="451">
        <v>20</v>
      </c>
      <c r="B174" s="510" t="s">
        <v>692</v>
      </c>
      <c r="C174" s="465">
        <f>C61-C173</f>
        <v>5646.6898981429495</v>
      </c>
      <c r="D174" s="465">
        <f>LN_IB18-LN_IE19</f>
        <v>5321.9970033931841</v>
      </c>
      <c r="E174" s="465">
        <f t="shared" si="18"/>
        <v>-324.6928947497654</v>
      </c>
      <c r="F174" s="449">
        <f t="shared" si="19"/>
        <v>-5.7501456712993664E-2</v>
      </c>
      <c r="G174" s="450"/>
      <c r="H174" s="450"/>
      <c r="I174" s="450"/>
      <c r="J174" s="450"/>
      <c r="K174" s="450"/>
      <c r="L174" s="450"/>
      <c r="M174" s="450"/>
      <c r="N174" s="450"/>
      <c r="O174" s="450"/>
      <c r="P174" s="450"/>
      <c r="Q174" s="421"/>
      <c r="U174" s="441"/>
    </row>
    <row r="175" spans="1:21" ht="15.75" customHeight="1" x14ac:dyDescent="0.2">
      <c r="A175" s="451">
        <v>21</v>
      </c>
      <c r="B175" s="510" t="s">
        <v>693</v>
      </c>
      <c r="C175" s="465">
        <f>C32-C173</f>
        <v>2720.9707690230248</v>
      </c>
      <c r="D175" s="465">
        <f>LN_IA16-LN_IE19</f>
        <v>3674.9267964453338</v>
      </c>
      <c r="E175" s="465">
        <f t="shared" si="18"/>
        <v>953.95602742230903</v>
      </c>
      <c r="F175" s="449">
        <f t="shared" si="19"/>
        <v>0.35059400059811396</v>
      </c>
      <c r="G175" s="450"/>
      <c r="H175" s="450"/>
      <c r="I175" s="450"/>
      <c r="J175" s="450"/>
      <c r="K175" s="450"/>
      <c r="L175" s="450"/>
      <c r="M175" s="450"/>
      <c r="N175" s="450"/>
      <c r="O175" s="450"/>
      <c r="P175" s="450"/>
      <c r="Q175" s="421"/>
      <c r="U175" s="441"/>
    </row>
    <row r="176" spans="1:21" ht="15.75" customHeight="1" x14ac:dyDescent="0.2">
      <c r="A176" s="451">
        <v>22</v>
      </c>
      <c r="B176" s="452" t="s">
        <v>662</v>
      </c>
      <c r="C176" s="441">
        <f>C175*C172</f>
        <v>693688.99684534292</v>
      </c>
      <c r="D176" s="441">
        <f>LN_IE21*LN_IE18</f>
        <v>1211582.3431760503</v>
      </c>
      <c r="E176" s="441">
        <f t="shared" si="18"/>
        <v>517893.34633070743</v>
      </c>
      <c r="F176" s="449">
        <f t="shared" si="19"/>
        <v>0.74657858015033662</v>
      </c>
      <c r="G176" s="477"/>
      <c r="H176" s="477"/>
      <c r="I176" s="477"/>
      <c r="J176" s="477"/>
      <c r="K176" s="477"/>
      <c r="L176" s="477"/>
      <c r="M176" s="477"/>
      <c r="N176" s="477"/>
      <c r="O176" s="477"/>
      <c r="P176" s="477"/>
      <c r="Q176" s="421"/>
      <c r="U176" s="441"/>
    </row>
    <row r="177" spans="1:250" ht="15.75" customHeight="1" x14ac:dyDescent="0.2">
      <c r="A177" s="451"/>
      <c r="B177" s="447"/>
      <c r="C177" s="441"/>
      <c r="D177" s="441"/>
      <c r="E177" s="441"/>
      <c r="F177" s="449"/>
      <c r="G177" s="477"/>
      <c r="H177" s="477"/>
      <c r="I177" s="477"/>
      <c r="J177" s="477"/>
      <c r="K177" s="477"/>
      <c r="L177" s="477"/>
      <c r="M177" s="477"/>
      <c r="N177" s="477"/>
      <c r="O177" s="477"/>
      <c r="P177" s="477"/>
      <c r="Q177" s="421"/>
      <c r="U177" s="441"/>
    </row>
    <row r="178" spans="1:250" ht="15.75" customHeight="1" x14ac:dyDescent="0.25">
      <c r="A178" s="451"/>
      <c r="B178" s="470" t="s">
        <v>694</v>
      </c>
      <c r="C178" s="441"/>
      <c r="D178" s="441"/>
      <c r="E178" s="441"/>
      <c r="F178" s="449"/>
      <c r="G178" s="477"/>
      <c r="H178" s="477"/>
      <c r="I178" s="477"/>
      <c r="J178" s="477"/>
      <c r="K178" s="477"/>
      <c r="L178" s="477"/>
      <c r="M178" s="477"/>
      <c r="N178" s="477"/>
      <c r="O178" s="477"/>
      <c r="P178" s="477"/>
      <c r="Q178" s="421"/>
      <c r="U178" s="441"/>
    </row>
    <row r="179" spans="1:250" ht="15.75" customHeight="1" x14ac:dyDescent="0.2">
      <c r="A179" s="451">
        <v>23</v>
      </c>
      <c r="B179" s="447" t="s">
        <v>653</v>
      </c>
      <c r="C179" s="448">
        <f>C153+C168</f>
        <v>7456667</v>
      </c>
      <c r="D179" s="448">
        <f>LN_IE1+LN_IE14</f>
        <v>8452901</v>
      </c>
      <c r="E179" s="448">
        <f>D179-C179</f>
        <v>996234</v>
      </c>
      <c r="F179" s="449">
        <f>IF(C179=0,0,E179/C179)</f>
        <v>0.13360312321845672</v>
      </c>
      <c r="G179" s="450"/>
      <c r="H179" s="450"/>
      <c r="I179" s="450"/>
      <c r="J179" s="450"/>
      <c r="K179" s="450"/>
      <c r="L179" s="450"/>
      <c r="M179" s="450"/>
      <c r="N179" s="450"/>
      <c r="O179" s="450"/>
      <c r="P179" s="450"/>
      <c r="Q179" s="421"/>
      <c r="U179" s="441"/>
    </row>
    <row r="180" spans="1:250" ht="15.75" customHeight="1" x14ac:dyDescent="0.2">
      <c r="A180" s="451">
        <v>24</v>
      </c>
      <c r="B180" s="447" t="s">
        <v>654</v>
      </c>
      <c r="C180" s="448">
        <f>C154+C169</f>
        <v>1762147</v>
      </c>
      <c r="D180" s="448">
        <f>LN_IE15+LN_IE2</f>
        <v>1858709</v>
      </c>
      <c r="E180" s="448">
        <f>D180-C180</f>
        <v>96562</v>
      </c>
      <c r="F180" s="449">
        <f>IF(C180=0,0,E180/C180)</f>
        <v>5.4797925485217745E-2</v>
      </c>
      <c r="G180" s="450"/>
      <c r="H180" s="450"/>
      <c r="I180" s="450"/>
      <c r="J180" s="450"/>
      <c r="K180" s="450"/>
      <c r="L180" s="450"/>
      <c r="M180" s="450"/>
      <c r="N180" s="450"/>
      <c r="O180" s="450"/>
      <c r="P180" s="450"/>
      <c r="Q180" s="421"/>
      <c r="U180" s="441"/>
    </row>
    <row r="181" spans="1:250" ht="15.75" customHeight="1" x14ac:dyDescent="0.2">
      <c r="A181" s="451">
        <v>25</v>
      </c>
      <c r="B181" s="447" t="s">
        <v>655</v>
      </c>
      <c r="C181" s="448">
        <f>C179-C180</f>
        <v>5694520</v>
      </c>
      <c r="D181" s="448">
        <f>LN_IE23-LN_IE24</f>
        <v>6594192</v>
      </c>
      <c r="E181" s="448">
        <f>D181-C181</f>
        <v>899672</v>
      </c>
      <c r="F181" s="449">
        <f>IF(C181=0,0,E181/C181)</f>
        <v>0.15798908424239444</v>
      </c>
      <c r="G181" s="450"/>
      <c r="H181" s="450"/>
      <c r="I181" s="450"/>
      <c r="J181" s="450"/>
      <c r="K181" s="450"/>
      <c r="L181" s="450"/>
      <c r="M181" s="450"/>
      <c r="N181" s="450"/>
      <c r="O181" s="450"/>
      <c r="P181" s="450"/>
      <c r="Q181" s="421"/>
      <c r="U181" s="441"/>
    </row>
    <row r="182" spans="1:250" ht="15.75" customHeight="1" x14ac:dyDescent="0.2">
      <c r="A182" s="451"/>
      <c r="B182" s="447"/>
      <c r="C182" s="448"/>
      <c r="D182" s="448"/>
      <c r="E182" s="448"/>
      <c r="F182" s="449"/>
      <c r="G182" s="450"/>
      <c r="H182" s="450"/>
      <c r="I182" s="450"/>
      <c r="J182" s="450"/>
      <c r="K182" s="450"/>
      <c r="L182" s="450"/>
      <c r="M182" s="450"/>
      <c r="N182" s="450"/>
      <c r="O182" s="450"/>
      <c r="P182" s="450"/>
      <c r="Q182" s="421"/>
      <c r="U182" s="441"/>
    </row>
    <row r="183" spans="1:250" ht="15.75" customHeight="1" x14ac:dyDescent="0.2">
      <c r="A183" s="451">
        <v>26</v>
      </c>
      <c r="B183" s="447" t="s">
        <v>695</v>
      </c>
      <c r="C183" s="448">
        <f>C162+C176</f>
        <v>1380737.033094469</v>
      </c>
      <c r="D183" s="448">
        <f>LN_IE10+LN_IE22</f>
        <v>1693277.6955509735</v>
      </c>
      <c r="E183" s="441">
        <f>D183-C183</f>
        <v>312540.66245650453</v>
      </c>
      <c r="F183" s="449">
        <f>IF(C183=0,0,E183/C183)</f>
        <v>0.22635784726947403</v>
      </c>
      <c r="G183" s="477"/>
      <c r="H183" s="477"/>
      <c r="I183" s="477"/>
      <c r="J183" s="477"/>
      <c r="K183" s="477"/>
      <c r="L183" s="477"/>
      <c r="M183" s="477"/>
      <c r="N183" s="477"/>
      <c r="O183" s="477"/>
      <c r="P183" s="477"/>
      <c r="Q183" s="421"/>
      <c r="U183" s="476"/>
    </row>
    <row r="184" spans="1:250" ht="15.75" customHeight="1" x14ac:dyDescent="0.2">
      <c r="A184" s="451"/>
      <c r="B184" s="447"/>
      <c r="C184" s="448"/>
      <c r="D184" s="448"/>
      <c r="E184" s="441"/>
      <c r="F184" s="449"/>
      <c r="G184" s="477"/>
      <c r="H184" s="477"/>
      <c r="I184" s="477"/>
      <c r="J184" s="477"/>
      <c r="K184" s="477"/>
      <c r="L184" s="477"/>
      <c r="M184" s="477"/>
      <c r="N184" s="477"/>
      <c r="O184" s="477"/>
      <c r="P184" s="477"/>
      <c r="Q184" s="421"/>
      <c r="U184" s="476"/>
    </row>
    <row r="185" spans="1:250" ht="15.75" customHeight="1" x14ac:dyDescent="0.25">
      <c r="A185" s="443" t="s">
        <v>181</v>
      </c>
      <c r="B185" s="444" t="s">
        <v>696</v>
      </c>
      <c r="C185" s="515"/>
      <c r="D185" s="443"/>
      <c r="E185" s="515"/>
      <c r="F185" s="443"/>
      <c r="G185" s="443"/>
      <c r="H185" s="515"/>
      <c r="I185" s="443"/>
      <c r="J185" s="515"/>
      <c r="K185" s="443"/>
      <c r="L185" s="515"/>
      <c r="M185" s="443"/>
      <c r="N185" s="515"/>
      <c r="O185" s="443"/>
      <c r="P185" s="515"/>
      <c r="Q185" s="443"/>
      <c r="R185" s="515"/>
      <c r="S185" s="443"/>
      <c r="T185" s="515"/>
      <c r="U185" s="443"/>
      <c r="V185" s="515"/>
      <c r="W185" s="443"/>
      <c r="X185" s="515"/>
      <c r="Y185" s="443"/>
      <c r="Z185" s="515"/>
      <c r="AA185" s="443"/>
      <c r="AB185" s="515"/>
      <c r="AC185" s="443"/>
      <c r="AD185" s="515"/>
      <c r="AE185" s="443"/>
      <c r="AF185" s="515"/>
      <c r="AG185" s="443"/>
      <c r="AH185" s="515"/>
      <c r="AI185" s="443"/>
      <c r="AJ185" s="515"/>
      <c r="AK185" s="443"/>
      <c r="AL185" s="515"/>
      <c r="AM185" s="443"/>
      <c r="AN185" s="515"/>
      <c r="AO185" s="443"/>
      <c r="AP185" s="515"/>
      <c r="AQ185" s="443"/>
      <c r="AR185" s="515"/>
      <c r="AS185" s="443"/>
      <c r="AT185" s="515"/>
      <c r="AU185" s="443"/>
      <c r="AV185" s="515"/>
      <c r="AW185" s="443"/>
      <c r="AX185" s="515"/>
      <c r="AY185" s="443"/>
      <c r="AZ185" s="515"/>
      <c r="BA185" s="443"/>
      <c r="BB185" s="515"/>
      <c r="BC185" s="443"/>
      <c r="BD185" s="515"/>
      <c r="BE185" s="443"/>
      <c r="BF185" s="515"/>
      <c r="BG185" s="443"/>
      <c r="BH185" s="515"/>
      <c r="BI185" s="443"/>
      <c r="BJ185" s="515"/>
      <c r="BK185" s="443"/>
      <c r="BL185" s="515"/>
      <c r="BM185" s="443"/>
      <c r="BN185" s="515"/>
      <c r="BO185" s="443"/>
      <c r="BP185" s="515"/>
      <c r="BQ185" s="443"/>
      <c r="BR185" s="515"/>
      <c r="BS185" s="443"/>
      <c r="BT185" s="515"/>
      <c r="BU185" s="443"/>
      <c r="BV185" s="515"/>
      <c r="BW185" s="443"/>
      <c r="BX185" s="515"/>
      <c r="BY185" s="443"/>
      <c r="BZ185" s="515"/>
      <c r="CA185" s="443"/>
      <c r="CB185" s="515"/>
      <c r="CC185" s="443"/>
      <c r="CD185" s="515"/>
      <c r="CE185" s="443"/>
      <c r="CF185" s="515"/>
      <c r="CG185" s="443"/>
      <c r="CH185" s="515"/>
      <c r="CI185" s="443"/>
      <c r="CJ185" s="515"/>
      <c r="CK185" s="443"/>
      <c r="CL185" s="515"/>
      <c r="CM185" s="443"/>
      <c r="CN185" s="515"/>
      <c r="CO185" s="443"/>
      <c r="CP185" s="515"/>
      <c r="CQ185" s="443"/>
      <c r="CR185" s="515"/>
      <c r="CS185" s="443"/>
      <c r="CT185" s="515"/>
      <c r="CU185" s="443"/>
      <c r="CV185" s="515"/>
      <c r="CW185" s="443"/>
      <c r="CX185" s="515"/>
      <c r="CY185" s="443"/>
      <c r="CZ185" s="515"/>
      <c r="DA185" s="443"/>
      <c r="DB185" s="515"/>
      <c r="DC185" s="443"/>
      <c r="DD185" s="515"/>
      <c r="DE185" s="443"/>
      <c r="DF185" s="515"/>
      <c r="DG185" s="443"/>
      <c r="DH185" s="515"/>
      <c r="DI185" s="443"/>
      <c r="DJ185" s="515"/>
      <c r="DK185" s="443"/>
      <c r="DL185" s="515"/>
      <c r="DM185" s="443"/>
      <c r="DN185" s="515"/>
      <c r="DO185" s="443"/>
      <c r="DP185" s="515"/>
      <c r="DQ185" s="443"/>
      <c r="DR185" s="515"/>
      <c r="DS185" s="443"/>
      <c r="DT185" s="515"/>
      <c r="DU185" s="443"/>
      <c r="DV185" s="515"/>
      <c r="DW185" s="443"/>
      <c r="DX185" s="515"/>
      <c r="DY185" s="443"/>
      <c r="DZ185" s="515"/>
      <c r="EA185" s="443"/>
      <c r="EB185" s="515"/>
      <c r="EC185" s="443"/>
      <c r="ED185" s="515"/>
      <c r="EE185" s="443"/>
      <c r="EF185" s="515"/>
      <c r="EG185" s="443"/>
      <c r="EH185" s="515"/>
      <c r="EI185" s="443"/>
      <c r="EJ185" s="515"/>
      <c r="EK185" s="443"/>
      <c r="EL185" s="515"/>
      <c r="EM185" s="443"/>
      <c r="EN185" s="515"/>
      <c r="EO185" s="443"/>
      <c r="EP185" s="515"/>
      <c r="EQ185" s="443"/>
      <c r="ER185" s="515"/>
      <c r="ES185" s="443"/>
      <c r="ET185" s="515"/>
      <c r="EU185" s="443"/>
      <c r="EV185" s="515"/>
      <c r="EW185" s="443"/>
      <c r="EX185" s="515"/>
      <c r="EY185" s="443"/>
      <c r="EZ185" s="515"/>
      <c r="FA185" s="443"/>
      <c r="FB185" s="515"/>
      <c r="FC185" s="443"/>
      <c r="FD185" s="515"/>
      <c r="FE185" s="443"/>
      <c r="FF185" s="515"/>
      <c r="FG185" s="443"/>
      <c r="FH185" s="515"/>
      <c r="FI185" s="443"/>
      <c r="FJ185" s="515"/>
      <c r="FK185" s="443"/>
      <c r="FL185" s="515"/>
      <c r="FM185" s="443"/>
      <c r="FN185" s="515"/>
      <c r="FO185" s="443"/>
      <c r="FP185" s="515"/>
      <c r="FQ185" s="443"/>
      <c r="FR185" s="515"/>
      <c r="FS185" s="443"/>
      <c r="FT185" s="515"/>
      <c r="FU185" s="443"/>
      <c r="FV185" s="515"/>
      <c r="FW185" s="443"/>
      <c r="FX185" s="515"/>
      <c r="FY185" s="443"/>
      <c r="FZ185" s="515"/>
      <c r="GA185" s="443"/>
      <c r="GB185" s="515"/>
      <c r="GC185" s="443"/>
      <c r="GD185" s="515"/>
      <c r="GE185" s="443"/>
      <c r="GF185" s="515"/>
      <c r="GG185" s="443"/>
      <c r="GH185" s="515"/>
      <c r="GI185" s="443"/>
      <c r="GJ185" s="515"/>
      <c r="GK185" s="443"/>
      <c r="GL185" s="515"/>
      <c r="GM185" s="443"/>
      <c r="GN185" s="515"/>
      <c r="GO185" s="443"/>
      <c r="GP185" s="515"/>
      <c r="GQ185" s="443"/>
      <c r="GR185" s="515"/>
      <c r="GS185" s="443"/>
      <c r="GT185" s="515"/>
      <c r="GU185" s="443"/>
      <c r="GV185" s="515"/>
      <c r="GW185" s="443"/>
      <c r="GX185" s="515"/>
      <c r="GY185" s="443"/>
      <c r="GZ185" s="515"/>
      <c r="HA185" s="443"/>
      <c r="HB185" s="515"/>
      <c r="HC185" s="443"/>
      <c r="HD185" s="515"/>
      <c r="HE185" s="443"/>
      <c r="HF185" s="515"/>
      <c r="HG185" s="443"/>
      <c r="HH185" s="515"/>
      <c r="HI185" s="443"/>
      <c r="HJ185" s="515"/>
      <c r="HK185" s="443"/>
      <c r="HL185" s="515"/>
      <c r="HM185" s="443"/>
      <c r="HN185" s="515"/>
      <c r="HO185" s="443"/>
      <c r="HP185" s="515"/>
      <c r="HQ185" s="443"/>
      <c r="HR185" s="515"/>
      <c r="HS185" s="443"/>
      <c r="HT185" s="515"/>
      <c r="HU185" s="443"/>
      <c r="HV185" s="515"/>
      <c r="HW185" s="443"/>
      <c r="HX185" s="515"/>
      <c r="HY185" s="443"/>
      <c r="HZ185" s="515"/>
      <c r="IA185" s="443"/>
      <c r="IB185" s="515"/>
      <c r="IC185" s="443"/>
      <c r="ID185" s="515"/>
      <c r="IE185" s="443"/>
      <c r="IF185" s="515"/>
      <c r="IG185" s="443"/>
      <c r="IH185" s="515"/>
      <c r="II185" s="443"/>
      <c r="IJ185" s="515"/>
      <c r="IK185" s="443"/>
      <c r="IL185" s="515"/>
      <c r="IM185" s="443"/>
      <c r="IN185" s="515"/>
      <c r="IO185" s="443"/>
      <c r="IP185" s="515"/>
    </row>
    <row r="186" spans="1:250" ht="15.75" customHeight="1" x14ac:dyDescent="0.25">
      <c r="A186" s="443"/>
      <c r="B186" s="495"/>
      <c r="C186" s="474"/>
      <c r="D186" s="474"/>
      <c r="E186" s="474"/>
      <c r="F186" s="449"/>
      <c r="G186" s="475"/>
      <c r="H186" s="475"/>
      <c r="I186" s="475"/>
      <c r="J186" s="475"/>
      <c r="K186" s="475"/>
      <c r="L186" s="475"/>
      <c r="M186" s="475"/>
      <c r="N186" s="475"/>
      <c r="O186" s="475"/>
      <c r="P186" s="475"/>
      <c r="Q186" s="421"/>
      <c r="U186" s="476"/>
    </row>
    <row r="187" spans="1:250" ht="15.75" customHeight="1" x14ac:dyDescent="0.25">
      <c r="A187" s="451"/>
      <c r="B187" s="446" t="s">
        <v>697</v>
      </c>
      <c r="C187" s="496"/>
      <c r="D187" s="496"/>
      <c r="E187" s="496"/>
      <c r="F187" s="496"/>
      <c r="G187" s="498"/>
      <c r="H187" s="498"/>
      <c r="I187" s="498"/>
      <c r="J187" s="498"/>
      <c r="K187" s="498"/>
      <c r="L187" s="498"/>
      <c r="M187" s="498"/>
      <c r="N187" s="498"/>
      <c r="O187" s="498"/>
      <c r="P187" s="498"/>
      <c r="Q187" s="421"/>
      <c r="U187" s="476"/>
    </row>
    <row r="188" spans="1:250" ht="15.75" customHeight="1" x14ac:dyDescent="0.2">
      <c r="A188" s="428">
        <v>1</v>
      </c>
      <c r="B188" s="447" t="s">
        <v>637</v>
      </c>
      <c r="C188" s="448">
        <f>C118+C153</f>
        <v>6525956</v>
      </c>
      <c r="D188" s="448">
        <f>LN_ID1+LN_IE1</f>
        <v>7157891</v>
      </c>
      <c r="E188" s="448">
        <f t="shared" ref="E188:E200" si="20">D188-C188</f>
        <v>631935</v>
      </c>
      <c r="F188" s="449">
        <f t="shared" ref="F188:F200" si="21">IF(C188=0,0,E188/C188)</f>
        <v>9.6834088369581406E-2</v>
      </c>
      <c r="G188" s="450"/>
      <c r="H188" s="450"/>
      <c r="I188" s="450"/>
      <c r="J188" s="450"/>
      <c r="K188" s="450"/>
      <c r="L188" s="450"/>
      <c r="M188" s="450"/>
      <c r="N188" s="450"/>
      <c r="O188" s="450"/>
      <c r="P188" s="450"/>
      <c r="Q188" s="421"/>
      <c r="U188" s="494"/>
    </row>
    <row r="189" spans="1:250" ht="15.75" customHeight="1" x14ac:dyDescent="0.2">
      <c r="A189" s="451">
        <v>2</v>
      </c>
      <c r="B189" s="447" t="s">
        <v>638</v>
      </c>
      <c r="C189" s="448">
        <f>C119+C154</f>
        <v>2015769</v>
      </c>
      <c r="D189" s="448">
        <f>LN_1D2+LN_IE2</f>
        <v>2230786</v>
      </c>
      <c r="E189" s="448">
        <f t="shared" si="20"/>
        <v>215017</v>
      </c>
      <c r="F189" s="449">
        <f t="shared" si="21"/>
        <v>0.10666748025195347</v>
      </c>
      <c r="G189" s="450"/>
      <c r="H189" s="450"/>
      <c r="I189" s="450"/>
      <c r="J189" s="450"/>
      <c r="K189" s="450"/>
      <c r="L189" s="450"/>
      <c r="M189" s="450"/>
      <c r="N189" s="450"/>
      <c r="O189" s="450"/>
      <c r="P189" s="450"/>
      <c r="Q189" s="421"/>
      <c r="U189" s="441"/>
    </row>
    <row r="190" spans="1:250" ht="15.75" customHeight="1" x14ac:dyDescent="0.2">
      <c r="A190" s="451">
        <v>3</v>
      </c>
      <c r="B190" s="452" t="s">
        <v>639</v>
      </c>
      <c r="C190" s="453">
        <f>IF(C188=0,0,C189/C188)</f>
        <v>0.30888485916852643</v>
      </c>
      <c r="D190" s="453">
        <f>IF(LN_IF1=0,0,LN_IF2/LN_IF1)</f>
        <v>0.31165408917235538</v>
      </c>
      <c r="E190" s="454">
        <f t="shared" si="20"/>
        <v>2.7692300038289486E-3</v>
      </c>
      <c r="F190" s="449">
        <f t="shared" si="21"/>
        <v>8.9652500652939639E-3</v>
      </c>
      <c r="G190" s="455"/>
      <c r="H190" s="455"/>
      <c r="I190" s="455"/>
      <c r="J190" s="455"/>
      <c r="K190" s="455"/>
      <c r="L190" s="455"/>
      <c r="M190" s="455"/>
      <c r="N190" s="455"/>
      <c r="O190" s="455"/>
      <c r="P190" s="455"/>
      <c r="Q190" s="421"/>
      <c r="U190" s="441"/>
    </row>
    <row r="191" spans="1:250" ht="15.75" customHeight="1" x14ac:dyDescent="0.2">
      <c r="A191" s="451">
        <v>4</v>
      </c>
      <c r="B191" s="447" t="s">
        <v>137</v>
      </c>
      <c r="C191" s="456">
        <f>C121+C156</f>
        <v>425</v>
      </c>
      <c r="D191" s="456">
        <f>LN_ID4+LN_IE4</f>
        <v>447</v>
      </c>
      <c r="E191" s="456">
        <f t="shared" si="20"/>
        <v>22</v>
      </c>
      <c r="F191" s="449">
        <f t="shared" si="21"/>
        <v>5.1764705882352942E-2</v>
      </c>
      <c r="G191" s="457"/>
      <c r="H191" s="457"/>
      <c r="I191" s="457"/>
      <c r="J191" s="457"/>
      <c r="K191" s="457"/>
      <c r="L191" s="457"/>
      <c r="M191" s="457"/>
      <c r="N191" s="457"/>
      <c r="O191" s="457"/>
      <c r="P191" s="457"/>
      <c r="Q191" s="421"/>
      <c r="U191" s="458"/>
    </row>
    <row r="192" spans="1:250" ht="15.75" customHeight="1" x14ac:dyDescent="0.2">
      <c r="A192" s="451">
        <v>5</v>
      </c>
      <c r="B192" s="452" t="s">
        <v>640</v>
      </c>
      <c r="C192" s="459">
        <f>IF((C121+C156)=0,0,(C123+C158)/(C121+C156))</f>
        <v>0.93546000000000007</v>
      </c>
      <c r="D192" s="459">
        <f>IF((LN_ID4+LN_IE4)=0,0,(LN_ID6+LN_IE6)/(LN_ID4+LN_IE4))</f>
        <v>0.90741387024608511</v>
      </c>
      <c r="E192" s="460">
        <f t="shared" si="20"/>
        <v>-2.8046129753914961E-2</v>
      </c>
      <c r="F192" s="449">
        <f t="shared" si="21"/>
        <v>-2.9981110634249415E-2</v>
      </c>
      <c r="G192" s="461"/>
      <c r="H192" s="461"/>
      <c r="I192" s="461"/>
      <c r="J192" s="461"/>
      <c r="K192" s="461"/>
      <c r="L192" s="461"/>
      <c r="M192" s="461"/>
      <c r="N192" s="461"/>
      <c r="O192" s="461"/>
      <c r="P192" s="461"/>
      <c r="Q192" s="421"/>
      <c r="U192" s="462"/>
    </row>
    <row r="193" spans="1:21" ht="15.75" customHeight="1" x14ac:dyDescent="0.2">
      <c r="A193" s="451">
        <v>6</v>
      </c>
      <c r="B193" s="452" t="s">
        <v>641</v>
      </c>
      <c r="C193" s="463">
        <f>C123+C158</f>
        <v>397.57050000000004</v>
      </c>
      <c r="D193" s="463">
        <f>LN_IF4*LN_IF5</f>
        <v>405.61400000000003</v>
      </c>
      <c r="E193" s="463">
        <f t="shared" si="20"/>
        <v>8.0434999999999945</v>
      </c>
      <c r="F193" s="449">
        <f t="shared" si="21"/>
        <v>2.0231631874095272E-2</v>
      </c>
      <c r="G193" s="457"/>
      <c r="H193" s="457"/>
      <c r="I193" s="457"/>
      <c r="J193" s="457"/>
      <c r="K193" s="457"/>
      <c r="L193" s="457"/>
      <c r="M193" s="457"/>
      <c r="N193" s="457"/>
      <c r="O193" s="457"/>
      <c r="P193" s="457"/>
      <c r="Q193" s="421"/>
      <c r="U193" s="464"/>
    </row>
    <row r="194" spans="1:21" ht="15.75" customHeight="1" x14ac:dyDescent="0.2">
      <c r="A194" s="451">
        <v>7</v>
      </c>
      <c r="B194" s="447" t="s">
        <v>642</v>
      </c>
      <c r="C194" s="465">
        <f>IF(C193=0,0,C189/C193)</f>
        <v>5070.2177349677595</v>
      </c>
      <c r="D194" s="465">
        <f>IF(LN_IF6=0,0,LN_IF2/LN_IF6)</f>
        <v>5499.7756487695196</v>
      </c>
      <c r="E194" s="465">
        <f t="shared" si="20"/>
        <v>429.55791380176015</v>
      </c>
      <c r="F194" s="449">
        <f t="shared" si="21"/>
        <v>8.4721788344360255E-2</v>
      </c>
      <c r="G194" s="450"/>
      <c r="H194" s="450"/>
      <c r="I194" s="450"/>
      <c r="J194" s="450"/>
      <c r="K194" s="450"/>
      <c r="L194" s="450"/>
      <c r="M194" s="450"/>
      <c r="N194" s="450"/>
      <c r="O194" s="450"/>
      <c r="P194" s="450"/>
      <c r="Q194" s="421"/>
      <c r="U194" s="462"/>
    </row>
    <row r="195" spans="1:21" ht="15.75" customHeight="1" x14ac:dyDescent="0.2">
      <c r="A195" s="451">
        <v>8</v>
      </c>
      <c r="B195" s="445" t="s">
        <v>698</v>
      </c>
      <c r="C195" s="465">
        <f>C48-C194</f>
        <v>2921.4824520921929</v>
      </c>
      <c r="D195" s="465">
        <f>LN_IB7-LN_IF7</f>
        <v>2333.5700813642998</v>
      </c>
      <c r="E195" s="465">
        <f t="shared" si="20"/>
        <v>-587.91237072789318</v>
      </c>
      <c r="F195" s="449">
        <f t="shared" si="21"/>
        <v>-0.20123768681439969</v>
      </c>
      <c r="G195" s="516"/>
      <c r="H195" s="516"/>
      <c r="I195" s="516"/>
      <c r="J195" s="516"/>
      <c r="K195" s="516"/>
      <c r="L195" s="516"/>
      <c r="M195" s="516"/>
      <c r="N195" s="516"/>
      <c r="O195" s="516"/>
      <c r="P195" s="517"/>
      <c r="Q195" s="421"/>
      <c r="U195" s="441"/>
    </row>
    <row r="196" spans="1:21" ht="15.75" customHeight="1" x14ac:dyDescent="0.2">
      <c r="A196" s="451">
        <v>9</v>
      </c>
      <c r="B196" s="452" t="s">
        <v>699</v>
      </c>
      <c r="C196" s="465">
        <f>C21-C194</f>
        <v>4346.4791141518353</v>
      </c>
      <c r="D196" s="465">
        <f>LN_IA7-LN_IF7</f>
        <v>3738.4835157465432</v>
      </c>
      <c r="E196" s="465">
        <f t="shared" si="20"/>
        <v>-607.99559840529218</v>
      </c>
      <c r="F196" s="449">
        <f t="shared" si="21"/>
        <v>-0.13988232370096995</v>
      </c>
      <c r="G196" s="450"/>
      <c r="H196" s="450"/>
      <c r="I196" s="450"/>
      <c r="J196" s="450"/>
      <c r="K196" s="450"/>
      <c r="L196" s="450"/>
      <c r="M196" s="450"/>
      <c r="N196" s="450"/>
      <c r="O196" s="450"/>
      <c r="P196" s="450"/>
      <c r="Q196" s="421"/>
      <c r="U196" s="518"/>
    </row>
    <row r="197" spans="1:21" ht="15.75" customHeight="1" x14ac:dyDescent="0.2">
      <c r="A197" s="451">
        <v>10</v>
      </c>
      <c r="B197" s="447" t="s">
        <v>659</v>
      </c>
      <c r="C197" s="479">
        <f>C127+C162</f>
        <v>1728031.8746529021</v>
      </c>
      <c r="D197" s="479">
        <f>LN_IF9*LN_IF6</f>
        <v>1516381.2527560184</v>
      </c>
      <c r="E197" s="479">
        <f t="shared" si="20"/>
        <v>-211650.62189688371</v>
      </c>
      <c r="F197" s="449">
        <f t="shared" si="21"/>
        <v>-0.12248073950568562</v>
      </c>
      <c r="G197" s="480"/>
      <c r="H197" s="480"/>
      <c r="I197" s="480"/>
      <c r="J197" s="480"/>
      <c r="K197" s="480"/>
      <c r="L197" s="480"/>
      <c r="M197" s="480"/>
      <c r="N197" s="480"/>
      <c r="O197" s="480"/>
      <c r="P197" s="480"/>
      <c r="Q197" s="421"/>
      <c r="U197" s="441"/>
    </row>
    <row r="198" spans="1:21" ht="15.75" customHeight="1" x14ac:dyDescent="0.2">
      <c r="A198" s="451">
        <v>11</v>
      </c>
      <c r="B198" s="447" t="s">
        <v>139</v>
      </c>
      <c r="C198" s="456">
        <f>C128+C163</f>
        <v>1268</v>
      </c>
      <c r="D198" s="456">
        <f>LN_ID11+LN_IE11</f>
        <v>1345</v>
      </c>
      <c r="E198" s="456">
        <f t="shared" si="20"/>
        <v>77</v>
      </c>
      <c r="F198" s="449">
        <f t="shared" si="21"/>
        <v>6.0725552050473183E-2</v>
      </c>
      <c r="G198" s="457"/>
      <c r="H198" s="457"/>
      <c r="I198" s="457"/>
      <c r="J198" s="457"/>
      <c r="K198" s="457"/>
      <c r="L198" s="457"/>
      <c r="M198" s="457"/>
      <c r="N198" s="457"/>
      <c r="O198" s="457"/>
      <c r="P198" s="457"/>
      <c r="Q198" s="421"/>
      <c r="U198" s="481"/>
    </row>
    <row r="199" spans="1:21" ht="15.75" customHeight="1" x14ac:dyDescent="0.2">
      <c r="A199" s="451">
        <v>12</v>
      </c>
      <c r="B199" s="447" t="s">
        <v>643</v>
      </c>
      <c r="C199" s="519">
        <f>IF(C198=0,0,C189/C198)</f>
        <v>1589.7231861198738</v>
      </c>
      <c r="D199" s="519">
        <f>IF(LN_IF11=0,0,LN_IF2/LN_IF11)</f>
        <v>1658.5769516728624</v>
      </c>
      <c r="E199" s="519">
        <f t="shared" si="20"/>
        <v>68.853765552988534</v>
      </c>
      <c r="F199" s="449">
        <f t="shared" si="21"/>
        <v>4.3311795508904773E-2</v>
      </c>
      <c r="G199" s="457"/>
      <c r="H199" s="457"/>
      <c r="I199" s="457"/>
      <c r="J199" s="457"/>
      <c r="K199" s="457"/>
      <c r="L199" s="457"/>
      <c r="M199" s="457"/>
      <c r="N199" s="457"/>
      <c r="O199" s="457"/>
      <c r="P199" s="457"/>
      <c r="Q199" s="421"/>
      <c r="U199" s="462"/>
    </row>
    <row r="200" spans="1:21" ht="15.75" customHeight="1" x14ac:dyDescent="0.2">
      <c r="A200" s="451">
        <v>13</v>
      </c>
      <c r="B200" s="447" t="s">
        <v>644</v>
      </c>
      <c r="C200" s="466">
        <f>IF(C191=0,0,C198/C191)</f>
        <v>2.9835294117647058</v>
      </c>
      <c r="D200" s="466">
        <f>IF(LN_IF4=0,0,LN_IF11/LN_IF4)</f>
        <v>3.0089485458612977</v>
      </c>
      <c r="E200" s="466">
        <f t="shared" si="20"/>
        <v>2.5419134096591911E-2</v>
      </c>
      <c r="F200" s="449">
        <f t="shared" si="21"/>
        <v>8.5198201822173202E-3</v>
      </c>
      <c r="G200" s="457"/>
      <c r="H200" s="457"/>
      <c r="I200" s="457"/>
      <c r="J200" s="457"/>
      <c r="K200" s="457"/>
      <c r="L200" s="457"/>
      <c r="M200" s="457"/>
      <c r="N200" s="457"/>
      <c r="O200" s="457"/>
      <c r="P200" s="457"/>
      <c r="Q200" s="421"/>
      <c r="U200" s="462"/>
    </row>
    <row r="201" spans="1:21" ht="15.75" customHeight="1" x14ac:dyDescent="0.2">
      <c r="A201" s="451"/>
      <c r="B201" s="447"/>
      <c r="C201" s="503"/>
      <c r="D201" s="503"/>
      <c r="E201" s="503"/>
      <c r="F201" s="503"/>
      <c r="G201" s="472"/>
      <c r="H201" s="472"/>
      <c r="I201" s="472"/>
      <c r="J201" s="472"/>
      <c r="K201" s="472"/>
      <c r="L201" s="472"/>
      <c r="M201" s="472"/>
      <c r="N201" s="472"/>
      <c r="O201" s="472"/>
      <c r="P201" s="472"/>
      <c r="Q201" s="421"/>
      <c r="U201" s="482"/>
    </row>
    <row r="202" spans="1:21" ht="15.75" customHeight="1" x14ac:dyDescent="0.25">
      <c r="A202" s="451"/>
      <c r="B202" s="446" t="s">
        <v>700</v>
      </c>
      <c r="C202" s="503"/>
      <c r="D202" s="503"/>
      <c r="E202" s="503"/>
      <c r="F202" s="503"/>
      <c r="G202" s="472"/>
      <c r="H202" s="472"/>
      <c r="I202" s="472"/>
      <c r="J202" s="472"/>
      <c r="K202" s="472"/>
      <c r="L202" s="472"/>
      <c r="M202" s="472"/>
      <c r="N202" s="472"/>
      <c r="O202" s="472"/>
      <c r="P202" s="472"/>
      <c r="Q202" s="421"/>
      <c r="U202" s="458"/>
    </row>
    <row r="203" spans="1:21" ht="15.75" customHeight="1" x14ac:dyDescent="0.2">
      <c r="A203" s="428">
        <v>14</v>
      </c>
      <c r="B203" s="447" t="s">
        <v>646</v>
      </c>
      <c r="C203" s="448">
        <f>C133+C168</f>
        <v>9374290</v>
      </c>
      <c r="D203" s="448">
        <f>LN_ID14+LN_IE14</f>
        <v>12024574</v>
      </c>
      <c r="E203" s="448">
        <f t="shared" ref="E203:E211" si="22">D203-C203</f>
        <v>2650284</v>
      </c>
      <c r="F203" s="449">
        <f t="shared" ref="F203:F211" si="23">IF(C203=0,0,E203/C203)</f>
        <v>0.28271837120464588</v>
      </c>
      <c r="G203" s="450"/>
      <c r="H203" s="450"/>
      <c r="I203" s="450"/>
      <c r="J203" s="450"/>
      <c r="K203" s="450"/>
      <c r="L203" s="450"/>
      <c r="M203" s="450"/>
      <c r="N203" s="450"/>
      <c r="O203" s="450"/>
      <c r="P203" s="450"/>
      <c r="Q203" s="421"/>
      <c r="U203" s="458"/>
    </row>
    <row r="204" spans="1:21" ht="15.75" customHeight="1" x14ac:dyDescent="0.2">
      <c r="A204" s="428">
        <v>15</v>
      </c>
      <c r="B204" s="447" t="s">
        <v>647</v>
      </c>
      <c r="C204" s="448">
        <f>C134+C169</f>
        <v>1837307</v>
      </c>
      <c r="D204" s="448">
        <f>LN_ID15+LN_IE15</f>
        <v>2075279</v>
      </c>
      <c r="E204" s="448">
        <f t="shared" si="22"/>
        <v>237972</v>
      </c>
      <c r="F204" s="449">
        <f t="shared" si="23"/>
        <v>0.12952217566253219</v>
      </c>
      <c r="G204" s="450"/>
      <c r="H204" s="450"/>
      <c r="I204" s="450"/>
      <c r="J204" s="450"/>
      <c r="K204" s="450"/>
      <c r="L204" s="450"/>
      <c r="M204" s="450"/>
      <c r="N204" s="450"/>
      <c r="O204" s="450"/>
      <c r="P204" s="450"/>
      <c r="Q204" s="421"/>
      <c r="U204" s="441"/>
    </row>
    <row r="205" spans="1:21" ht="15.75" customHeight="1" x14ac:dyDescent="0.2">
      <c r="A205" s="428">
        <v>16</v>
      </c>
      <c r="B205" s="447" t="s">
        <v>648</v>
      </c>
      <c r="C205" s="453">
        <f>IF(C203=0,0,C204/C203)</f>
        <v>0.19599425663170225</v>
      </c>
      <c r="D205" s="453">
        <f>IF(LN_IF14=0,0,LN_IF15/LN_IF14)</f>
        <v>0.17258648830303677</v>
      </c>
      <c r="E205" s="454">
        <f t="shared" si="22"/>
        <v>-2.3407768328665479E-2</v>
      </c>
      <c r="F205" s="449">
        <f t="shared" si="23"/>
        <v>-0.11943088910330472</v>
      </c>
      <c r="G205" s="455"/>
      <c r="H205" s="455"/>
      <c r="I205" s="455"/>
      <c r="J205" s="455"/>
      <c r="K205" s="455"/>
      <c r="L205" s="455"/>
      <c r="M205" s="455"/>
      <c r="N205" s="455"/>
      <c r="O205" s="455"/>
      <c r="P205" s="455"/>
      <c r="Q205" s="421"/>
      <c r="U205" s="441"/>
    </row>
    <row r="206" spans="1:21" ht="15.75" customHeight="1" x14ac:dyDescent="0.2">
      <c r="A206" s="428">
        <v>17</v>
      </c>
      <c r="B206" s="447" t="s">
        <v>649</v>
      </c>
      <c r="C206" s="453">
        <f>IF(C188=0,0,C203/C188)</f>
        <v>1.4364623359397459</v>
      </c>
      <c r="D206" s="453">
        <f>IF(LN_IF1=0,0,LN_IF14/LN_IF1)</f>
        <v>1.6799045975972531</v>
      </c>
      <c r="E206" s="454">
        <f t="shared" si="22"/>
        <v>0.24344226165750715</v>
      </c>
      <c r="F206" s="449">
        <f t="shared" si="23"/>
        <v>0.16947347352358191</v>
      </c>
      <c r="G206" s="472"/>
      <c r="H206" s="472"/>
      <c r="I206" s="472"/>
      <c r="J206" s="472"/>
      <c r="K206" s="472"/>
      <c r="L206" s="472"/>
      <c r="M206" s="472"/>
      <c r="N206" s="472"/>
      <c r="O206" s="472"/>
      <c r="P206" s="472"/>
      <c r="Q206" s="421"/>
      <c r="U206" s="458"/>
    </row>
    <row r="207" spans="1:21" ht="15.75" customHeight="1" x14ac:dyDescent="0.2">
      <c r="A207" s="428">
        <v>18</v>
      </c>
      <c r="B207" s="447" t="s">
        <v>650</v>
      </c>
      <c r="C207" s="463">
        <f>C137+C172</f>
        <v>614.90850174592003</v>
      </c>
      <c r="D207" s="463">
        <f>LN_ID18+LN_IE18</f>
        <v>749.66284443897234</v>
      </c>
      <c r="E207" s="463">
        <f t="shared" si="22"/>
        <v>134.75434269305231</v>
      </c>
      <c r="F207" s="449">
        <f t="shared" si="23"/>
        <v>0.21914535627730311</v>
      </c>
      <c r="G207" s="457"/>
      <c r="H207" s="457"/>
      <c r="I207" s="457"/>
      <c r="J207" s="457"/>
      <c r="K207" s="457"/>
      <c r="L207" s="457"/>
      <c r="M207" s="457"/>
      <c r="N207" s="457"/>
      <c r="O207" s="457"/>
      <c r="P207" s="457"/>
      <c r="Q207" s="421"/>
      <c r="U207" s="458"/>
    </row>
    <row r="208" spans="1:21" ht="15.75" customHeight="1" x14ac:dyDescent="0.2">
      <c r="A208" s="428">
        <v>19</v>
      </c>
      <c r="B208" s="452" t="s">
        <v>651</v>
      </c>
      <c r="C208" s="465">
        <f>IF(C207=0,0,C204/C207)</f>
        <v>2987.9355949434807</v>
      </c>
      <c r="D208" s="465">
        <f>IF(LN_IF18=0,0,LN_IF15/LN_IF18)</f>
        <v>2768.2831227324377</v>
      </c>
      <c r="E208" s="465">
        <f t="shared" si="22"/>
        <v>-219.652472211043</v>
      </c>
      <c r="F208" s="449">
        <f t="shared" si="23"/>
        <v>-7.3513121428307737E-2</v>
      </c>
      <c r="G208" s="450"/>
      <c r="H208" s="450"/>
      <c r="I208" s="450"/>
      <c r="J208" s="450"/>
      <c r="K208" s="450"/>
      <c r="L208" s="450"/>
      <c r="M208" s="450"/>
      <c r="N208" s="450"/>
      <c r="O208" s="450"/>
      <c r="P208" s="450"/>
      <c r="Q208" s="421"/>
      <c r="U208" s="462"/>
    </row>
    <row r="209" spans="1:250" ht="15.75" customHeight="1" x14ac:dyDescent="0.2">
      <c r="A209" s="428">
        <v>20</v>
      </c>
      <c r="B209" s="452" t="s">
        <v>701</v>
      </c>
      <c r="C209" s="465">
        <f>C61-C208</f>
        <v>4878.5988088595223</v>
      </c>
      <c r="D209" s="465">
        <f>LN_IB18-LN_IF19</f>
        <v>4439.768030504385</v>
      </c>
      <c r="E209" s="465">
        <f t="shared" si="22"/>
        <v>-438.83077835513723</v>
      </c>
      <c r="F209" s="449">
        <f t="shared" si="23"/>
        <v>-8.9950167158287686E-2</v>
      </c>
      <c r="G209" s="450"/>
      <c r="H209" s="450"/>
      <c r="I209" s="450"/>
      <c r="J209" s="450"/>
      <c r="K209" s="450"/>
      <c r="L209" s="450"/>
      <c r="M209" s="450"/>
      <c r="N209" s="450"/>
      <c r="O209" s="450"/>
      <c r="P209" s="450"/>
      <c r="Q209" s="421"/>
      <c r="U209" s="441"/>
    </row>
    <row r="210" spans="1:250" ht="15.75" customHeight="1" x14ac:dyDescent="0.2">
      <c r="A210" s="428">
        <v>21</v>
      </c>
      <c r="B210" s="452" t="s">
        <v>702</v>
      </c>
      <c r="C210" s="465">
        <f>C32-C208</f>
        <v>1952.8796797395985</v>
      </c>
      <c r="D210" s="465">
        <f>LN_IA16-LN_IF19</f>
        <v>2792.6978235565348</v>
      </c>
      <c r="E210" s="465">
        <f t="shared" si="22"/>
        <v>839.8181438169363</v>
      </c>
      <c r="F210" s="449">
        <f t="shared" si="23"/>
        <v>0.43004090448056664</v>
      </c>
      <c r="G210" s="450"/>
      <c r="H210" s="450"/>
      <c r="I210" s="450"/>
      <c r="J210" s="450"/>
      <c r="K210" s="450"/>
      <c r="L210" s="450"/>
      <c r="M210" s="450"/>
      <c r="N210" s="450"/>
      <c r="O210" s="450"/>
      <c r="P210" s="450"/>
      <c r="Q210" s="421"/>
      <c r="U210" s="441"/>
    </row>
    <row r="211" spans="1:250" ht="15.75" customHeight="1" x14ac:dyDescent="0.2">
      <c r="A211" s="428">
        <v>22</v>
      </c>
      <c r="B211" s="452" t="s">
        <v>662</v>
      </c>
      <c r="C211" s="479">
        <f>C141+C176</f>
        <v>1200842.3179587284</v>
      </c>
      <c r="D211" s="441">
        <f>LN_IF21*LN_IF18</f>
        <v>2093581.7940659192</v>
      </c>
      <c r="E211" s="441">
        <f t="shared" si="22"/>
        <v>892739.47610719083</v>
      </c>
      <c r="F211" s="449">
        <f t="shared" si="23"/>
        <v>0.74342772798407764</v>
      </c>
      <c r="G211" s="477"/>
      <c r="H211" s="477"/>
      <c r="I211" s="477"/>
      <c r="J211" s="477"/>
      <c r="K211" s="477"/>
      <c r="L211" s="477"/>
      <c r="M211" s="477"/>
      <c r="N211" s="477"/>
      <c r="O211" s="477"/>
      <c r="P211" s="477"/>
      <c r="Q211" s="421"/>
      <c r="U211" s="441"/>
    </row>
    <row r="212" spans="1:250" ht="15.75" customHeight="1" x14ac:dyDescent="0.2">
      <c r="A212" s="428"/>
      <c r="B212" s="447"/>
      <c r="C212" s="441"/>
      <c r="D212" s="441"/>
      <c r="E212" s="441"/>
      <c r="F212" s="449"/>
      <c r="G212" s="477"/>
      <c r="H212" s="477"/>
      <c r="I212" s="477"/>
      <c r="J212" s="477"/>
      <c r="K212" s="477"/>
      <c r="L212" s="477"/>
      <c r="M212" s="477"/>
      <c r="N212" s="477"/>
      <c r="O212" s="477"/>
      <c r="P212" s="477"/>
      <c r="Q212" s="421"/>
      <c r="U212" s="441"/>
    </row>
    <row r="213" spans="1:250" ht="15.75" customHeight="1" x14ac:dyDescent="0.25">
      <c r="A213" s="428"/>
      <c r="B213" s="470" t="s">
        <v>703</v>
      </c>
      <c r="C213" s="516"/>
      <c r="D213" s="516"/>
      <c r="E213" s="516"/>
      <c r="F213" s="420"/>
      <c r="G213" s="516"/>
      <c r="H213" s="516"/>
      <c r="I213" s="516"/>
      <c r="J213" s="516"/>
      <c r="K213" s="516"/>
      <c r="L213" s="516"/>
      <c r="M213" s="516"/>
      <c r="N213" s="516"/>
      <c r="O213" s="516"/>
      <c r="P213" s="516"/>
      <c r="Q213" s="421"/>
      <c r="U213" s="441"/>
    </row>
    <row r="214" spans="1:250" ht="15.75" customHeight="1" x14ac:dyDescent="0.2">
      <c r="A214" s="428">
        <v>23</v>
      </c>
      <c r="B214" s="447" t="s">
        <v>653</v>
      </c>
      <c r="C214" s="448">
        <f>C188+C203</f>
        <v>15900246</v>
      </c>
      <c r="D214" s="448">
        <f>LN_IF1+LN_IF14</f>
        <v>19182465</v>
      </c>
      <c r="E214" s="448">
        <f>D214-C214</f>
        <v>3282219</v>
      </c>
      <c r="F214" s="449">
        <f>IF(C214=0,0,E214/C214)</f>
        <v>0.20642567416881474</v>
      </c>
      <c r="G214" s="450"/>
      <c r="H214" s="450"/>
      <c r="I214" s="450"/>
      <c r="J214" s="450"/>
      <c r="K214" s="450"/>
      <c r="L214" s="450"/>
      <c r="M214" s="450"/>
      <c r="N214" s="450"/>
      <c r="O214" s="450"/>
      <c r="P214" s="450"/>
      <c r="Q214" s="421"/>
      <c r="U214" s="518"/>
    </row>
    <row r="215" spans="1:250" ht="15.75" customHeight="1" x14ac:dyDescent="0.2">
      <c r="A215" s="428">
        <v>24</v>
      </c>
      <c r="B215" s="447" t="s">
        <v>654</v>
      </c>
      <c r="C215" s="448">
        <f>C189+C204</f>
        <v>3853076</v>
      </c>
      <c r="D215" s="448">
        <f>LN_IF2+LN_IF15</f>
        <v>4306065</v>
      </c>
      <c r="E215" s="448">
        <f>D215-C215</f>
        <v>452989</v>
      </c>
      <c r="F215" s="449">
        <f>IF(C215=0,0,E215/C215)</f>
        <v>0.11756555022532647</v>
      </c>
      <c r="G215" s="450"/>
      <c r="H215" s="450"/>
      <c r="I215" s="450"/>
      <c r="J215" s="450"/>
      <c r="K215" s="450"/>
      <c r="L215" s="450"/>
      <c r="M215" s="450"/>
      <c r="N215" s="450"/>
      <c r="O215" s="450"/>
      <c r="P215" s="450"/>
      <c r="Q215" s="421"/>
      <c r="U215" s="441"/>
    </row>
    <row r="216" spans="1:250" ht="15.75" customHeight="1" x14ac:dyDescent="0.2">
      <c r="A216" s="428">
        <v>25</v>
      </c>
      <c r="B216" s="447" t="s">
        <v>655</v>
      </c>
      <c r="C216" s="448">
        <f>C214-C215</f>
        <v>12047170</v>
      </c>
      <c r="D216" s="448">
        <f>LN_IF23-LN_IF24</f>
        <v>14876400</v>
      </c>
      <c r="E216" s="448">
        <f>D216-C216</f>
        <v>2829230</v>
      </c>
      <c r="F216" s="449">
        <f>IF(C216=0,0,E216/C216)</f>
        <v>0.23484602607915386</v>
      </c>
      <c r="G216" s="450"/>
      <c r="H216" s="450"/>
      <c r="I216" s="450"/>
      <c r="J216" s="450"/>
      <c r="K216" s="450"/>
      <c r="L216" s="450"/>
      <c r="M216" s="450"/>
      <c r="N216" s="450"/>
      <c r="O216" s="450"/>
      <c r="P216" s="450"/>
      <c r="Q216" s="421"/>
      <c r="U216" s="441"/>
    </row>
    <row r="217" spans="1:250" ht="15.75" customHeight="1" x14ac:dyDescent="0.2">
      <c r="A217" s="502"/>
      <c r="B217" s="447"/>
      <c r="C217" s="474"/>
      <c r="D217" s="474"/>
      <c r="E217" s="474"/>
      <c r="F217" s="449"/>
      <c r="G217" s="475"/>
      <c r="H217" s="475"/>
      <c r="I217" s="475"/>
      <c r="J217" s="475"/>
      <c r="K217" s="475"/>
      <c r="L217" s="475"/>
      <c r="M217" s="475"/>
      <c r="N217" s="475"/>
      <c r="O217" s="475"/>
      <c r="P217" s="475"/>
      <c r="Q217" s="421"/>
      <c r="U217" s="476"/>
    </row>
    <row r="218" spans="1:250" ht="15.75" customHeight="1" x14ac:dyDescent="0.25">
      <c r="A218" s="443" t="s">
        <v>183</v>
      </c>
      <c r="B218" s="444" t="s">
        <v>704</v>
      </c>
      <c r="C218" s="515"/>
      <c r="D218" s="443"/>
      <c r="E218" s="515"/>
      <c r="F218" s="443"/>
      <c r="G218" s="443"/>
      <c r="H218" s="515"/>
      <c r="I218" s="443"/>
      <c r="J218" s="515"/>
      <c r="K218" s="443"/>
      <c r="L218" s="515"/>
      <c r="M218" s="443"/>
      <c r="N218" s="515"/>
      <c r="O218" s="443"/>
      <c r="P218" s="515"/>
      <c r="Q218" s="443"/>
      <c r="R218" s="515"/>
      <c r="S218" s="443"/>
      <c r="T218" s="515"/>
      <c r="U218" s="443"/>
      <c r="V218" s="515"/>
      <c r="W218" s="443"/>
      <c r="X218" s="515"/>
      <c r="Y218" s="443"/>
      <c r="Z218" s="515"/>
      <c r="AA218" s="443"/>
      <c r="AB218" s="515"/>
      <c r="AC218" s="443"/>
      <c r="AD218" s="515"/>
      <c r="AE218" s="443"/>
      <c r="AF218" s="515"/>
      <c r="AG218" s="443"/>
      <c r="AH218" s="515"/>
      <c r="AI218" s="443"/>
      <c r="AJ218" s="515"/>
      <c r="AK218" s="443"/>
      <c r="AL218" s="515"/>
      <c r="AM218" s="443"/>
      <c r="AN218" s="515"/>
      <c r="AO218" s="443"/>
      <c r="AP218" s="515"/>
      <c r="AQ218" s="443"/>
      <c r="AR218" s="515"/>
      <c r="AS218" s="443"/>
      <c r="AT218" s="515"/>
      <c r="AU218" s="443"/>
      <c r="AV218" s="515"/>
      <c r="AW218" s="443"/>
      <c r="AX218" s="515"/>
      <c r="AY218" s="443"/>
      <c r="AZ218" s="515"/>
      <c r="BA218" s="443"/>
      <c r="BB218" s="515"/>
      <c r="BC218" s="443"/>
      <c r="BD218" s="515"/>
      <c r="BE218" s="443"/>
      <c r="BF218" s="515"/>
      <c r="BG218" s="443"/>
      <c r="BH218" s="515"/>
      <c r="BI218" s="443"/>
      <c r="BJ218" s="515"/>
      <c r="BK218" s="443"/>
      <c r="BL218" s="515"/>
      <c r="BM218" s="443"/>
      <c r="BN218" s="515"/>
      <c r="BO218" s="443"/>
      <c r="BP218" s="515"/>
      <c r="BQ218" s="443"/>
      <c r="BR218" s="515"/>
      <c r="BS218" s="443"/>
      <c r="BT218" s="515"/>
      <c r="BU218" s="443"/>
      <c r="BV218" s="515"/>
      <c r="BW218" s="443"/>
      <c r="BX218" s="515"/>
      <c r="BY218" s="443"/>
      <c r="BZ218" s="515"/>
      <c r="CA218" s="443"/>
      <c r="CB218" s="515"/>
      <c r="CC218" s="443"/>
      <c r="CD218" s="515"/>
      <c r="CE218" s="443"/>
      <c r="CF218" s="515"/>
      <c r="CG218" s="443"/>
      <c r="CH218" s="515"/>
      <c r="CI218" s="443"/>
      <c r="CJ218" s="515"/>
      <c r="CK218" s="443"/>
      <c r="CL218" s="515"/>
      <c r="CM218" s="443"/>
      <c r="CN218" s="515"/>
      <c r="CO218" s="443"/>
      <c r="CP218" s="515"/>
      <c r="CQ218" s="443"/>
      <c r="CR218" s="515"/>
      <c r="CS218" s="443"/>
      <c r="CT218" s="515"/>
      <c r="CU218" s="443"/>
      <c r="CV218" s="515"/>
      <c r="CW218" s="443"/>
      <c r="CX218" s="515"/>
      <c r="CY218" s="443"/>
      <c r="CZ218" s="515"/>
      <c r="DA218" s="443"/>
      <c r="DB218" s="515"/>
      <c r="DC218" s="443"/>
      <c r="DD218" s="515"/>
      <c r="DE218" s="443"/>
      <c r="DF218" s="515"/>
      <c r="DG218" s="443"/>
      <c r="DH218" s="515"/>
      <c r="DI218" s="443"/>
      <c r="DJ218" s="515"/>
      <c r="DK218" s="443"/>
      <c r="DL218" s="515"/>
      <c r="DM218" s="443"/>
      <c r="DN218" s="515"/>
      <c r="DO218" s="443"/>
      <c r="DP218" s="515"/>
      <c r="DQ218" s="443"/>
      <c r="DR218" s="515"/>
      <c r="DS218" s="443"/>
      <c r="DT218" s="515"/>
      <c r="DU218" s="443"/>
      <c r="DV218" s="515"/>
      <c r="DW218" s="443"/>
      <c r="DX218" s="515"/>
      <c r="DY218" s="443"/>
      <c r="DZ218" s="515"/>
      <c r="EA218" s="443"/>
      <c r="EB218" s="515"/>
      <c r="EC218" s="443"/>
      <c r="ED218" s="515"/>
      <c r="EE218" s="443"/>
      <c r="EF218" s="515"/>
      <c r="EG218" s="443"/>
      <c r="EH218" s="515"/>
      <c r="EI218" s="443"/>
      <c r="EJ218" s="515"/>
      <c r="EK218" s="443"/>
      <c r="EL218" s="515"/>
      <c r="EM218" s="443"/>
      <c r="EN218" s="515"/>
      <c r="EO218" s="443"/>
      <c r="EP218" s="515"/>
      <c r="EQ218" s="443"/>
      <c r="ER218" s="515"/>
      <c r="ES218" s="443"/>
      <c r="ET218" s="515"/>
      <c r="EU218" s="443"/>
      <c r="EV218" s="515"/>
      <c r="EW218" s="443"/>
      <c r="EX218" s="515"/>
      <c r="EY218" s="443"/>
      <c r="EZ218" s="515"/>
      <c r="FA218" s="443"/>
      <c r="FB218" s="515"/>
      <c r="FC218" s="443"/>
      <c r="FD218" s="515"/>
      <c r="FE218" s="443"/>
      <c r="FF218" s="515"/>
      <c r="FG218" s="443"/>
      <c r="FH218" s="515"/>
      <c r="FI218" s="443"/>
      <c r="FJ218" s="515"/>
      <c r="FK218" s="443"/>
      <c r="FL218" s="515"/>
      <c r="FM218" s="443"/>
      <c r="FN218" s="515"/>
      <c r="FO218" s="443"/>
      <c r="FP218" s="515"/>
      <c r="FQ218" s="443"/>
      <c r="FR218" s="515"/>
      <c r="FS218" s="443"/>
      <c r="FT218" s="515"/>
      <c r="FU218" s="443"/>
      <c r="FV218" s="515"/>
      <c r="FW218" s="443"/>
      <c r="FX218" s="515"/>
      <c r="FY218" s="443"/>
      <c r="FZ218" s="515"/>
      <c r="GA218" s="443"/>
      <c r="GB218" s="515"/>
      <c r="GC218" s="443"/>
      <c r="GD218" s="515"/>
      <c r="GE218" s="443"/>
      <c r="GF218" s="515"/>
      <c r="GG218" s="443"/>
      <c r="GH218" s="515"/>
      <c r="GI218" s="443"/>
      <c r="GJ218" s="515"/>
      <c r="GK218" s="443"/>
      <c r="GL218" s="515"/>
      <c r="GM218" s="443"/>
      <c r="GN218" s="515"/>
      <c r="GO218" s="443"/>
      <c r="GP218" s="515"/>
      <c r="GQ218" s="443"/>
      <c r="GR218" s="515"/>
      <c r="GS218" s="443"/>
      <c r="GT218" s="515"/>
      <c r="GU218" s="443"/>
      <c r="GV218" s="515"/>
      <c r="GW218" s="443"/>
      <c r="GX218" s="515"/>
      <c r="GY218" s="443"/>
      <c r="GZ218" s="515"/>
      <c r="HA218" s="443"/>
      <c r="HB218" s="515"/>
      <c r="HC218" s="443"/>
      <c r="HD218" s="515"/>
      <c r="HE218" s="443"/>
      <c r="HF218" s="515"/>
      <c r="HG218" s="443"/>
      <c r="HH218" s="515"/>
      <c r="HI218" s="443"/>
      <c r="HJ218" s="515"/>
      <c r="HK218" s="443"/>
      <c r="HL218" s="515"/>
      <c r="HM218" s="443"/>
      <c r="HN218" s="515"/>
      <c r="HO218" s="443"/>
      <c r="HP218" s="515"/>
      <c r="HQ218" s="443"/>
      <c r="HR218" s="515"/>
      <c r="HS218" s="443"/>
      <c r="HT218" s="515"/>
      <c r="HU218" s="443"/>
      <c r="HV218" s="515"/>
      <c r="HW218" s="443"/>
      <c r="HX218" s="515"/>
      <c r="HY218" s="443"/>
      <c r="HZ218" s="515"/>
      <c r="IA218" s="443"/>
      <c r="IB218" s="515"/>
      <c r="IC218" s="443"/>
      <c r="ID218" s="515"/>
      <c r="IE218" s="443"/>
      <c r="IF218" s="515"/>
      <c r="IG218" s="443"/>
      <c r="IH218" s="515"/>
      <c r="II218" s="443"/>
      <c r="IJ218" s="515"/>
      <c r="IK218" s="443"/>
      <c r="IL218" s="515"/>
      <c r="IM218" s="443"/>
      <c r="IN218" s="515"/>
      <c r="IO218" s="443"/>
      <c r="IP218" s="515"/>
    </row>
    <row r="219" spans="1:250" ht="15.75" customHeight="1" x14ac:dyDescent="0.2">
      <c r="A219" s="428"/>
      <c r="B219" s="447"/>
      <c r="C219" s="474"/>
      <c r="D219" s="474"/>
      <c r="E219" s="474"/>
      <c r="F219" s="449"/>
      <c r="G219" s="475"/>
      <c r="H219" s="475"/>
      <c r="I219" s="475"/>
      <c r="J219" s="475"/>
      <c r="K219" s="475"/>
      <c r="L219" s="475"/>
      <c r="M219" s="475"/>
      <c r="N219" s="475"/>
      <c r="O219" s="475"/>
      <c r="P219" s="475"/>
      <c r="Q219" s="421"/>
      <c r="U219" s="476"/>
    </row>
    <row r="220" spans="1:250" ht="15.75" customHeight="1" x14ac:dyDescent="0.25">
      <c r="A220" s="451"/>
      <c r="B220" s="470" t="s">
        <v>705</v>
      </c>
      <c r="C220" s="496"/>
      <c r="D220" s="496"/>
      <c r="E220" s="496"/>
      <c r="F220" s="497"/>
      <c r="G220" s="498"/>
      <c r="H220" s="498"/>
      <c r="I220" s="498"/>
      <c r="J220" s="498"/>
      <c r="K220" s="498"/>
      <c r="L220" s="498"/>
      <c r="M220" s="498"/>
      <c r="N220" s="498"/>
      <c r="O220" s="498"/>
      <c r="P220" s="498"/>
      <c r="Q220" s="421"/>
      <c r="U220" s="476"/>
    </row>
    <row r="221" spans="1:250" ht="15.75" customHeight="1" x14ac:dyDescent="0.2">
      <c r="A221" s="428">
        <v>1</v>
      </c>
      <c r="B221" s="447" t="s">
        <v>637</v>
      </c>
      <c r="C221" s="448">
        <v>85024</v>
      </c>
      <c r="D221" s="448">
        <v>38140</v>
      </c>
      <c r="E221" s="448">
        <f t="shared" ref="E221:E230" si="24">D221-C221</f>
        <v>-46884</v>
      </c>
      <c r="F221" s="449">
        <f t="shared" ref="F221:F230" si="25">IF(C221=0,0,E221/C221)</f>
        <v>-0.5514207753105006</v>
      </c>
      <c r="G221" s="450"/>
      <c r="H221" s="450"/>
      <c r="I221" s="450"/>
      <c r="J221" s="450"/>
      <c r="K221" s="450"/>
      <c r="L221" s="450"/>
      <c r="M221" s="450"/>
      <c r="N221" s="450"/>
      <c r="O221" s="450"/>
      <c r="P221" s="450"/>
      <c r="Q221" s="421"/>
      <c r="U221" s="494"/>
    </row>
    <row r="222" spans="1:250" ht="15.75" customHeight="1" x14ac:dyDescent="0.2">
      <c r="A222" s="451">
        <v>2</v>
      </c>
      <c r="B222" s="447" t="s">
        <v>638</v>
      </c>
      <c r="C222" s="448">
        <v>77524</v>
      </c>
      <c r="D222" s="448">
        <v>24273</v>
      </c>
      <c r="E222" s="448">
        <f t="shared" si="24"/>
        <v>-53251</v>
      </c>
      <c r="F222" s="449">
        <f t="shared" si="25"/>
        <v>-0.68689696094112795</v>
      </c>
      <c r="G222" s="450"/>
      <c r="H222" s="450"/>
      <c r="I222" s="450"/>
      <c r="J222" s="450"/>
      <c r="K222" s="450"/>
      <c r="L222" s="450"/>
      <c r="M222" s="450"/>
      <c r="N222" s="450"/>
      <c r="O222" s="450"/>
      <c r="P222" s="450"/>
      <c r="Q222" s="421"/>
      <c r="U222" s="441"/>
    </row>
    <row r="223" spans="1:250" ht="15.75" customHeight="1" x14ac:dyDescent="0.2">
      <c r="A223" s="451">
        <v>3</v>
      </c>
      <c r="B223" s="452" t="s">
        <v>639</v>
      </c>
      <c r="C223" s="453">
        <f>IF(C221=0,0,C222/C221)</f>
        <v>0.91178961234474976</v>
      </c>
      <c r="D223" s="453">
        <f>IF(LN_IG1=0,0,LN_IG2/LN_IG1)</f>
        <v>0.63641845831148403</v>
      </c>
      <c r="E223" s="454">
        <f t="shared" si="24"/>
        <v>-0.27537115403326573</v>
      </c>
      <c r="F223" s="449">
        <f t="shared" si="25"/>
        <v>-0.30201172540793025</v>
      </c>
      <c r="G223" s="450"/>
      <c r="H223" s="450"/>
      <c r="I223" s="450"/>
      <c r="J223" s="450"/>
      <c r="K223" s="450"/>
      <c r="L223" s="450"/>
      <c r="M223" s="450"/>
      <c r="N223" s="450"/>
      <c r="O223" s="450"/>
      <c r="P223" s="450"/>
      <c r="Q223" s="421"/>
      <c r="U223" s="441"/>
    </row>
    <row r="224" spans="1:250" ht="15.75" customHeight="1" x14ac:dyDescent="0.2">
      <c r="A224" s="451">
        <v>4</v>
      </c>
      <c r="B224" s="447" t="s">
        <v>137</v>
      </c>
      <c r="C224" s="456">
        <v>9</v>
      </c>
      <c r="D224" s="456">
        <v>5</v>
      </c>
      <c r="E224" s="456">
        <f t="shared" si="24"/>
        <v>-4</v>
      </c>
      <c r="F224" s="449">
        <f t="shared" si="25"/>
        <v>-0.44444444444444442</v>
      </c>
      <c r="G224" s="457"/>
      <c r="H224" s="457"/>
      <c r="I224" s="457"/>
      <c r="J224" s="457"/>
      <c r="K224" s="457"/>
      <c r="L224" s="457"/>
      <c r="M224" s="457"/>
      <c r="N224" s="457"/>
      <c r="O224" s="457"/>
      <c r="P224" s="457"/>
      <c r="Q224" s="421"/>
      <c r="U224" s="441"/>
    </row>
    <row r="225" spans="1:21" ht="15.75" customHeight="1" x14ac:dyDescent="0.2">
      <c r="A225" s="451">
        <v>5</v>
      </c>
      <c r="B225" s="452" t="s">
        <v>640</v>
      </c>
      <c r="C225" s="459">
        <v>1.0219</v>
      </c>
      <c r="D225" s="459">
        <v>0.68859999999999999</v>
      </c>
      <c r="E225" s="460">
        <f t="shared" si="24"/>
        <v>-0.33330000000000004</v>
      </c>
      <c r="F225" s="449">
        <f t="shared" si="25"/>
        <v>-0.32615715823466096</v>
      </c>
      <c r="G225" s="461"/>
      <c r="H225" s="461"/>
      <c r="I225" s="461"/>
      <c r="J225" s="461"/>
      <c r="K225" s="461"/>
      <c r="L225" s="461"/>
      <c r="M225" s="461"/>
      <c r="N225" s="461"/>
      <c r="O225" s="461"/>
      <c r="P225" s="461"/>
      <c r="Q225" s="421"/>
      <c r="U225" s="462"/>
    </row>
    <row r="226" spans="1:21" ht="15.75" customHeight="1" x14ac:dyDescent="0.2">
      <c r="A226" s="451">
        <v>6</v>
      </c>
      <c r="B226" s="452" t="s">
        <v>641</v>
      </c>
      <c r="C226" s="463">
        <f>C224*C225</f>
        <v>9.1971000000000007</v>
      </c>
      <c r="D226" s="463">
        <f>LN_IG3*LN_IG4</f>
        <v>3.4430000000000001</v>
      </c>
      <c r="E226" s="463">
        <f t="shared" si="24"/>
        <v>-5.7541000000000011</v>
      </c>
      <c r="F226" s="449">
        <f t="shared" si="25"/>
        <v>-0.62564286568592276</v>
      </c>
      <c r="G226" s="520"/>
      <c r="H226" s="520"/>
      <c r="I226" s="520"/>
      <c r="J226" s="520"/>
      <c r="K226" s="520"/>
      <c r="L226" s="520"/>
      <c r="M226" s="520"/>
      <c r="N226" s="520"/>
      <c r="O226" s="520"/>
      <c r="P226" s="457"/>
      <c r="Q226" s="421"/>
      <c r="U226" s="464"/>
    </row>
    <row r="227" spans="1:21" ht="15.75" customHeight="1" x14ac:dyDescent="0.2">
      <c r="A227" s="451">
        <v>7</v>
      </c>
      <c r="B227" s="447" t="s">
        <v>642</v>
      </c>
      <c r="C227" s="465">
        <f>IF(C226=0,0,C222/C226)</f>
        <v>8429.1787628709044</v>
      </c>
      <c r="D227" s="465">
        <f>IF(LN_IG5=0,0,LN_IG2/LN_IG5)</f>
        <v>7049.9564333430144</v>
      </c>
      <c r="E227" s="465">
        <f t="shared" si="24"/>
        <v>-1379.22232952789</v>
      </c>
      <c r="F227" s="449">
        <f t="shared" si="25"/>
        <v>-0.16362475732548576</v>
      </c>
      <c r="G227" s="520"/>
      <c r="H227" s="520"/>
      <c r="I227" s="520"/>
      <c r="J227" s="520"/>
      <c r="K227" s="520"/>
      <c r="L227" s="520"/>
      <c r="M227" s="520"/>
      <c r="N227" s="520"/>
      <c r="O227" s="520"/>
      <c r="P227" s="457"/>
      <c r="Q227" s="421"/>
      <c r="U227" s="464"/>
    </row>
    <row r="228" spans="1:21" ht="15.75" customHeight="1" x14ac:dyDescent="0.2">
      <c r="A228" s="451">
        <v>8</v>
      </c>
      <c r="B228" s="447" t="s">
        <v>139</v>
      </c>
      <c r="C228" s="456">
        <v>21</v>
      </c>
      <c r="D228" s="456">
        <v>10</v>
      </c>
      <c r="E228" s="456">
        <f t="shared" si="24"/>
        <v>-11</v>
      </c>
      <c r="F228" s="449">
        <f t="shared" si="25"/>
        <v>-0.52380952380952384</v>
      </c>
      <c r="G228" s="457"/>
      <c r="H228" s="457"/>
      <c r="I228" s="457"/>
      <c r="J228" s="457"/>
      <c r="K228" s="457"/>
      <c r="L228" s="457"/>
      <c r="M228" s="457"/>
      <c r="N228" s="457"/>
      <c r="O228" s="457"/>
      <c r="P228" s="457"/>
      <c r="Q228" s="421"/>
      <c r="U228" s="508"/>
    </row>
    <row r="229" spans="1:21" ht="15.75" customHeight="1" x14ac:dyDescent="0.2">
      <c r="A229" s="451">
        <v>9</v>
      </c>
      <c r="B229" s="447" t="s">
        <v>643</v>
      </c>
      <c r="C229" s="465">
        <f>IF(C228=0,0,C222/C228)</f>
        <v>3691.6190476190477</v>
      </c>
      <c r="D229" s="465">
        <f>IF(LN_IG6=0,0,LN_IG2/LN_IG6)</f>
        <v>2427.3000000000002</v>
      </c>
      <c r="E229" s="465">
        <f t="shared" si="24"/>
        <v>-1264.3190476190475</v>
      </c>
      <c r="F229" s="449">
        <f t="shared" si="25"/>
        <v>-0.34248361797636856</v>
      </c>
      <c r="Q229" s="421"/>
      <c r="U229" s="462"/>
    </row>
    <row r="230" spans="1:21" ht="15.75" customHeight="1" x14ac:dyDescent="0.2">
      <c r="A230" s="451">
        <v>10</v>
      </c>
      <c r="B230" s="447" t="s">
        <v>644</v>
      </c>
      <c r="C230" s="466">
        <f>IF(C224=0,0,C228/C224)</f>
        <v>2.3333333333333335</v>
      </c>
      <c r="D230" s="466">
        <f>IF(LN_IG3=0,0,LN_IG6/LN_IG3)</f>
        <v>2</v>
      </c>
      <c r="E230" s="466">
        <f t="shared" si="24"/>
        <v>-0.33333333333333348</v>
      </c>
      <c r="F230" s="449">
        <f t="shared" si="25"/>
        <v>-0.1428571428571429</v>
      </c>
      <c r="Q230" s="421"/>
      <c r="U230" s="441"/>
    </row>
    <row r="231" spans="1:21" ht="15.75" customHeight="1" x14ac:dyDescent="0.2">
      <c r="A231" s="428"/>
      <c r="C231" s="421"/>
      <c r="Q231" s="421"/>
      <c r="U231" s="521"/>
    </row>
    <row r="232" spans="1:21" ht="15.75" customHeight="1" x14ac:dyDescent="0.25">
      <c r="A232" s="428"/>
      <c r="B232" s="470" t="s">
        <v>706</v>
      </c>
      <c r="C232" s="421"/>
      <c r="Q232" s="421"/>
      <c r="U232" s="487"/>
    </row>
    <row r="233" spans="1:21" ht="15.75" customHeight="1" x14ac:dyDescent="0.2">
      <c r="A233" s="451">
        <v>11</v>
      </c>
      <c r="B233" s="447" t="s">
        <v>646</v>
      </c>
      <c r="C233" s="448">
        <v>190495</v>
      </c>
      <c r="D233" s="448">
        <v>185972</v>
      </c>
      <c r="E233" s="448">
        <f>D233-C233</f>
        <v>-4523</v>
      </c>
      <c r="F233" s="449">
        <f>IF(C233=0,0,E233/C233)</f>
        <v>-2.3743405338722802E-2</v>
      </c>
      <c r="G233" s="450"/>
      <c r="H233" s="450"/>
      <c r="I233" s="450"/>
      <c r="J233" s="450"/>
      <c r="K233" s="450"/>
      <c r="L233" s="450"/>
      <c r="M233" s="450"/>
      <c r="N233" s="450"/>
      <c r="O233" s="450"/>
      <c r="P233" s="450"/>
      <c r="Q233" s="421"/>
      <c r="U233" s="487"/>
    </row>
    <row r="234" spans="1:21" ht="15.75" customHeight="1" x14ac:dyDescent="0.2">
      <c r="A234" s="451">
        <v>12</v>
      </c>
      <c r="B234" s="447" t="s">
        <v>647</v>
      </c>
      <c r="C234" s="448">
        <v>41971</v>
      </c>
      <c r="D234" s="448">
        <v>40711</v>
      </c>
      <c r="E234" s="448">
        <f>D234-C234</f>
        <v>-1260</v>
      </c>
      <c r="F234" s="449">
        <f>IF(C234=0,0,E234/C234)</f>
        <v>-3.0020728598317885E-2</v>
      </c>
      <c r="G234" s="450"/>
      <c r="H234" s="450"/>
      <c r="I234" s="450"/>
      <c r="J234" s="450"/>
      <c r="K234" s="450"/>
      <c r="L234" s="450"/>
      <c r="M234" s="450"/>
      <c r="N234" s="450"/>
      <c r="O234" s="450"/>
      <c r="P234" s="450"/>
      <c r="Q234" s="421"/>
      <c r="U234" s="441"/>
    </row>
    <row r="235" spans="1:21" ht="15.75" customHeight="1" x14ac:dyDescent="0.2">
      <c r="A235" s="428"/>
      <c r="B235" s="447"/>
      <c r="C235" s="448"/>
      <c r="D235" s="448"/>
      <c r="E235" s="448"/>
      <c r="F235" s="449"/>
      <c r="G235" s="450"/>
      <c r="H235" s="450"/>
      <c r="I235" s="450"/>
      <c r="J235" s="450"/>
      <c r="K235" s="450"/>
      <c r="L235" s="450"/>
      <c r="M235" s="450"/>
      <c r="N235" s="450"/>
      <c r="O235" s="450"/>
      <c r="P235" s="450"/>
      <c r="Q235" s="421"/>
      <c r="U235" s="441"/>
    </row>
    <row r="236" spans="1:21" ht="15.75" customHeight="1" x14ac:dyDescent="0.25">
      <c r="A236" s="428"/>
      <c r="B236" s="470" t="s">
        <v>707</v>
      </c>
      <c r="C236" s="516"/>
      <c r="D236" s="516"/>
      <c r="E236" s="516"/>
      <c r="F236" s="420"/>
      <c r="G236" s="516"/>
      <c r="H236" s="516"/>
      <c r="I236" s="516"/>
      <c r="J236" s="516"/>
      <c r="K236" s="516"/>
      <c r="L236" s="516"/>
      <c r="M236" s="516"/>
      <c r="N236" s="516"/>
      <c r="O236" s="516"/>
      <c r="P236" s="516"/>
      <c r="Q236" s="421"/>
      <c r="U236" s="441"/>
    </row>
    <row r="237" spans="1:21" ht="15.75" customHeight="1" x14ac:dyDescent="0.2">
      <c r="A237" s="428">
        <v>13</v>
      </c>
      <c r="B237" s="447" t="s">
        <v>653</v>
      </c>
      <c r="C237" s="448">
        <f>C221+C233</f>
        <v>275519</v>
      </c>
      <c r="D237" s="448">
        <f>LN_IG1+LN_IG9</f>
        <v>224112</v>
      </c>
      <c r="E237" s="448">
        <f>D237-C237</f>
        <v>-51407</v>
      </c>
      <c r="F237" s="449">
        <f>IF(C237=0,0,E237/C237)</f>
        <v>-0.18658241355405616</v>
      </c>
      <c r="G237" s="450"/>
      <c r="H237" s="450"/>
      <c r="I237" s="450"/>
      <c r="J237" s="450"/>
      <c r="K237" s="450"/>
      <c r="L237" s="450"/>
      <c r="M237" s="450"/>
      <c r="N237" s="450"/>
      <c r="O237" s="450"/>
      <c r="P237" s="450"/>
      <c r="Q237" s="421"/>
      <c r="U237" s="518"/>
    </row>
    <row r="238" spans="1:21" ht="15.75" customHeight="1" x14ac:dyDescent="0.2">
      <c r="A238" s="428">
        <v>14</v>
      </c>
      <c r="B238" s="447" t="s">
        <v>654</v>
      </c>
      <c r="C238" s="448">
        <f>C222+C234</f>
        <v>119495</v>
      </c>
      <c r="D238" s="448">
        <f>LN_IG2+LN_IG10</f>
        <v>64984</v>
      </c>
      <c r="E238" s="448">
        <f>D238-C238</f>
        <v>-54511</v>
      </c>
      <c r="F238" s="449">
        <f>IF(C238=0,0,E238/C238)</f>
        <v>-0.45617808276496924</v>
      </c>
      <c r="G238" s="450"/>
      <c r="H238" s="450"/>
      <c r="I238" s="450"/>
      <c r="J238" s="450"/>
      <c r="K238" s="450"/>
      <c r="L238" s="450"/>
      <c r="M238" s="450"/>
      <c r="N238" s="450"/>
      <c r="O238" s="450"/>
      <c r="P238" s="450"/>
      <c r="Q238" s="421"/>
      <c r="U238" s="441"/>
    </row>
    <row r="239" spans="1:21" ht="15.75" customHeight="1" x14ac:dyDescent="0.2">
      <c r="A239" s="428">
        <v>15</v>
      </c>
      <c r="B239" s="447" t="s">
        <v>655</v>
      </c>
      <c r="C239" s="448">
        <f>C237-C238</f>
        <v>156024</v>
      </c>
      <c r="D239" s="448">
        <f>LN_IG13-LN_IG14</f>
        <v>159128</v>
      </c>
      <c r="E239" s="448">
        <f>D239-C239</f>
        <v>3104</v>
      </c>
      <c r="F239" s="449">
        <f>IF(C239=0,0,E239/C239)</f>
        <v>1.9894375224324464E-2</v>
      </c>
      <c r="G239" s="450"/>
      <c r="H239" s="450"/>
      <c r="I239" s="450"/>
      <c r="J239" s="450"/>
      <c r="K239" s="450"/>
      <c r="L239" s="450"/>
      <c r="M239" s="450"/>
      <c r="N239" s="450"/>
      <c r="O239" s="450"/>
      <c r="P239" s="450"/>
      <c r="Q239" s="421"/>
      <c r="U239" s="441"/>
    </row>
    <row r="240" spans="1:21" ht="15.75" customHeight="1" x14ac:dyDescent="0.2">
      <c r="A240" s="428"/>
      <c r="B240" s="447"/>
      <c r="C240" s="448"/>
      <c r="D240" s="448"/>
      <c r="E240" s="448"/>
      <c r="F240" s="449"/>
      <c r="G240" s="450"/>
      <c r="H240" s="450"/>
      <c r="I240" s="450"/>
      <c r="J240" s="450"/>
      <c r="K240" s="450"/>
      <c r="L240" s="450"/>
      <c r="M240" s="450"/>
      <c r="N240" s="450"/>
      <c r="O240" s="450"/>
      <c r="P240" s="450"/>
      <c r="Q240" s="421"/>
      <c r="U240" s="441"/>
    </row>
    <row r="241" spans="1:250" ht="15.75" customHeight="1" x14ac:dyDescent="0.25">
      <c r="A241" s="443" t="s">
        <v>185</v>
      </c>
      <c r="B241" s="444" t="s">
        <v>708</v>
      </c>
      <c r="C241" s="515"/>
      <c r="D241" s="443"/>
      <c r="E241" s="515"/>
      <c r="F241" s="443"/>
      <c r="G241" s="443"/>
      <c r="H241" s="515"/>
      <c r="I241" s="443"/>
      <c r="J241" s="515"/>
      <c r="K241" s="443"/>
      <c r="L241" s="515"/>
      <c r="M241" s="443"/>
      <c r="N241" s="515"/>
      <c r="O241" s="443"/>
      <c r="P241" s="515"/>
      <c r="Q241" s="443"/>
      <c r="R241" s="515"/>
      <c r="S241" s="443"/>
      <c r="T241" s="515"/>
      <c r="U241" s="443"/>
      <c r="V241" s="515"/>
      <c r="W241" s="443"/>
      <c r="X241" s="515"/>
      <c r="Y241" s="443"/>
      <c r="Z241" s="515"/>
      <c r="AA241" s="443"/>
      <c r="AB241" s="515"/>
      <c r="AC241" s="443"/>
      <c r="AD241" s="515"/>
      <c r="AE241" s="443"/>
      <c r="AF241" s="515"/>
      <c r="AG241" s="443"/>
      <c r="AH241" s="515"/>
      <c r="AI241" s="443"/>
      <c r="AJ241" s="515"/>
      <c r="AK241" s="443"/>
      <c r="AL241" s="515"/>
      <c r="AM241" s="443"/>
      <c r="AN241" s="515"/>
      <c r="AO241" s="443"/>
      <c r="AP241" s="515"/>
      <c r="AQ241" s="443"/>
      <c r="AR241" s="515"/>
      <c r="AS241" s="443"/>
      <c r="AT241" s="515"/>
      <c r="AU241" s="443"/>
      <c r="AV241" s="515"/>
      <c r="AW241" s="443"/>
      <c r="AX241" s="515"/>
      <c r="AY241" s="443"/>
      <c r="AZ241" s="515"/>
      <c r="BA241" s="443"/>
      <c r="BB241" s="515"/>
      <c r="BC241" s="443"/>
      <c r="BD241" s="515"/>
      <c r="BE241" s="443"/>
      <c r="BF241" s="515"/>
      <c r="BG241" s="443"/>
      <c r="BH241" s="515"/>
      <c r="BI241" s="443"/>
      <c r="BJ241" s="515"/>
      <c r="BK241" s="443"/>
      <c r="BL241" s="515"/>
      <c r="BM241" s="443"/>
      <c r="BN241" s="515"/>
      <c r="BO241" s="443"/>
      <c r="BP241" s="515"/>
      <c r="BQ241" s="443"/>
      <c r="BR241" s="515"/>
      <c r="BS241" s="443"/>
      <c r="BT241" s="515"/>
      <c r="BU241" s="443"/>
      <c r="BV241" s="515"/>
      <c r="BW241" s="443"/>
      <c r="BX241" s="515"/>
      <c r="BY241" s="443"/>
      <c r="BZ241" s="515"/>
      <c r="CA241" s="443"/>
      <c r="CB241" s="515"/>
      <c r="CC241" s="443"/>
      <c r="CD241" s="515"/>
      <c r="CE241" s="443"/>
      <c r="CF241" s="515"/>
      <c r="CG241" s="443"/>
      <c r="CH241" s="515"/>
      <c r="CI241" s="443"/>
      <c r="CJ241" s="515"/>
      <c r="CK241" s="443"/>
      <c r="CL241" s="515"/>
      <c r="CM241" s="443"/>
      <c r="CN241" s="515"/>
      <c r="CO241" s="443"/>
      <c r="CP241" s="515"/>
      <c r="CQ241" s="443"/>
      <c r="CR241" s="515"/>
      <c r="CS241" s="443"/>
      <c r="CT241" s="515"/>
      <c r="CU241" s="443"/>
      <c r="CV241" s="515"/>
      <c r="CW241" s="443"/>
      <c r="CX241" s="515"/>
      <c r="CY241" s="443"/>
      <c r="CZ241" s="515"/>
      <c r="DA241" s="443"/>
      <c r="DB241" s="515"/>
      <c r="DC241" s="443"/>
      <c r="DD241" s="515"/>
      <c r="DE241" s="443"/>
      <c r="DF241" s="515"/>
      <c r="DG241" s="443"/>
      <c r="DH241" s="515"/>
      <c r="DI241" s="443"/>
      <c r="DJ241" s="515"/>
      <c r="DK241" s="443"/>
      <c r="DL241" s="515"/>
      <c r="DM241" s="443"/>
      <c r="DN241" s="515"/>
      <c r="DO241" s="443"/>
      <c r="DP241" s="515"/>
      <c r="DQ241" s="443"/>
      <c r="DR241" s="515"/>
      <c r="DS241" s="443"/>
      <c r="DT241" s="515"/>
      <c r="DU241" s="443"/>
      <c r="DV241" s="515"/>
      <c r="DW241" s="443"/>
      <c r="DX241" s="515"/>
      <c r="DY241" s="443"/>
      <c r="DZ241" s="515"/>
      <c r="EA241" s="443"/>
      <c r="EB241" s="515"/>
      <c r="EC241" s="443"/>
      <c r="ED241" s="515"/>
      <c r="EE241" s="443"/>
      <c r="EF241" s="515"/>
      <c r="EG241" s="443"/>
      <c r="EH241" s="515"/>
      <c r="EI241" s="443"/>
      <c r="EJ241" s="515"/>
      <c r="EK241" s="443"/>
      <c r="EL241" s="515"/>
      <c r="EM241" s="443"/>
      <c r="EN241" s="515"/>
      <c r="EO241" s="443"/>
      <c r="EP241" s="515"/>
      <c r="EQ241" s="443"/>
      <c r="ER241" s="515"/>
      <c r="ES241" s="443"/>
      <c r="ET241" s="515"/>
      <c r="EU241" s="443"/>
      <c r="EV241" s="515"/>
      <c r="EW241" s="443"/>
      <c r="EX241" s="515"/>
      <c r="EY241" s="443"/>
      <c r="EZ241" s="515"/>
      <c r="FA241" s="443"/>
      <c r="FB241" s="515"/>
      <c r="FC241" s="443"/>
      <c r="FD241" s="515"/>
      <c r="FE241" s="443"/>
      <c r="FF241" s="515"/>
      <c r="FG241" s="443"/>
      <c r="FH241" s="515"/>
      <c r="FI241" s="443"/>
      <c r="FJ241" s="515"/>
      <c r="FK241" s="443"/>
      <c r="FL241" s="515"/>
      <c r="FM241" s="443"/>
      <c r="FN241" s="515"/>
      <c r="FO241" s="443"/>
      <c r="FP241" s="515"/>
      <c r="FQ241" s="443"/>
      <c r="FR241" s="515"/>
      <c r="FS241" s="443"/>
      <c r="FT241" s="515"/>
      <c r="FU241" s="443"/>
      <c r="FV241" s="515"/>
      <c r="FW241" s="443"/>
      <c r="FX241" s="515"/>
      <c r="FY241" s="443"/>
      <c r="FZ241" s="515"/>
      <c r="GA241" s="443"/>
      <c r="GB241" s="515"/>
      <c r="GC241" s="443"/>
      <c r="GD241" s="515"/>
      <c r="GE241" s="443"/>
      <c r="GF241" s="515"/>
      <c r="GG241" s="443"/>
      <c r="GH241" s="515"/>
      <c r="GI241" s="443"/>
      <c r="GJ241" s="515"/>
      <c r="GK241" s="443"/>
      <c r="GL241" s="515"/>
      <c r="GM241" s="443"/>
      <c r="GN241" s="515"/>
      <c r="GO241" s="443"/>
      <c r="GP241" s="515"/>
      <c r="GQ241" s="443"/>
      <c r="GR241" s="515"/>
      <c r="GS241" s="443"/>
      <c r="GT241" s="515"/>
      <c r="GU241" s="443"/>
      <c r="GV241" s="515"/>
      <c r="GW241" s="443"/>
      <c r="GX241" s="515"/>
      <c r="GY241" s="443"/>
      <c r="GZ241" s="515"/>
      <c r="HA241" s="443"/>
      <c r="HB241" s="515"/>
      <c r="HC241" s="443"/>
      <c r="HD241" s="515"/>
      <c r="HE241" s="443"/>
      <c r="HF241" s="515"/>
      <c r="HG241" s="443"/>
      <c r="HH241" s="515"/>
      <c r="HI241" s="443"/>
      <c r="HJ241" s="515"/>
      <c r="HK241" s="443"/>
      <c r="HL241" s="515"/>
      <c r="HM241" s="443"/>
      <c r="HN241" s="515"/>
      <c r="HO241" s="443"/>
      <c r="HP241" s="515"/>
      <c r="HQ241" s="443"/>
      <c r="HR241" s="515"/>
      <c r="HS241" s="443"/>
      <c r="HT241" s="515"/>
      <c r="HU241" s="443"/>
      <c r="HV241" s="515"/>
      <c r="HW241" s="443"/>
      <c r="HX241" s="515"/>
      <c r="HY241" s="443"/>
      <c r="HZ241" s="515"/>
      <c r="IA241" s="443"/>
      <c r="IB241" s="515"/>
      <c r="IC241" s="443"/>
      <c r="ID241" s="515"/>
      <c r="IE241" s="443"/>
      <c r="IF241" s="515"/>
      <c r="IG241" s="443"/>
      <c r="IH241" s="515"/>
      <c r="II241" s="443"/>
      <c r="IJ241" s="515"/>
      <c r="IK241" s="443"/>
      <c r="IL241" s="515"/>
      <c r="IM241" s="443"/>
      <c r="IN241" s="515"/>
      <c r="IO241" s="443"/>
      <c r="IP241" s="515"/>
    </row>
    <row r="242" spans="1:250" ht="8.25" customHeight="1" x14ac:dyDescent="0.25">
      <c r="A242" s="443"/>
      <c r="B242" s="495"/>
      <c r="C242" s="474"/>
      <c r="D242" s="474"/>
      <c r="E242" s="474"/>
      <c r="F242" s="449"/>
      <c r="G242" s="475"/>
      <c r="H242" s="475"/>
      <c r="I242" s="475"/>
      <c r="J242" s="475"/>
      <c r="K242" s="475"/>
      <c r="L242" s="475"/>
      <c r="M242" s="475"/>
      <c r="N242" s="475"/>
      <c r="O242" s="475"/>
      <c r="P242" s="475"/>
      <c r="Q242" s="421"/>
      <c r="U242" s="476"/>
    </row>
    <row r="243" spans="1:250" ht="15.75" customHeight="1" x14ac:dyDescent="0.2">
      <c r="A243" s="428">
        <v>1</v>
      </c>
      <c r="B243" s="447" t="s">
        <v>709</v>
      </c>
      <c r="C243" s="448">
        <v>429185</v>
      </c>
      <c r="D243" s="448">
        <v>1092483</v>
      </c>
      <c r="E243" s="441">
        <f>D243-C243</f>
        <v>663298</v>
      </c>
      <c r="F243" s="503">
        <f>IF(C243=0,0,E243/C243)</f>
        <v>1.5454827172431469</v>
      </c>
      <c r="G243" s="450"/>
      <c r="H243" s="450"/>
      <c r="I243" s="450"/>
      <c r="J243" s="450"/>
      <c r="K243" s="450"/>
      <c r="L243" s="450"/>
      <c r="M243" s="450"/>
      <c r="N243" s="450"/>
      <c r="O243" s="450"/>
      <c r="P243" s="450"/>
      <c r="Q243" s="421"/>
      <c r="U243" s="476"/>
    </row>
    <row r="244" spans="1:250" ht="15.75" customHeight="1" x14ac:dyDescent="0.2">
      <c r="A244" s="428">
        <v>2</v>
      </c>
      <c r="B244" s="447" t="s">
        <v>710</v>
      </c>
      <c r="C244" s="448">
        <v>49401485</v>
      </c>
      <c r="D244" s="448">
        <v>48236048</v>
      </c>
      <c r="E244" s="441">
        <f>D244-C244</f>
        <v>-1165437</v>
      </c>
      <c r="F244" s="503">
        <f>IF(C244=0,0,E244/C244)</f>
        <v>-2.3591132938615103E-2</v>
      </c>
      <c r="G244" s="450"/>
      <c r="H244" s="450"/>
      <c r="I244" s="450"/>
      <c r="J244" s="450"/>
      <c r="K244" s="450"/>
      <c r="L244" s="450"/>
      <c r="M244" s="450"/>
      <c r="N244" s="450"/>
      <c r="O244" s="450"/>
      <c r="P244" s="450"/>
      <c r="Q244" s="421"/>
      <c r="U244" s="441"/>
    </row>
    <row r="245" spans="1:250" ht="15.75" customHeight="1" x14ac:dyDescent="0.2">
      <c r="A245" s="428">
        <v>3</v>
      </c>
      <c r="B245" s="447" t="s">
        <v>711</v>
      </c>
      <c r="C245" s="488">
        <v>0</v>
      </c>
      <c r="D245" s="488">
        <v>0</v>
      </c>
      <c r="E245" s="488">
        <f>D245-C245</f>
        <v>0</v>
      </c>
      <c r="F245" s="489">
        <f>IF(C245=0,0,E245/C245)</f>
        <v>0</v>
      </c>
      <c r="G245" s="522"/>
      <c r="H245" s="522"/>
      <c r="I245" s="522"/>
      <c r="J245" s="522"/>
      <c r="K245" s="522"/>
      <c r="L245" s="522"/>
      <c r="M245" s="522"/>
      <c r="N245" s="522"/>
      <c r="O245" s="522"/>
      <c r="P245" s="490"/>
      <c r="Q245" s="421"/>
      <c r="U245" s="441"/>
    </row>
    <row r="246" spans="1:250" ht="15.75" customHeight="1" x14ac:dyDescent="0.2">
      <c r="A246" s="502"/>
      <c r="B246" s="447"/>
      <c r="C246" s="474"/>
      <c r="D246" s="474"/>
      <c r="E246" s="474"/>
      <c r="F246" s="449"/>
      <c r="G246" s="475"/>
      <c r="H246" s="475"/>
      <c r="I246" s="475"/>
      <c r="J246" s="475"/>
      <c r="K246" s="475"/>
      <c r="L246" s="475"/>
      <c r="M246" s="475"/>
      <c r="N246" s="475"/>
      <c r="O246" s="475"/>
      <c r="P246" s="475"/>
      <c r="Q246" s="421"/>
      <c r="U246" s="492"/>
    </row>
    <row r="247" spans="1:250" ht="15.75" customHeight="1" x14ac:dyDescent="0.25">
      <c r="A247" s="451"/>
      <c r="B247" s="446" t="s">
        <v>712</v>
      </c>
      <c r="C247" s="441"/>
      <c r="D247" s="441"/>
      <c r="E247" s="441"/>
      <c r="F247" s="449"/>
      <c r="G247" s="477"/>
      <c r="H247" s="477"/>
      <c r="I247" s="477"/>
      <c r="J247" s="477"/>
      <c r="K247" s="477"/>
      <c r="L247" s="477"/>
      <c r="M247" s="477"/>
      <c r="N247" s="477"/>
      <c r="O247" s="477"/>
      <c r="P247" s="477"/>
      <c r="Q247" s="421"/>
      <c r="U247" s="476"/>
    </row>
    <row r="248" spans="1:250" ht="15.75" customHeight="1" x14ac:dyDescent="0.2">
      <c r="A248" s="451">
        <v>4</v>
      </c>
      <c r="B248" s="523" t="s">
        <v>713</v>
      </c>
      <c r="C248" s="441">
        <v>941923</v>
      </c>
      <c r="D248" s="441">
        <v>892961</v>
      </c>
      <c r="E248" s="441">
        <f>D248-C248</f>
        <v>-48962</v>
      </c>
      <c r="F248" s="449">
        <f>IF(C248=0,0,E248/C248)</f>
        <v>-5.1980894404319675E-2</v>
      </c>
      <c r="G248" s="477"/>
      <c r="H248" s="477"/>
      <c r="I248" s="477"/>
      <c r="J248" s="477"/>
      <c r="K248" s="477"/>
      <c r="L248" s="477"/>
      <c r="M248" s="477"/>
      <c r="N248" s="477"/>
      <c r="O248" s="477"/>
      <c r="P248" s="477"/>
      <c r="Q248" s="421"/>
      <c r="U248" s="441"/>
    </row>
    <row r="249" spans="1:250" ht="15.75" customHeight="1" x14ac:dyDescent="0.2">
      <c r="A249" s="451">
        <v>5</v>
      </c>
      <c r="B249" s="523" t="s">
        <v>714</v>
      </c>
      <c r="C249" s="441">
        <v>2293507</v>
      </c>
      <c r="D249" s="441">
        <v>2270701</v>
      </c>
      <c r="E249" s="441">
        <f>D249-C249</f>
        <v>-22806</v>
      </c>
      <c r="F249" s="449">
        <f>IF(C249=0,0,E249/C249)</f>
        <v>-9.9437237383622548E-3</v>
      </c>
      <c r="G249" s="477"/>
      <c r="H249" s="477"/>
      <c r="I249" s="477"/>
      <c r="J249" s="477"/>
      <c r="K249" s="477"/>
      <c r="L249" s="477"/>
      <c r="M249" s="477"/>
      <c r="N249" s="477"/>
      <c r="O249" s="477"/>
      <c r="P249" s="477"/>
      <c r="Q249" s="421"/>
      <c r="U249" s="441"/>
    </row>
    <row r="250" spans="1:250" ht="15.75" customHeight="1" x14ac:dyDescent="0.2">
      <c r="A250" s="451">
        <v>6</v>
      </c>
      <c r="B250" s="452" t="s">
        <v>715</v>
      </c>
      <c r="C250" s="441">
        <f>C248+C249</f>
        <v>3235430</v>
      </c>
      <c r="D250" s="441">
        <f>LN_IH4+LN_IH5</f>
        <v>3163662</v>
      </c>
      <c r="E250" s="441">
        <f>D250-C250</f>
        <v>-71768</v>
      </c>
      <c r="F250" s="449">
        <f>IF(C250=0,0,E250/C250)</f>
        <v>-2.2181904723637971E-2</v>
      </c>
      <c r="G250" s="477"/>
      <c r="H250" s="477"/>
      <c r="I250" s="477"/>
      <c r="J250" s="477"/>
      <c r="K250" s="477"/>
      <c r="L250" s="477"/>
      <c r="M250" s="477"/>
      <c r="N250" s="477"/>
      <c r="O250" s="477"/>
      <c r="P250" s="477"/>
      <c r="Q250" s="421"/>
      <c r="U250" s="441"/>
    </row>
    <row r="251" spans="1:250" ht="15.75" customHeight="1" x14ac:dyDescent="0.2">
      <c r="A251" s="451">
        <v>7</v>
      </c>
      <c r="B251" s="452" t="s">
        <v>716</v>
      </c>
      <c r="C251" s="441">
        <f>C250*C313</f>
        <v>1154833.1966834581</v>
      </c>
      <c r="D251" s="441">
        <f>LN_IH6*LN_III10</f>
        <v>1075084.7528044167</v>
      </c>
      <c r="E251" s="441">
        <f>D251-C251</f>
        <v>-79748.443879041355</v>
      </c>
      <c r="F251" s="449">
        <f>IF(C251=0,0,E251/C251)</f>
        <v>-6.9056244752981888E-2</v>
      </c>
      <c r="G251" s="475"/>
      <c r="H251" s="475"/>
      <c r="I251" s="475"/>
      <c r="J251" s="475"/>
      <c r="K251" s="475"/>
      <c r="L251" s="475"/>
      <c r="M251" s="475"/>
      <c r="N251" s="475"/>
      <c r="O251" s="475"/>
      <c r="P251" s="475"/>
      <c r="Q251" s="421"/>
      <c r="U251" s="441"/>
    </row>
    <row r="252" spans="1:250" ht="15.75" customHeight="1" x14ac:dyDescent="0.2">
      <c r="A252" s="502"/>
      <c r="B252" s="447"/>
      <c r="C252" s="474"/>
      <c r="D252" s="474"/>
      <c r="E252" s="474"/>
      <c r="F252" s="449"/>
      <c r="G252" s="475"/>
      <c r="H252" s="475"/>
      <c r="I252" s="475"/>
      <c r="J252" s="475"/>
      <c r="K252" s="475"/>
      <c r="L252" s="475"/>
      <c r="M252" s="475"/>
      <c r="N252" s="475"/>
      <c r="O252" s="475"/>
      <c r="P252" s="475"/>
      <c r="Q252" s="421"/>
      <c r="U252" s="441"/>
    </row>
    <row r="253" spans="1:250" ht="15.75" customHeight="1" x14ac:dyDescent="0.2">
      <c r="A253" s="428"/>
      <c r="B253" s="434" t="s">
        <v>717</v>
      </c>
      <c r="C253" s="420"/>
      <c r="D253" s="420"/>
      <c r="E253" s="420"/>
      <c r="F253" s="420"/>
      <c r="Q253" s="421"/>
      <c r="U253" s="476"/>
    </row>
    <row r="254" spans="1:250" ht="15.75" customHeight="1" x14ac:dyDescent="0.2">
      <c r="A254" s="428">
        <v>8</v>
      </c>
      <c r="B254" s="447" t="s">
        <v>653</v>
      </c>
      <c r="C254" s="441">
        <f>C188+C203</f>
        <v>15900246</v>
      </c>
      <c r="D254" s="441">
        <f>LN_IF23</f>
        <v>19182465</v>
      </c>
      <c r="E254" s="441">
        <f>D254-C254</f>
        <v>3282219</v>
      </c>
      <c r="F254" s="449">
        <f>IF(C254=0,0,E254/C254)</f>
        <v>0.20642567416881474</v>
      </c>
      <c r="G254" s="477"/>
      <c r="H254" s="477"/>
      <c r="I254" s="477"/>
      <c r="J254" s="477"/>
      <c r="K254" s="477"/>
      <c r="L254" s="477"/>
      <c r="M254" s="477"/>
      <c r="N254" s="477"/>
      <c r="O254" s="477"/>
      <c r="P254" s="477"/>
      <c r="Q254" s="421"/>
      <c r="U254" s="438"/>
    </row>
    <row r="255" spans="1:250" ht="15.75" customHeight="1" x14ac:dyDescent="0.2">
      <c r="A255" s="428">
        <v>9</v>
      </c>
      <c r="B255" s="447" t="s">
        <v>654</v>
      </c>
      <c r="C255" s="441">
        <f>C189+C204</f>
        <v>3853076</v>
      </c>
      <c r="D255" s="441">
        <f>LN_IF24</f>
        <v>4306065</v>
      </c>
      <c r="E255" s="441">
        <f>D255-C255</f>
        <v>452989</v>
      </c>
      <c r="F255" s="449">
        <f>IF(C255=0,0,E255/C255)</f>
        <v>0.11756555022532647</v>
      </c>
      <c r="G255" s="477"/>
      <c r="H255" s="477"/>
      <c r="I255" s="477"/>
      <c r="J255" s="477"/>
      <c r="K255" s="477"/>
      <c r="L255" s="477"/>
      <c r="M255" s="477"/>
      <c r="N255" s="477"/>
      <c r="O255" s="477"/>
      <c r="P255" s="477"/>
      <c r="Q255" s="421"/>
      <c r="U255" s="441"/>
    </row>
    <row r="256" spans="1:250" ht="15.75" customHeight="1" x14ac:dyDescent="0.2">
      <c r="A256" s="428">
        <v>10</v>
      </c>
      <c r="B256" s="447" t="s">
        <v>718</v>
      </c>
      <c r="C256" s="441">
        <f>C254*C313</f>
        <v>5675329.6829890832</v>
      </c>
      <c r="D256" s="441">
        <f>LN_IH8*LN_III10</f>
        <v>6518640.6268129703</v>
      </c>
      <c r="E256" s="441">
        <f>D256-C256</f>
        <v>843310.94382388704</v>
      </c>
      <c r="F256" s="449">
        <f>IF(C256=0,0,E256/C256)</f>
        <v>0.14859241505415627</v>
      </c>
      <c r="G256" s="477"/>
      <c r="H256" s="477"/>
      <c r="I256" s="477"/>
      <c r="J256" s="477"/>
      <c r="K256" s="477"/>
      <c r="L256" s="477"/>
      <c r="M256" s="477"/>
      <c r="N256" s="477"/>
      <c r="O256" s="477"/>
      <c r="P256" s="477"/>
      <c r="Q256" s="421"/>
      <c r="U256" s="441"/>
    </row>
    <row r="257" spans="1:21" ht="15.75" customHeight="1" x14ac:dyDescent="0.2">
      <c r="A257" s="428">
        <v>11</v>
      </c>
      <c r="B257" s="452" t="s">
        <v>719</v>
      </c>
      <c r="C257" s="441">
        <f>C256-C255</f>
        <v>1822253.6829890832</v>
      </c>
      <c r="D257" s="441">
        <f>LN_IH10-LN_IH9</f>
        <v>2212575.6268129703</v>
      </c>
      <c r="E257" s="441">
        <f>D257-C257</f>
        <v>390321.94382388704</v>
      </c>
      <c r="F257" s="449">
        <f>IF(C257=0,0,E257/C257)</f>
        <v>0.21419736860327443</v>
      </c>
      <c r="G257" s="477"/>
      <c r="H257" s="477"/>
      <c r="I257" s="477"/>
      <c r="J257" s="477"/>
      <c r="K257" s="477"/>
      <c r="L257" s="477"/>
      <c r="M257" s="477"/>
      <c r="N257" s="477"/>
      <c r="O257" s="477"/>
      <c r="P257" s="477"/>
      <c r="Q257" s="421"/>
      <c r="U257" s="441"/>
    </row>
    <row r="258" spans="1:21" ht="15.75" customHeight="1" x14ac:dyDescent="0.25">
      <c r="A258" s="436" t="s">
        <v>44</v>
      </c>
      <c r="B258" s="437" t="s">
        <v>720</v>
      </c>
      <c r="C258" s="474"/>
      <c r="D258" s="474"/>
      <c r="E258" s="474"/>
      <c r="F258" s="449"/>
      <c r="G258" s="475"/>
      <c r="H258" s="475"/>
      <c r="I258" s="475"/>
      <c r="J258" s="475"/>
      <c r="K258" s="475"/>
      <c r="L258" s="475"/>
      <c r="M258" s="475"/>
      <c r="N258" s="475"/>
      <c r="O258" s="475"/>
      <c r="P258" s="475"/>
      <c r="Q258" s="421"/>
      <c r="U258" s="441"/>
    </row>
    <row r="259" spans="1:21" ht="15.75" customHeight="1" x14ac:dyDescent="0.2">
      <c r="A259" s="502"/>
      <c r="B259" s="447"/>
      <c r="C259" s="474"/>
      <c r="D259" s="474"/>
      <c r="E259" s="474"/>
      <c r="F259" s="449"/>
      <c r="G259" s="475"/>
      <c r="H259" s="475"/>
      <c r="I259" s="475"/>
      <c r="J259" s="475"/>
      <c r="K259" s="475"/>
      <c r="L259" s="475"/>
      <c r="M259" s="475"/>
      <c r="N259" s="475"/>
      <c r="O259" s="475"/>
      <c r="P259" s="475"/>
      <c r="Q259" s="421"/>
      <c r="U259" s="476"/>
    </row>
    <row r="260" spans="1:21" ht="15.75" customHeight="1" x14ac:dyDescent="0.25">
      <c r="A260" s="419" t="s">
        <v>14</v>
      </c>
      <c r="B260" s="446" t="s">
        <v>721</v>
      </c>
      <c r="C260" s="496"/>
      <c r="D260" s="496"/>
      <c r="E260" s="496"/>
      <c r="F260" s="496"/>
      <c r="G260" s="496"/>
      <c r="H260" s="496"/>
      <c r="I260" s="496"/>
      <c r="J260" s="496"/>
      <c r="K260" s="496"/>
      <c r="L260" s="496"/>
      <c r="M260" s="496"/>
      <c r="N260" s="496"/>
      <c r="O260" s="496"/>
      <c r="P260" s="496"/>
      <c r="Q260" s="421"/>
      <c r="U260" s="476"/>
    </row>
    <row r="261" spans="1:21" ht="15.75" customHeight="1" x14ac:dyDescent="0.2">
      <c r="A261" s="428">
        <v>1</v>
      </c>
      <c r="B261" s="447" t="s">
        <v>465</v>
      </c>
      <c r="C261" s="448">
        <f>C15+C42+C188+C221</f>
        <v>61394562</v>
      </c>
      <c r="D261" s="448">
        <f>LN_IA1+LN_IB1+LN_IF1+LN_IG1</f>
        <v>57855847</v>
      </c>
      <c r="E261" s="448">
        <f t="shared" ref="E261:E274" si="26">D261-C261</f>
        <v>-3538715</v>
      </c>
      <c r="F261" s="503">
        <f t="shared" ref="F261:F274" si="27">IF(C261=0,0,E261/C261)</f>
        <v>-5.7638899679746877E-2</v>
      </c>
      <c r="G261" s="450"/>
      <c r="H261" s="450"/>
      <c r="I261" s="450"/>
      <c r="J261" s="450"/>
      <c r="K261" s="450"/>
      <c r="L261" s="450"/>
      <c r="M261" s="450"/>
      <c r="N261" s="450"/>
      <c r="O261" s="450"/>
      <c r="P261" s="490"/>
      <c r="Q261" s="421"/>
      <c r="U261" s="494"/>
    </row>
    <row r="262" spans="1:21" ht="15.75" customHeight="1" x14ac:dyDescent="0.2">
      <c r="A262" s="451">
        <v>2</v>
      </c>
      <c r="B262" s="447" t="s">
        <v>466</v>
      </c>
      <c r="C262" s="448">
        <f>C16+C43+C189+C222</f>
        <v>26741610</v>
      </c>
      <c r="D262" s="448">
        <f>+LN_IA2+LN_IB2+LN_IF2+LN_IG2</f>
        <v>23486956</v>
      </c>
      <c r="E262" s="448">
        <f t="shared" si="26"/>
        <v>-3254654</v>
      </c>
      <c r="F262" s="503">
        <f t="shared" si="27"/>
        <v>-0.12170748133713714</v>
      </c>
      <c r="G262" s="450"/>
      <c r="H262" s="450"/>
      <c r="I262" s="450"/>
      <c r="J262" s="450"/>
      <c r="K262" s="450"/>
      <c r="L262" s="450"/>
      <c r="M262" s="450"/>
      <c r="N262" s="450"/>
      <c r="O262" s="450"/>
      <c r="P262" s="490"/>
      <c r="Q262" s="421"/>
      <c r="U262" s="441"/>
    </row>
    <row r="263" spans="1:21" ht="15.75" customHeight="1" x14ac:dyDescent="0.2">
      <c r="A263" s="451">
        <v>3</v>
      </c>
      <c r="B263" s="452" t="s">
        <v>722</v>
      </c>
      <c r="C263" s="453">
        <f>IF(C261=0,0,C262/C261)</f>
        <v>0.43556968449420652</v>
      </c>
      <c r="D263" s="453">
        <f>IF(LN_IIA1=0,0,LN_IIA2/LN_IIA1)</f>
        <v>0.40595648007711305</v>
      </c>
      <c r="E263" s="454">
        <f t="shared" si="26"/>
        <v>-2.9613204417093475E-2</v>
      </c>
      <c r="F263" s="458">
        <f t="shared" si="27"/>
        <v>-6.7987294504852885E-2</v>
      </c>
      <c r="G263" s="455"/>
      <c r="H263" s="455"/>
      <c r="I263" s="455"/>
      <c r="J263" s="455"/>
      <c r="K263" s="455"/>
      <c r="L263" s="455"/>
      <c r="M263" s="455"/>
      <c r="N263" s="455"/>
      <c r="O263" s="455"/>
      <c r="P263" s="455"/>
      <c r="Q263" s="421"/>
      <c r="U263" s="441"/>
    </row>
    <row r="264" spans="1:21" ht="15.75" customHeight="1" x14ac:dyDescent="0.2">
      <c r="A264" s="451">
        <v>4</v>
      </c>
      <c r="B264" s="447" t="s">
        <v>138</v>
      </c>
      <c r="C264" s="456">
        <f>C18+C45+C191+C224</f>
        <v>2878</v>
      </c>
      <c r="D264" s="456">
        <f>LN_IA4+LN_IB4+LN_IF4+LN_IG3</f>
        <v>2616</v>
      </c>
      <c r="E264" s="456">
        <f t="shared" si="26"/>
        <v>-262</v>
      </c>
      <c r="F264" s="503">
        <f t="shared" si="27"/>
        <v>-9.1035441278665738E-2</v>
      </c>
      <c r="G264" s="457"/>
      <c r="H264" s="457"/>
      <c r="I264" s="457"/>
      <c r="J264" s="457"/>
      <c r="K264" s="457"/>
      <c r="L264" s="457"/>
      <c r="M264" s="457"/>
      <c r="N264" s="457"/>
      <c r="O264" s="457"/>
      <c r="P264" s="524"/>
      <c r="Q264" s="421"/>
      <c r="U264" s="458"/>
    </row>
    <row r="265" spans="1:21" ht="15.75" customHeight="1" x14ac:dyDescent="0.2">
      <c r="A265" s="451">
        <v>5</v>
      </c>
      <c r="B265" s="447" t="s">
        <v>723</v>
      </c>
      <c r="C265" s="525">
        <f>IF(C264=0,0,C266/C264)</f>
        <v>1.0947610145934676</v>
      </c>
      <c r="D265" s="525">
        <f>IF(LN_IIA4=0,0,LN_IIA6/LN_IIA4)</f>
        <v>1.0726553134556576</v>
      </c>
      <c r="E265" s="525">
        <f t="shared" si="26"/>
        <v>-2.2105701137810074E-2</v>
      </c>
      <c r="F265" s="503">
        <f t="shared" si="27"/>
        <v>-2.0192261912083963E-2</v>
      </c>
      <c r="G265" s="526"/>
      <c r="H265" s="526"/>
      <c r="I265" s="526"/>
      <c r="J265" s="526"/>
      <c r="K265" s="526"/>
      <c r="L265" s="526"/>
      <c r="M265" s="526"/>
      <c r="N265" s="526"/>
      <c r="O265" s="526"/>
      <c r="P265" s="526"/>
      <c r="Q265" s="421"/>
      <c r="U265" s="462"/>
    </row>
    <row r="266" spans="1:21" ht="15.75" customHeight="1" x14ac:dyDescent="0.2">
      <c r="A266" s="451">
        <v>6</v>
      </c>
      <c r="B266" s="447" t="s">
        <v>724</v>
      </c>
      <c r="C266" s="463">
        <f>C20+C47+C193+C226</f>
        <v>3150.7221999999997</v>
      </c>
      <c r="D266" s="463">
        <f>LN_IA6+LN_IB6+LN_IF6+LN_IG5</f>
        <v>2806.0663</v>
      </c>
      <c r="E266" s="463">
        <f t="shared" si="26"/>
        <v>-344.65589999999975</v>
      </c>
      <c r="F266" s="503">
        <f t="shared" si="27"/>
        <v>-0.10938949171716877</v>
      </c>
      <c r="G266" s="457"/>
      <c r="H266" s="457"/>
      <c r="I266" s="457"/>
      <c r="J266" s="457"/>
      <c r="K266" s="457"/>
      <c r="L266" s="457"/>
      <c r="M266" s="457"/>
      <c r="N266" s="457"/>
      <c r="O266" s="457"/>
      <c r="P266" s="457"/>
      <c r="Q266" s="421"/>
      <c r="U266" s="527"/>
    </row>
    <row r="267" spans="1:21" ht="15.75" customHeight="1" x14ac:dyDescent="0.2">
      <c r="A267" s="451">
        <v>7</v>
      </c>
      <c r="B267" s="447" t="s">
        <v>467</v>
      </c>
      <c r="C267" s="448">
        <f>C27+C56+C203+C233</f>
        <v>86046480</v>
      </c>
      <c r="D267" s="448">
        <f>LN_IA11+LN_IB13+LN_IF14+LN_IG9</f>
        <v>87316500</v>
      </c>
      <c r="E267" s="448">
        <f t="shared" si="26"/>
        <v>1270020</v>
      </c>
      <c r="F267" s="503">
        <f t="shared" si="27"/>
        <v>1.4759697317077932E-2</v>
      </c>
      <c r="G267" s="450"/>
      <c r="H267" s="450"/>
      <c r="I267" s="450"/>
      <c r="J267" s="450"/>
      <c r="K267" s="450"/>
      <c r="L267" s="450"/>
      <c r="M267" s="450"/>
      <c r="N267" s="450"/>
      <c r="O267" s="450"/>
      <c r="P267" s="490"/>
      <c r="Q267" s="421"/>
      <c r="U267" s="462"/>
    </row>
    <row r="268" spans="1:21" ht="15.75" customHeight="1" x14ac:dyDescent="0.2">
      <c r="A268" s="451">
        <v>8</v>
      </c>
      <c r="B268" s="452" t="s">
        <v>649</v>
      </c>
      <c r="C268" s="453">
        <f>IF(C261=0,0,C267/C261)</f>
        <v>1.4015325982780038</v>
      </c>
      <c r="D268" s="453">
        <f>IF(LN_IIA1=0,0,LN_IIA7/LN_IIA1)</f>
        <v>1.5092078766040709</v>
      </c>
      <c r="E268" s="454">
        <f t="shared" si="26"/>
        <v>0.10767527832606705</v>
      </c>
      <c r="F268" s="458">
        <f t="shared" si="27"/>
        <v>7.6826809778354446E-2</v>
      </c>
      <c r="G268" s="455"/>
      <c r="H268" s="455"/>
      <c r="I268" s="455"/>
      <c r="J268" s="455"/>
      <c r="K268" s="455"/>
      <c r="L268" s="455"/>
      <c r="M268" s="455"/>
      <c r="N268" s="455"/>
      <c r="O268" s="455"/>
      <c r="P268" s="455"/>
      <c r="Q268" s="421"/>
      <c r="U268" s="441"/>
    </row>
    <row r="269" spans="1:21" ht="15.75" customHeight="1" x14ac:dyDescent="0.2">
      <c r="A269" s="451">
        <v>9</v>
      </c>
      <c r="B269" s="447" t="s">
        <v>468</v>
      </c>
      <c r="C269" s="448">
        <f>C28+C57+C204+C234</f>
        <v>25885051</v>
      </c>
      <c r="D269" s="448">
        <f>LN_IA12+LN_IB14+LN_IF15+LN_IG10</f>
        <v>25845930</v>
      </c>
      <c r="E269" s="448">
        <f t="shared" si="26"/>
        <v>-39121</v>
      </c>
      <c r="F269" s="503">
        <f t="shared" si="27"/>
        <v>-1.5113356353827544E-3</v>
      </c>
      <c r="G269" s="450"/>
      <c r="H269" s="450"/>
      <c r="I269" s="450"/>
      <c r="J269" s="450"/>
      <c r="K269" s="450"/>
      <c r="L269" s="450"/>
      <c r="M269" s="450"/>
      <c r="N269" s="450"/>
      <c r="O269" s="450"/>
      <c r="P269" s="490"/>
      <c r="Q269" s="421"/>
      <c r="U269" s="458"/>
    </row>
    <row r="270" spans="1:21" ht="15.75" customHeight="1" x14ac:dyDescent="0.2">
      <c r="A270" s="451">
        <v>10</v>
      </c>
      <c r="B270" s="452" t="s">
        <v>648</v>
      </c>
      <c r="C270" s="453">
        <f>IF(C267=0,0,C269/C267)</f>
        <v>0.30082637895239878</v>
      </c>
      <c r="D270" s="453">
        <f>IF(LN_IIA7=0,0,LN_IIA9/LN_IIA7)</f>
        <v>0.29600281733692946</v>
      </c>
      <c r="E270" s="454">
        <f t="shared" si="26"/>
        <v>-4.8235616154693184E-3</v>
      </c>
      <c r="F270" s="458">
        <f t="shared" si="27"/>
        <v>-1.603437049725142E-2</v>
      </c>
      <c r="G270" s="455"/>
      <c r="H270" s="455"/>
      <c r="I270" s="455"/>
      <c r="J270" s="455"/>
      <c r="K270" s="455"/>
      <c r="L270" s="455"/>
      <c r="M270" s="455"/>
      <c r="N270" s="455"/>
      <c r="O270" s="455"/>
      <c r="P270" s="455"/>
      <c r="Q270" s="421"/>
      <c r="U270" s="441"/>
    </row>
    <row r="271" spans="1:21" ht="15.75" customHeight="1" x14ac:dyDescent="0.2">
      <c r="A271" s="451">
        <v>11</v>
      </c>
      <c r="B271" s="447" t="s">
        <v>725</v>
      </c>
      <c r="C271" s="441">
        <f>C261+C267</f>
        <v>147441042</v>
      </c>
      <c r="D271" s="441">
        <f>LN_IIA1+LN_IIA7</f>
        <v>145172347</v>
      </c>
      <c r="E271" s="441">
        <f t="shared" si="26"/>
        <v>-2268695</v>
      </c>
      <c r="F271" s="503">
        <f t="shared" si="27"/>
        <v>-1.538713352283552E-2</v>
      </c>
      <c r="G271" s="477"/>
      <c r="H271" s="477"/>
      <c r="I271" s="477"/>
      <c r="J271" s="477"/>
      <c r="K271" s="477"/>
      <c r="L271" s="477"/>
      <c r="M271" s="477"/>
      <c r="N271" s="477"/>
      <c r="O271" s="477"/>
      <c r="P271" s="490"/>
      <c r="Q271" s="421"/>
      <c r="U271" s="458"/>
    </row>
    <row r="272" spans="1:21" ht="15.75" customHeight="1" x14ac:dyDescent="0.2">
      <c r="A272" s="451">
        <v>12</v>
      </c>
      <c r="B272" s="447" t="s">
        <v>726</v>
      </c>
      <c r="C272" s="441">
        <f>C262+C269</f>
        <v>52626661</v>
      </c>
      <c r="D272" s="441">
        <f>LN_IIA2+LN_IIA9</f>
        <v>49332886</v>
      </c>
      <c r="E272" s="441">
        <f t="shared" si="26"/>
        <v>-3293775</v>
      </c>
      <c r="F272" s="503">
        <f t="shared" si="27"/>
        <v>-6.2587573245431627E-2</v>
      </c>
      <c r="G272" s="477"/>
      <c r="H272" s="477"/>
      <c r="I272" s="477"/>
      <c r="J272" s="477"/>
      <c r="K272" s="477"/>
      <c r="L272" s="477"/>
      <c r="M272" s="477"/>
      <c r="N272" s="477"/>
      <c r="O272" s="477"/>
      <c r="P272" s="490"/>
      <c r="Q272" s="421"/>
      <c r="U272" s="441"/>
    </row>
    <row r="273" spans="1:21" ht="15.75" customHeight="1" x14ac:dyDescent="0.2">
      <c r="A273" s="451">
        <v>13</v>
      </c>
      <c r="B273" s="452" t="s">
        <v>727</v>
      </c>
      <c r="C273" s="453">
        <f>IF(C271=0,0,C272/C271)</f>
        <v>0.35693359383610435</v>
      </c>
      <c r="D273" s="453">
        <f>IF(LN_IIA11=0,0,LN_IIA12/LN_IIA11)</f>
        <v>0.33982288651708581</v>
      </c>
      <c r="E273" s="454">
        <f t="shared" si="26"/>
        <v>-1.7110707319018537E-2</v>
      </c>
      <c r="F273" s="458">
        <f t="shared" si="27"/>
        <v>-4.7938069194112837E-2</v>
      </c>
      <c r="G273" s="455"/>
      <c r="H273" s="455"/>
      <c r="I273" s="455"/>
      <c r="J273" s="455"/>
      <c r="K273" s="455"/>
      <c r="L273" s="455"/>
      <c r="M273" s="455"/>
      <c r="N273" s="455"/>
      <c r="O273" s="455"/>
      <c r="P273" s="455"/>
      <c r="Q273" s="421"/>
      <c r="U273" s="441"/>
    </row>
    <row r="274" spans="1:21" ht="15.75" customHeight="1" x14ac:dyDescent="0.2">
      <c r="A274" s="451">
        <v>14</v>
      </c>
      <c r="B274" s="447" t="s">
        <v>139</v>
      </c>
      <c r="C274" s="508">
        <f>C22+C51+C198+C228</f>
        <v>12338</v>
      </c>
      <c r="D274" s="508">
        <f>LN_IA8+LN_IB10+LN_IF11+LN_IG6</f>
        <v>11690</v>
      </c>
      <c r="E274" s="528">
        <f t="shared" si="26"/>
        <v>-648</v>
      </c>
      <c r="F274" s="458">
        <f t="shared" si="27"/>
        <v>-5.2520667855406065E-2</v>
      </c>
      <c r="G274" s="455"/>
      <c r="H274" s="455"/>
      <c r="I274" s="455"/>
      <c r="J274" s="455"/>
      <c r="K274" s="455"/>
      <c r="L274" s="455"/>
      <c r="M274" s="455"/>
      <c r="N274" s="455"/>
      <c r="O274" s="455"/>
      <c r="P274" s="455"/>
      <c r="Q274" s="421"/>
      <c r="U274" s="458"/>
    </row>
    <row r="275" spans="1:21" ht="15.75" customHeight="1" x14ac:dyDescent="0.2">
      <c r="A275" s="428"/>
      <c r="B275" s="445"/>
      <c r="C275" s="496"/>
      <c r="D275" s="420"/>
      <c r="E275" s="420"/>
      <c r="F275" s="420"/>
      <c r="Q275" s="421"/>
      <c r="U275" s="508"/>
    </row>
    <row r="276" spans="1:21" ht="15.75" customHeight="1" x14ac:dyDescent="0.25">
      <c r="A276" s="419" t="s">
        <v>26</v>
      </c>
      <c r="B276" s="446" t="s">
        <v>728</v>
      </c>
      <c r="C276" s="496"/>
      <c r="D276" s="496"/>
      <c r="E276" s="496"/>
      <c r="F276" s="496"/>
      <c r="G276" s="498"/>
      <c r="H276" s="498"/>
      <c r="I276" s="498"/>
      <c r="J276" s="498"/>
      <c r="K276" s="498"/>
      <c r="L276" s="498"/>
      <c r="M276" s="498"/>
      <c r="N276" s="498"/>
      <c r="O276" s="498"/>
      <c r="P276" s="498"/>
      <c r="Q276" s="421"/>
      <c r="U276" s="438"/>
    </row>
    <row r="277" spans="1:21" ht="15.75" customHeight="1" x14ac:dyDescent="0.2">
      <c r="A277" s="428">
        <v>1</v>
      </c>
      <c r="B277" s="447" t="s">
        <v>729</v>
      </c>
      <c r="C277" s="448">
        <f>C15+C188+C221</f>
        <v>45716805</v>
      </c>
      <c r="D277" s="448">
        <f>LN_IA1+LN_IF1+LN_IG1</f>
        <v>45425371</v>
      </c>
      <c r="E277" s="448">
        <f t="shared" ref="E277:E291" si="28">D277-C277</f>
        <v>-291434</v>
      </c>
      <c r="F277" s="503">
        <f t="shared" ref="F277:F291" si="29">IF(C277=0,0,E277/C277)</f>
        <v>-6.3747674405505812E-3</v>
      </c>
      <c r="G277" s="450"/>
      <c r="H277" s="450"/>
      <c r="I277" s="450"/>
      <c r="J277" s="450"/>
      <c r="K277" s="450"/>
      <c r="L277" s="450"/>
      <c r="M277" s="450"/>
      <c r="N277" s="450"/>
      <c r="O277" s="450"/>
      <c r="P277" s="490"/>
      <c r="Q277" s="421"/>
      <c r="U277" s="494"/>
    </row>
    <row r="278" spans="1:21" ht="15.75" customHeight="1" x14ac:dyDescent="0.2">
      <c r="A278" s="451">
        <v>2</v>
      </c>
      <c r="B278" s="447" t="s">
        <v>730</v>
      </c>
      <c r="C278" s="448">
        <f>C16+C189+C222</f>
        <v>20064057</v>
      </c>
      <c r="D278" s="448">
        <f>LN_IA2+LN_IF2+LN_IG2</f>
        <v>18400286</v>
      </c>
      <c r="E278" s="448">
        <f t="shared" si="28"/>
        <v>-1663771</v>
      </c>
      <c r="F278" s="503">
        <f t="shared" si="29"/>
        <v>-8.2922960196933251E-2</v>
      </c>
      <c r="G278" s="450"/>
      <c r="H278" s="450"/>
      <c r="I278" s="450"/>
      <c r="J278" s="450"/>
      <c r="K278" s="450"/>
      <c r="L278" s="450"/>
      <c r="M278" s="450"/>
      <c r="N278" s="450"/>
      <c r="O278" s="450"/>
      <c r="P278" s="490"/>
      <c r="Q278" s="421"/>
      <c r="U278" s="441"/>
    </row>
    <row r="279" spans="1:21" ht="15.75" customHeight="1" x14ac:dyDescent="0.2">
      <c r="A279" s="451">
        <v>3</v>
      </c>
      <c r="B279" s="452" t="s">
        <v>731</v>
      </c>
      <c r="C279" s="453">
        <f>IF(C277=0,0,C278/C277)</f>
        <v>0.43887706063448662</v>
      </c>
      <c r="D279" s="453">
        <f>IF(D277=0,0,LN_IIB2/D277)</f>
        <v>0.40506627893033609</v>
      </c>
      <c r="E279" s="454">
        <f t="shared" si="28"/>
        <v>-3.3810781704150528E-2</v>
      </c>
      <c r="F279" s="458">
        <f t="shared" si="29"/>
        <v>-7.7039300380088493E-2</v>
      </c>
      <c r="G279" s="455"/>
      <c r="H279" s="455"/>
      <c r="I279" s="455"/>
      <c r="J279" s="455"/>
      <c r="K279" s="455"/>
      <c r="L279" s="455"/>
      <c r="M279" s="455"/>
      <c r="N279" s="455"/>
      <c r="O279" s="455"/>
      <c r="P279" s="455"/>
      <c r="Q279" s="421"/>
      <c r="U279" s="441"/>
    </row>
    <row r="280" spans="1:21" ht="15.75" customHeight="1" x14ac:dyDescent="0.2">
      <c r="A280" s="451">
        <v>4</v>
      </c>
      <c r="B280" s="447" t="s">
        <v>732</v>
      </c>
      <c r="C280" s="456">
        <f>C18+C191+C224</f>
        <v>2048</v>
      </c>
      <c r="D280" s="456">
        <f>LN_IA4+LN_IF4+LN_IG3</f>
        <v>1913</v>
      </c>
      <c r="E280" s="456">
        <f t="shared" si="28"/>
        <v>-135</v>
      </c>
      <c r="F280" s="503">
        <f t="shared" si="29"/>
        <v>-6.591796875E-2</v>
      </c>
      <c r="G280" s="457"/>
      <c r="H280" s="457"/>
      <c r="I280" s="457"/>
      <c r="J280" s="457"/>
      <c r="K280" s="457"/>
      <c r="L280" s="457"/>
      <c r="M280" s="457"/>
      <c r="N280" s="457"/>
      <c r="O280" s="457"/>
      <c r="P280" s="529"/>
      <c r="Q280" s="421"/>
      <c r="U280" s="458"/>
    </row>
    <row r="281" spans="1:21" ht="15.75" customHeight="1" x14ac:dyDescent="0.2">
      <c r="A281" s="451">
        <v>5</v>
      </c>
      <c r="B281" s="447" t="s">
        <v>733</v>
      </c>
      <c r="C281" s="525">
        <f>IF(C280=0,0,C282/C280)</f>
        <v>1.1304498046875</v>
      </c>
      <c r="D281" s="525">
        <f>IF(LN_IIB4=0,0,LN_IIB6/LN_IIB4)</f>
        <v>1.1273942498693155</v>
      </c>
      <c r="E281" s="525">
        <f t="shared" si="28"/>
        <v>-3.055554818184536E-3</v>
      </c>
      <c r="F281" s="503">
        <f t="shared" si="29"/>
        <v>-2.7029548817775321E-3</v>
      </c>
      <c r="G281" s="526"/>
      <c r="H281" s="526"/>
      <c r="I281" s="526"/>
      <c r="J281" s="526"/>
      <c r="K281" s="526"/>
      <c r="L281" s="526"/>
      <c r="M281" s="526"/>
      <c r="N281" s="526"/>
      <c r="O281" s="526"/>
      <c r="P281" s="526"/>
      <c r="Q281" s="421"/>
      <c r="U281" s="462"/>
    </row>
    <row r="282" spans="1:21" ht="15.75" customHeight="1" x14ac:dyDescent="0.2">
      <c r="A282" s="451">
        <v>6</v>
      </c>
      <c r="B282" s="447" t="s">
        <v>734</v>
      </c>
      <c r="C282" s="463">
        <f>C20+C193+C226</f>
        <v>2315.1612</v>
      </c>
      <c r="D282" s="463">
        <f>LN_IA6+LN_IF6+LN_IG5</f>
        <v>2156.7052000000003</v>
      </c>
      <c r="E282" s="463">
        <f t="shared" si="28"/>
        <v>-158.45599999999968</v>
      </c>
      <c r="F282" s="503">
        <f t="shared" si="29"/>
        <v>-6.8442750336347932E-2</v>
      </c>
      <c r="G282" s="457"/>
      <c r="H282" s="457"/>
      <c r="I282" s="457"/>
      <c r="J282" s="457"/>
      <c r="K282" s="457"/>
      <c r="L282" s="457"/>
      <c r="M282" s="457"/>
      <c r="N282" s="457"/>
      <c r="O282" s="457"/>
      <c r="P282" s="524"/>
      <c r="Q282" s="421"/>
      <c r="U282" s="527"/>
    </row>
    <row r="283" spans="1:21" ht="15.75" customHeight="1" x14ac:dyDescent="0.2">
      <c r="A283" s="451">
        <v>7</v>
      </c>
      <c r="B283" s="447" t="s">
        <v>735</v>
      </c>
      <c r="C283" s="448">
        <f>C27+C203+C233</f>
        <v>46480060</v>
      </c>
      <c r="D283" s="448">
        <f>LN_IA11+LN_IF14+LN_IG9</f>
        <v>47505033</v>
      </c>
      <c r="E283" s="448">
        <f t="shared" si="28"/>
        <v>1024973</v>
      </c>
      <c r="F283" s="503">
        <f t="shared" si="29"/>
        <v>2.2051886335774953E-2</v>
      </c>
      <c r="G283" s="450"/>
      <c r="H283" s="450"/>
      <c r="I283" s="450"/>
      <c r="J283" s="450"/>
      <c r="K283" s="450"/>
      <c r="L283" s="450"/>
      <c r="M283" s="450"/>
      <c r="N283" s="450"/>
      <c r="O283" s="450"/>
      <c r="P283" s="490"/>
      <c r="Q283" s="421"/>
      <c r="U283" s="462"/>
    </row>
    <row r="284" spans="1:21" ht="15.75" customHeight="1" x14ac:dyDescent="0.2">
      <c r="A284" s="451">
        <v>8</v>
      </c>
      <c r="B284" s="447" t="s">
        <v>736</v>
      </c>
      <c r="C284" s="453">
        <f>IF(C277=0,0,C283/C277)</f>
        <v>1.0166952830583853</v>
      </c>
      <c r="D284" s="453">
        <f>IF(D277=0,0,LN_IIB7/D277)</f>
        <v>1.0457819485943218</v>
      </c>
      <c r="E284" s="454">
        <f t="shared" si="28"/>
        <v>2.9086665535936529E-2</v>
      </c>
      <c r="F284" s="458">
        <f t="shared" si="29"/>
        <v>2.8609029687281615E-2</v>
      </c>
      <c r="G284" s="455"/>
      <c r="H284" s="455"/>
      <c r="I284" s="455"/>
      <c r="J284" s="455"/>
      <c r="K284" s="455"/>
      <c r="L284" s="455"/>
      <c r="M284" s="455"/>
      <c r="N284" s="455"/>
      <c r="O284" s="455"/>
      <c r="P284" s="455"/>
      <c r="Q284" s="421"/>
      <c r="U284" s="441"/>
    </row>
    <row r="285" spans="1:21" ht="15.75" customHeight="1" x14ac:dyDescent="0.2">
      <c r="A285" s="451">
        <v>9</v>
      </c>
      <c r="B285" s="447" t="s">
        <v>737</v>
      </c>
      <c r="C285" s="448">
        <f>C28+C204+C234</f>
        <v>9407056</v>
      </c>
      <c r="D285" s="448">
        <f>LN_IA12+LN_IF15+LN_IG10</f>
        <v>9616861</v>
      </c>
      <c r="E285" s="448">
        <f t="shared" si="28"/>
        <v>209805</v>
      </c>
      <c r="F285" s="503">
        <f t="shared" si="29"/>
        <v>2.2302939410587117E-2</v>
      </c>
      <c r="G285" s="450"/>
      <c r="H285" s="450"/>
      <c r="I285" s="450"/>
      <c r="J285" s="450"/>
      <c r="K285" s="450"/>
      <c r="L285" s="450"/>
      <c r="M285" s="450"/>
      <c r="N285" s="450"/>
      <c r="O285" s="450"/>
      <c r="P285" s="490"/>
      <c r="Q285" s="421"/>
      <c r="U285" s="458"/>
    </row>
    <row r="286" spans="1:21" ht="15.75" customHeight="1" x14ac:dyDescent="0.2">
      <c r="A286" s="451">
        <v>10</v>
      </c>
      <c r="B286" s="447" t="s">
        <v>738</v>
      </c>
      <c r="C286" s="453">
        <f>IF(C283=0,0,C285/C283)</f>
        <v>0.20238906748399205</v>
      </c>
      <c r="D286" s="453">
        <f>IF(LN_IIB7=0,0,LN_IIB9/LN_IIB7)</f>
        <v>0.20243878159183681</v>
      </c>
      <c r="E286" s="454">
        <f t="shared" si="28"/>
        <v>4.9714107844767152E-5</v>
      </c>
      <c r="F286" s="458">
        <f t="shared" si="29"/>
        <v>2.4563633037490666E-4</v>
      </c>
      <c r="G286" s="455"/>
      <c r="H286" s="455"/>
      <c r="I286" s="455"/>
      <c r="J286" s="455"/>
      <c r="K286" s="455"/>
      <c r="L286" s="455"/>
      <c r="M286" s="455"/>
      <c r="N286" s="455"/>
      <c r="O286" s="455"/>
      <c r="P286" s="455"/>
      <c r="Q286" s="421"/>
      <c r="U286" s="441"/>
    </row>
    <row r="287" spans="1:21" ht="15.75" customHeight="1" x14ac:dyDescent="0.2">
      <c r="A287" s="451">
        <v>11</v>
      </c>
      <c r="B287" s="452" t="s">
        <v>739</v>
      </c>
      <c r="C287" s="441">
        <f>C277+C283</f>
        <v>92196865</v>
      </c>
      <c r="D287" s="441">
        <f>D277+LN_IIB7</f>
        <v>92930404</v>
      </c>
      <c r="E287" s="441">
        <f t="shared" si="28"/>
        <v>733539</v>
      </c>
      <c r="F287" s="503">
        <f t="shared" si="29"/>
        <v>7.9562249757624617E-3</v>
      </c>
      <c r="G287" s="477"/>
      <c r="H287" s="477"/>
      <c r="I287" s="477"/>
      <c r="J287" s="477"/>
      <c r="K287" s="477"/>
      <c r="L287" s="477"/>
      <c r="M287" s="477"/>
      <c r="N287" s="477"/>
      <c r="O287" s="477"/>
      <c r="P287" s="490"/>
      <c r="Q287" s="421"/>
      <c r="U287" s="458"/>
    </row>
    <row r="288" spans="1:21" ht="15.75" customHeight="1" x14ac:dyDescent="0.2">
      <c r="A288" s="451">
        <v>12</v>
      </c>
      <c r="B288" s="452" t="s">
        <v>740</v>
      </c>
      <c r="C288" s="441">
        <f>C278+C285</f>
        <v>29471113</v>
      </c>
      <c r="D288" s="441">
        <f>LN_IIB2+LN_IIB9</f>
        <v>28017147</v>
      </c>
      <c r="E288" s="441">
        <f t="shared" si="28"/>
        <v>-1453966</v>
      </c>
      <c r="F288" s="503">
        <f t="shared" si="29"/>
        <v>-4.9335293173352494E-2</v>
      </c>
      <c r="G288" s="477"/>
      <c r="H288" s="477"/>
      <c r="I288" s="477"/>
      <c r="J288" s="477"/>
      <c r="K288" s="477"/>
      <c r="L288" s="477"/>
      <c r="M288" s="477"/>
      <c r="N288" s="477"/>
      <c r="O288" s="477"/>
      <c r="P288" s="490"/>
      <c r="Q288" s="421"/>
      <c r="U288" s="441"/>
    </row>
    <row r="289" spans="1:21" ht="15.75" customHeight="1" x14ac:dyDescent="0.2">
      <c r="A289" s="451">
        <v>13</v>
      </c>
      <c r="B289" s="452" t="s">
        <v>741</v>
      </c>
      <c r="C289" s="453">
        <f>IF(C287=0,0,C288/C287)</f>
        <v>0.31965417696144005</v>
      </c>
      <c r="D289" s="453">
        <f>IF(LN_IIB11=0,0,LN_IIB12/LN_IIB11)</f>
        <v>0.3014852598725386</v>
      </c>
      <c r="E289" s="454">
        <f t="shared" si="28"/>
        <v>-1.8168917088901448E-2</v>
      </c>
      <c r="F289" s="458">
        <f t="shared" si="29"/>
        <v>-5.6839291954858984E-2</v>
      </c>
      <c r="G289" s="455"/>
      <c r="H289" s="455"/>
      <c r="I289" s="455"/>
      <c r="J289" s="455"/>
      <c r="K289" s="455"/>
      <c r="L289" s="455"/>
      <c r="M289" s="455"/>
      <c r="N289" s="455"/>
      <c r="O289" s="455"/>
      <c r="P289" s="455"/>
      <c r="Q289" s="421"/>
      <c r="U289" s="441"/>
    </row>
    <row r="290" spans="1:21" ht="15.75" customHeight="1" x14ac:dyDescent="0.2">
      <c r="A290" s="428">
        <v>14</v>
      </c>
      <c r="B290" s="447" t="s">
        <v>139</v>
      </c>
      <c r="C290" s="508">
        <f>C22+C198+C228</f>
        <v>9780</v>
      </c>
      <c r="D290" s="508">
        <f>LN_IA8+LN_IF11+LN_IG6</f>
        <v>9580</v>
      </c>
      <c r="E290" s="528">
        <f t="shared" si="28"/>
        <v>-200</v>
      </c>
      <c r="F290" s="458">
        <f t="shared" si="29"/>
        <v>-2.0449897750511249E-2</v>
      </c>
      <c r="G290" s="455"/>
      <c r="H290" s="455"/>
      <c r="I290" s="455"/>
      <c r="J290" s="455"/>
      <c r="K290" s="455"/>
      <c r="L290" s="455"/>
      <c r="M290" s="455"/>
      <c r="N290" s="455"/>
      <c r="O290" s="455"/>
      <c r="P290" s="455"/>
      <c r="Q290" s="421"/>
      <c r="U290" s="458"/>
    </row>
    <row r="291" spans="1:21" ht="15.75" customHeight="1" x14ac:dyDescent="0.2">
      <c r="A291" s="428">
        <v>15</v>
      </c>
      <c r="B291" s="445" t="s">
        <v>742</v>
      </c>
      <c r="C291" s="448">
        <f>C287-C288</f>
        <v>62725752</v>
      </c>
      <c r="D291" s="516">
        <f>LN_IIB11-LN_IIB12</f>
        <v>64913257</v>
      </c>
      <c r="E291" s="441">
        <f t="shared" si="28"/>
        <v>2187505</v>
      </c>
      <c r="F291" s="503">
        <f t="shared" si="29"/>
        <v>3.4874113585756615E-2</v>
      </c>
      <c r="G291" s="517"/>
      <c r="H291" s="517"/>
      <c r="I291" s="517"/>
      <c r="J291" s="517"/>
      <c r="K291" s="517"/>
      <c r="L291" s="517"/>
      <c r="M291" s="517"/>
      <c r="N291" s="517"/>
      <c r="O291" s="517"/>
      <c r="P291" s="490"/>
      <c r="Q291" s="421"/>
      <c r="U291" s="508"/>
    </row>
    <row r="292" spans="1:21" ht="15.75" customHeight="1" x14ac:dyDescent="0.2">
      <c r="A292" s="502"/>
      <c r="B292" s="447"/>
      <c r="C292" s="474"/>
      <c r="D292" s="474"/>
      <c r="E292" s="474"/>
      <c r="F292" s="449"/>
      <c r="G292" s="475"/>
      <c r="H292" s="475"/>
      <c r="I292" s="475"/>
      <c r="J292" s="475"/>
      <c r="K292" s="475"/>
      <c r="L292" s="475"/>
      <c r="M292" s="475"/>
      <c r="N292" s="475"/>
      <c r="O292" s="475"/>
      <c r="P292" s="475"/>
      <c r="Q292" s="421"/>
      <c r="U292" s="518"/>
    </row>
    <row r="293" spans="1:21" ht="15.75" customHeight="1" x14ac:dyDescent="0.25">
      <c r="A293" s="419" t="s">
        <v>36</v>
      </c>
      <c r="B293" s="470" t="s">
        <v>644</v>
      </c>
      <c r="C293" s="474"/>
      <c r="D293" s="474"/>
      <c r="E293" s="474"/>
      <c r="F293" s="449"/>
      <c r="G293" s="475"/>
      <c r="H293" s="475"/>
      <c r="I293" s="475"/>
      <c r="J293" s="475"/>
      <c r="K293" s="475"/>
      <c r="L293" s="475"/>
      <c r="M293" s="475"/>
      <c r="N293" s="475"/>
      <c r="O293" s="475"/>
      <c r="P293" s="475"/>
      <c r="Q293" s="421"/>
      <c r="U293" s="476"/>
    </row>
    <row r="294" spans="1:21" ht="15.75" customHeight="1" x14ac:dyDescent="0.2">
      <c r="A294" s="428">
        <v>1</v>
      </c>
      <c r="B294" s="452" t="s">
        <v>635</v>
      </c>
      <c r="C294" s="466">
        <f>IF(C18=0,0,C22/C18)</f>
        <v>5.2608426270136306</v>
      </c>
      <c r="D294" s="466">
        <f>IF(LN_IA4=0,0,LN_IA8/LN_IA4)</f>
        <v>5.6297056810403836</v>
      </c>
      <c r="E294" s="466">
        <f t="shared" ref="E294:E300" si="30">D294-C294</f>
        <v>0.36886305402675301</v>
      </c>
      <c r="F294" s="503">
        <f t="shared" ref="F294:F300" si="31">IF(C294=0,0,E294/C294)</f>
        <v>7.0114823836907245E-2</v>
      </c>
      <c r="G294" s="475"/>
      <c r="H294" s="475"/>
      <c r="I294" s="475"/>
      <c r="J294" s="475"/>
      <c r="K294" s="475"/>
      <c r="L294" s="475"/>
      <c r="M294" s="475"/>
      <c r="N294" s="475"/>
      <c r="O294" s="475"/>
      <c r="P294" s="475"/>
      <c r="Q294" s="421"/>
      <c r="U294" s="476"/>
    </row>
    <row r="295" spans="1:21" ht="15.75" customHeight="1" x14ac:dyDescent="0.2">
      <c r="A295" s="451">
        <v>2</v>
      </c>
      <c r="B295" s="452" t="s">
        <v>656</v>
      </c>
      <c r="C295" s="466">
        <f>IF(C45=0,0,C51/C45)</f>
        <v>3.0819277108433734</v>
      </c>
      <c r="D295" s="466">
        <f>IF(LN_IB4=0,0,(LN_IB10)/(LN_IB4))</f>
        <v>3.0014224751066858</v>
      </c>
      <c r="E295" s="466">
        <f t="shared" si="30"/>
        <v>-8.0505235736687553E-2</v>
      </c>
      <c r="F295" s="503">
        <f t="shared" si="31"/>
        <v>-2.6121714488448269E-2</v>
      </c>
      <c r="G295" s="475"/>
      <c r="H295" s="475"/>
      <c r="I295" s="475"/>
      <c r="J295" s="475"/>
      <c r="K295" s="475"/>
      <c r="L295" s="475"/>
      <c r="M295" s="475"/>
      <c r="N295" s="475"/>
      <c r="O295" s="475"/>
      <c r="P295" s="475"/>
      <c r="Q295" s="421"/>
      <c r="U295" s="469"/>
    </row>
    <row r="296" spans="1:21" ht="15.75" customHeight="1" x14ac:dyDescent="0.2">
      <c r="A296" s="451">
        <v>3</v>
      </c>
      <c r="B296" s="452" t="s">
        <v>671</v>
      </c>
      <c r="C296" s="466">
        <f>IF(C86=0,0,C93/C86)</f>
        <v>2.5913978494623655</v>
      </c>
      <c r="D296" s="466">
        <f>IF(LN_IC4=0,0,LN_IC11/LN_IC4)</f>
        <v>2.3250000000000002</v>
      </c>
      <c r="E296" s="466">
        <f t="shared" si="30"/>
        <v>-0.26639784946236533</v>
      </c>
      <c r="F296" s="503">
        <f t="shared" si="31"/>
        <v>-0.10280082987551857</v>
      </c>
      <c r="G296" s="475"/>
      <c r="H296" s="475"/>
      <c r="I296" s="475"/>
      <c r="J296" s="475"/>
      <c r="K296" s="475"/>
      <c r="L296" s="475"/>
      <c r="M296" s="475"/>
      <c r="N296" s="475"/>
      <c r="O296" s="475"/>
      <c r="P296" s="475"/>
      <c r="Q296" s="421"/>
      <c r="U296" s="469"/>
    </row>
    <row r="297" spans="1:21" ht="15.75" customHeight="1" x14ac:dyDescent="0.2">
      <c r="A297" s="451">
        <v>4</v>
      </c>
      <c r="B297" s="452" t="s">
        <v>115</v>
      </c>
      <c r="C297" s="466">
        <f>IF(C121=0,0,C128/C121)</f>
        <v>2.8341013824884791</v>
      </c>
      <c r="D297" s="466">
        <f>IF(LN_ID4=0,0,LN_ID11/LN_ID4)</f>
        <v>3.0255319148936168</v>
      </c>
      <c r="E297" s="466">
        <f t="shared" si="30"/>
        <v>0.19143053240513774</v>
      </c>
      <c r="F297" s="503">
        <f t="shared" si="31"/>
        <v>6.7545407368967303E-2</v>
      </c>
      <c r="G297" s="475"/>
      <c r="H297" s="475"/>
      <c r="I297" s="475"/>
      <c r="J297" s="475"/>
      <c r="K297" s="475"/>
      <c r="L297" s="475"/>
      <c r="M297" s="475"/>
      <c r="N297" s="475"/>
      <c r="O297" s="475"/>
      <c r="P297" s="475"/>
      <c r="Q297" s="421"/>
      <c r="U297" s="469"/>
    </row>
    <row r="298" spans="1:21" ht="15.75" customHeight="1" x14ac:dyDescent="0.2">
      <c r="A298" s="451">
        <v>5</v>
      </c>
      <c r="B298" s="452" t="s">
        <v>743</v>
      </c>
      <c r="C298" s="466">
        <f>IF(C156=0,0,C163/C156)</f>
        <v>3.1394230769230771</v>
      </c>
      <c r="D298" s="466">
        <f>IF(LN_IE4=0,0,LN_IE11/LN_IE4)</f>
        <v>2.9905660377358489</v>
      </c>
      <c r="E298" s="466">
        <f t="shared" si="30"/>
        <v>-0.14885703918722815</v>
      </c>
      <c r="F298" s="503">
        <f t="shared" si="31"/>
        <v>-4.7415412176023665E-2</v>
      </c>
      <c r="G298" s="475"/>
      <c r="H298" s="475"/>
      <c r="I298" s="475"/>
      <c r="J298" s="475"/>
      <c r="K298" s="475"/>
      <c r="L298" s="475"/>
      <c r="M298" s="475"/>
      <c r="N298" s="475"/>
      <c r="O298" s="475"/>
      <c r="P298" s="475"/>
      <c r="Q298" s="421"/>
      <c r="U298" s="469"/>
    </row>
    <row r="299" spans="1:21" ht="15.75" customHeight="1" x14ac:dyDescent="0.2">
      <c r="A299" s="451">
        <v>6</v>
      </c>
      <c r="B299" s="447" t="s">
        <v>424</v>
      </c>
      <c r="C299" s="466">
        <f>IF(C224=0,0,C228/C224)</f>
        <v>2.3333333333333335</v>
      </c>
      <c r="D299" s="466">
        <f>IF(LN_IG3=0,0,LN_IG6/LN_IG3)</f>
        <v>2</v>
      </c>
      <c r="E299" s="466">
        <f t="shared" si="30"/>
        <v>-0.33333333333333348</v>
      </c>
      <c r="F299" s="503">
        <f t="shared" si="31"/>
        <v>-0.1428571428571429</v>
      </c>
      <c r="G299" s="475"/>
      <c r="H299" s="475"/>
      <c r="I299" s="475"/>
      <c r="J299" s="475"/>
      <c r="K299" s="475"/>
      <c r="L299" s="475"/>
      <c r="M299" s="475"/>
      <c r="N299" s="475"/>
      <c r="O299" s="475"/>
      <c r="P299" s="475"/>
      <c r="Q299" s="421"/>
      <c r="U299" s="469"/>
    </row>
    <row r="300" spans="1:21" ht="15.75" customHeight="1" x14ac:dyDescent="0.2">
      <c r="A300" s="451">
        <v>7</v>
      </c>
      <c r="B300" s="452" t="s">
        <v>744</v>
      </c>
      <c r="C300" s="466">
        <f>IF(C264=0,0,C274/C264)</f>
        <v>4.2870048644892282</v>
      </c>
      <c r="D300" s="466">
        <f>IF(LN_IIA4=0,0,LN_IIA14/LN_IIA4)</f>
        <v>4.4686544342507641</v>
      </c>
      <c r="E300" s="466">
        <f t="shared" si="30"/>
        <v>0.1816495697615359</v>
      </c>
      <c r="F300" s="503">
        <f t="shared" si="31"/>
        <v>4.2372139874671776E-2</v>
      </c>
      <c r="G300" s="475"/>
      <c r="H300" s="475"/>
      <c r="I300" s="475"/>
      <c r="J300" s="475"/>
      <c r="K300" s="475"/>
      <c r="L300" s="475"/>
      <c r="M300" s="475"/>
      <c r="N300" s="475"/>
      <c r="O300" s="475"/>
      <c r="P300" s="475"/>
      <c r="Q300" s="421"/>
      <c r="U300" s="469"/>
    </row>
    <row r="301" spans="1:21" ht="15.75" customHeight="1" x14ac:dyDescent="0.2">
      <c r="A301" s="502"/>
      <c r="B301" s="421"/>
      <c r="C301" s="474"/>
      <c r="D301" s="474"/>
      <c r="E301" s="474"/>
      <c r="F301" s="449"/>
      <c r="G301" s="475"/>
      <c r="H301" s="475"/>
      <c r="I301" s="475"/>
      <c r="J301" s="475"/>
      <c r="K301" s="475"/>
      <c r="L301" s="475"/>
      <c r="M301" s="475"/>
      <c r="N301" s="475"/>
      <c r="O301" s="475"/>
      <c r="P301" s="475"/>
      <c r="Q301" s="421"/>
      <c r="U301" s="469"/>
    </row>
    <row r="302" spans="1:21" ht="15.75" customHeight="1" x14ac:dyDescent="0.25">
      <c r="A302" s="419" t="s">
        <v>135</v>
      </c>
      <c r="B302" s="530" t="s">
        <v>745</v>
      </c>
      <c r="C302" s="458"/>
      <c r="D302" s="458"/>
      <c r="E302" s="458"/>
      <c r="F302" s="458"/>
      <c r="G302" s="455"/>
      <c r="H302" s="455"/>
      <c r="I302" s="455"/>
      <c r="J302" s="455"/>
      <c r="K302" s="455"/>
      <c r="L302" s="455"/>
      <c r="M302" s="455"/>
      <c r="N302" s="455"/>
      <c r="O302" s="455"/>
      <c r="P302" s="455"/>
      <c r="Q302" s="421"/>
      <c r="U302" s="476"/>
    </row>
    <row r="303" spans="1:21" ht="15.75" customHeight="1" x14ac:dyDescent="0.25">
      <c r="A303" s="428"/>
      <c r="B303" s="495"/>
      <c r="C303" s="458"/>
      <c r="D303" s="458"/>
      <c r="E303" s="458"/>
      <c r="F303" s="458"/>
      <c r="G303" s="455"/>
      <c r="H303" s="455"/>
      <c r="I303" s="455"/>
      <c r="J303" s="455"/>
      <c r="K303" s="455"/>
      <c r="L303" s="455"/>
      <c r="M303" s="455"/>
      <c r="N303" s="455"/>
      <c r="O303" s="455"/>
      <c r="P303" s="455"/>
      <c r="Q303" s="421"/>
      <c r="U303" s="458"/>
    </row>
    <row r="304" spans="1:21" ht="15.75" customHeight="1" x14ac:dyDescent="0.2">
      <c r="A304" s="428">
        <v>1</v>
      </c>
      <c r="B304" s="452" t="s">
        <v>739</v>
      </c>
      <c r="C304" s="441">
        <f>C35+C66+C214+C221+C233</f>
        <v>147441042</v>
      </c>
      <c r="D304" s="441">
        <f>LN_IIA11</f>
        <v>145172347</v>
      </c>
      <c r="E304" s="441">
        <f t="shared" ref="E304:E316" si="32">D304-C304</f>
        <v>-2268695</v>
      </c>
      <c r="F304" s="449">
        <f>IF(C304=0,0,E304/C304)</f>
        <v>-1.538713352283552E-2</v>
      </c>
      <c r="G304" s="477"/>
      <c r="H304" s="477"/>
      <c r="I304" s="477"/>
      <c r="J304" s="477"/>
      <c r="K304" s="477"/>
      <c r="L304" s="477"/>
      <c r="M304" s="477"/>
      <c r="N304" s="477"/>
      <c r="O304" s="477"/>
      <c r="P304" s="477"/>
      <c r="Q304" s="421"/>
      <c r="U304" s="458"/>
    </row>
    <row r="305" spans="1:21" ht="15.75" customHeight="1" x14ac:dyDescent="0.2">
      <c r="A305" s="451">
        <v>2</v>
      </c>
      <c r="B305" s="445" t="s">
        <v>742</v>
      </c>
      <c r="C305" s="441">
        <f>C291</f>
        <v>62725752</v>
      </c>
      <c r="D305" s="441">
        <f>LN_IIB14</f>
        <v>64913257</v>
      </c>
      <c r="E305" s="441">
        <f t="shared" si="32"/>
        <v>2187505</v>
      </c>
      <c r="F305" s="449">
        <f>IF(C305=0,0,E305/C305)</f>
        <v>3.4874113585756615E-2</v>
      </c>
      <c r="G305" s="477"/>
      <c r="H305" s="477"/>
      <c r="I305" s="477"/>
      <c r="J305" s="477"/>
      <c r="K305" s="477"/>
      <c r="L305" s="477"/>
      <c r="M305" s="477"/>
      <c r="N305" s="477"/>
      <c r="O305" s="477"/>
      <c r="P305" s="477"/>
      <c r="Q305" s="421"/>
      <c r="U305" s="441"/>
    </row>
    <row r="306" spans="1:21" ht="15.75" customHeight="1" x14ac:dyDescent="0.2">
      <c r="A306" s="451">
        <v>3</v>
      </c>
      <c r="B306" s="447" t="s">
        <v>746</v>
      </c>
      <c r="C306" s="441">
        <f>C250</f>
        <v>3235430</v>
      </c>
      <c r="D306" s="441">
        <f>LN_IH6</f>
        <v>3163662</v>
      </c>
      <c r="E306" s="441">
        <f t="shared" si="32"/>
        <v>-71768</v>
      </c>
      <c r="F306" s="449"/>
      <c r="G306" s="477"/>
      <c r="H306" s="477"/>
      <c r="I306" s="477"/>
      <c r="J306" s="477"/>
      <c r="K306" s="477"/>
      <c r="L306" s="477"/>
      <c r="M306" s="477"/>
      <c r="N306" s="477"/>
      <c r="O306" s="477"/>
      <c r="P306" s="477"/>
      <c r="Q306" s="421"/>
      <c r="U306" s="441"/>
    </row>
    <row r="307" spans="1:21" ht="15.75" customHeight="1" x14ac:dyDescent="0.2">
      <c r="A307" s="451">
        <v>4</v>
      </c>
      <c r="B307" s="447" t="s">
        <v>747</v>
      </c>
      <c r="C307" s="441">
        <f>C73-C74</f>
        <v>27404866</v>
      </c>
      <c r="D307" s="441">
        <f>LN_IB32-LN_IB33</f>
        <v>26762108</v>
      </c>
      <c r="E307" s="441">
        <f t="shared" si="32"/>
        <v>-642758</v>
      </c>
      <c r="F307" s="449">
        <f t="shared" ref="F307:F316" si="33">IF(C307=0,0,E307/C307)</f>
        <v>-2.3454155915230528E-2</v>
      </c>
      <c r="G307" s="477"/>
      <c r="H307" s="477"/>
      <c r="I307" s="477"/>
      <c r="J307" s="477"/>
      <c r="K307" s="477"/>
      <c r="L307" s="477"/>
      <c r="M307" s="477"/>
      <c r="N307" s="477"/>
      <c r="O307" s="477"/>
      <c r="P307" s="477"/>
      <c r="Q307" s="421"/>
      <c r="U307" s="441"/>
    </row>
    <row r="308" spans="1:21" ht="15.75" customHeight="1" x14ac:dyDescent="0.2">
      <c r="A308" s="451">
        <v>5</v>
      </c>
      <c r="B308" s="447" t="s">
        <v>748</v>
      </c>
      <c r="C308" s="441">
        <v>1448354</v>
      </c>
      <c r="D308" s="441">
        <v>1000434</v>
      </c>
      <c r="E308" s="441">
        <f t="shared" si="32"/>
        <v>-447920</v>
      </c>
      <c r="F308" s="449">
        <f t="shared" si="33"/>
        <v>-0.30926140984869721</v>
      </c>
      <c r="G308" s="477"/>
      <c r="H308" s="477"/>
      <c r="I308" s="477"/>
      <c r="J308" s="477"/>
      <c r="K308" s="477"/>
      <c r="L308" s="477"/>
      <c r="M308" s="477"/>
      <c r="N308" s="477"/>
      <c r="O308" s="477"/>
      <c r="P308" s="477"/>
      <c r="Q308" s="421"/>
      <c r="U308" s="441"/>
    </row>
    <row r="309" spans="1:21" ht="15.75" customHeight="1" x14ac:dyDescent="0.2">
      <c r="A309" s="451">
        <v>6</v>
      </c>
      <c r="B309" s="445" t="s">
        <v>749</v>
      </c>
      <c r="C309" s="441">
        <f>C305+C307+C308+C306</f>
        <v>94814402</v>
      </c>
      <c r="D309" s="441">
        <f>LN_III2+LN_III3+LN_III4+LN_III5</f>
        <v>95839461</v>
      </c>
      <c r="E309" s="441">
        <f t="shared" si="32"/>
        <v>1025059</v>
      </c>
      <c r="F309" s="449">
        <f t="shared" si="33"/>
        <v>1.0811216211646834E-2</v>
      </c>
      <c r="G309" s="477"/>
      <c r="H309" s="477"/>
      <c r="I309" s="477"/>
      <c r="J309" s="477"/>
      <c r="K309" s="477"/>
      <c r="L309" s="477"/>
      <c r="M309" s="477"/>
      <c r="N309" s="477"/>
      <c r="O309" s="477"/>
      <c r="P309" s="477"/>
      <c r="Q309" s="421"/>
      <c r="U309" s="441"/>
    </row>
    <row r="310" spans="1:21" ht="15.75" customHeight="1" x14ac:dyDescent="0.2">
      <c r="A310" s="451">
        <v>7</v>
      </c>
      <c r="B310" s="445" t="s">
        <v>750</v>
      </c>
      <c r="C310" s="441">
        <f>C304-C309</f>
        <v>52626640</v>
      </c>
      <c r="D310" s="441">
        <f>LN_III1-LN_III6</f>
        <v>49332886</v>
      </c>
      <c r="E310" s="441">
        <f t="shared" si="32"/>
        <v>-3293754</v>
      </c>
      <c r="F310" s="449">
        <f t="shared" si="33"/>
        <v>-6.2587199182771308E-2</v>
      </c>
      <c r="G310" s="477"/>
      <c r="H310" s="477"/>
      <c r="I310" s="477"/>
      <c r="J310" s="477"/>
      <c r="K310" s="477"/>
      <c r="L310" s="477"/>
      <c r="M310" s="477"/>
      <c r="N310" s="477"/>
      <c r="O310" s="477"/>
      <c r="P310" s="477"/>
      <c r="Q310" s="421"/>
      <c r="U310" s="441"/>
    </row>
    <row r="311" spans="1:21" ht="15.75" customHeight="1" x14ac:dyDescent="0.2">
      <c r="A311" s="451">
        <v>8</v>
      </c>
      <c r="B311" s="447" t="s">
        <v>751</v>
      </c>
      <c r="C311" s="441">
        <f>C245</f>
        <v>0</v>
      </c>
      <c r="D311" s="441">
        <f>LN_IH3</f>
        <v>0</v>
      </c>
      <c r="E311" s="441">
        <f t="shared" si="32"/>
        <v>0</v>
      </c>
      <c r="F311" s="449">
        <f t="shared" si="33"/>
        <v>0</v>
      </c>
      <c r="G311" s="531"/>
      <c r="H311" s="531"/>
      <c r="I311" s="531"/>
      <c r="J311" s="531"/>
      <c r="K311" s="531"/>
      <c r="L311" s="531"/>
      <c r="M311" s="531"/>
      <c r="N311" s="531"/>
      <c r="O311" s="531"/>
      <c r="P311" s="531"/>
      <c r="Q311" s="421"/>
      <c r="U311" s="441"/>
    </row>
    <row r="312" spans="1:21" ht="15.75" customHeight="1" x14ac:dyDescent="0.2">
      <c r="A312" s="451">
        <v>9</v>
      </c>
      <c r="B312" s="452" t="s">
        <v>752</v>
      </c>
      <c r="C312" s="441">
        <f>C310+C311</f>
        <v>52626640</v>
      </c>
      <c r="D312" s="441">
        <f>LN_III7+LN_III8</f>
        <v>49332886</v>
      </c>
      <c r="E312" s="441">
        <f t="shared" si="32"/>
        <v>-3293754</v>
      </c>
      <c r="F312" s="449">
        <f t="shared" si="33"/>
        <v>-6.2587199182771308E-2</v>
      </c>
      <c r="G312" s="477"/>
      <c r="H312" s="477"/>
      <c r="I312" s="477"/>
      <c r="J312" s="477"/>
      <c r="K312" s="477"/>
      <c r="L312" s="477"/>
      <c r="M312" s="477"/>
      <c r="N312" s="477"/>
      <c r="O312" s="477"/>
      <c r="P312" s="477"/>
      <c r="Q312" s="421"/>
      <c r="U312" s="441"/>
    </row>
    <row r="313" spans="1:21" ht="15.75" customHeight="1" x14ac:dyDescent="0.2">
      <c r="A313" s="451">
        <v>10</v>
      </c>
      <c r="B313" s="447" t="s">
        <v>753</v>
      </c>
      <c r="C313" s="532">
        <f>IF(C304=0,0,C312/C304)</f>
        <v>0.35693345140629162</v>
      </c>
      <c r="D313" s="532">
        <f>IF(LN_III1=0,0,LN_III9/LN_III1)</f>
        <v>0.33982288651708581</v>
      </c>
      <c r="E313" s="532">
        <f t="shared" si="32"/>
        <v>-1.7110564889205815E-2</v>
      </c>
      <c r="F313" s="449">
        <f t="shared" si="33"/>
        <v>-4.7937689285751851E-2</v>
      </c>
      <c r="G313" s="533"/>
      <c r="H313" s="533"/>
      <c r="I313" s="533"/>
      <c r="J313" s="533"/>
      <c r="K313" s="533"/>
      <c r="L313" s="533"/>
      <c r="M313" s="533"/>
      <c r="N313" s="533"/>
      <c r="O313" s="533"/>
      <c r="P313" s="533"/>
      <c r="Q313" s="421"/>
      <c r="U313" s="441"/>
    </row>
    <row r="314" spans="1:21" ht="15.75" customHeight="1" x14ac:dyDescent="0.2">
      <c r="A314" s="428">
        <v>11</v>
      </c>
      <c r="B314" s="447" t="s">
        <v>716</v>
      </c>
      <c r="C314" s="441">
        <f>C306*C313</f>
        <v>1154833.1966834581</v>
      </c>
      <c r="D314" s="441">
        <f>D313*LN_III5</f>
        <v>1075084.7528044167</v>
      </c>
      <c r="E314" s="441">
        <f t="shared" si="32"/>
        <v>-79748.443879041355</v>
      </c>
      <c r="F314" s="449">
        <f t="shared" si="33"/>
        <v>-6.9056244752981888E-2</v>
      </c>
      <c r="G314" s="477"/>
      <c r="H314" s="477"/>
      <c r="I314" s="477"/>
      <c r="J314" s="477"/>
      <c r="K314" s="477"/>
      <c r="L314" s="477"/>
      <c r="M314" s="477"/>
      <c r="N314" s="477"/>
      <c r="O314" s="477"/>
      <c r="P314" s="477"/>
      <c r="Q314" s="421"/>
      <c r="U314" s="534"/>
    </row>
    <row r="315" spans="1:21" ht="15.75" customHeight="1" x14ac:dyDescent="0.2">
      <c r="A315" s="428">
        <v>12</v>
      </c>
      <c r="B315" s="452" t="s">
        <v>719</v>
      </c>
      <c r="C315" s="441">
        <f>(C214*C313)-C215</f>
        <v>1822253.6829890832</v>
      </c>
      <c r="D315" s="441">
        <f>D313*LN_IH8-LN_IH9</f>
        <v>2212575.6268129703</v>
      </c>
      <c r="E315" s="441">
        <f t="shared" si="32"/>
        <v>390321.94382388704</v>
      </c>
      <c r="F315" s="449">
        <f t="shared" si="33"/>
        <v>0.21419736860327443</v>
      </c>
      <c r="G315" s="477"/>
      <c r="H315" s="477"/>
      <c r="I315" s="477"/>
      <c r="J315" s="477"/>
      <c r="K315" s="477"/>
      <c r="L315" s="477"/>
      <c r="M315" s="477"/>
      <c r="N315" s="477"/>
      <c r="O315" s="477"/>
      <c r="P315" s="477"/>
      <c r="Q315" s="421"/>
      <c r="U315" s="441"/>
    </row>
    <row r="316" spans="1:21" s="535" customFormat="1" ht="15.75" customHeight="1" x14ac:dyDescent="0.2">
      <c r="A316" s="428">
        <v>13</v>
      </c>
      <c r="B316" s="447" t="s">
        <v>754</v>
      </c>
      <c r="C316" s="441">
        <v>0</v>
      </c>
      <c r="D316" s="441">
        <v>0</v>
      </c>
      <c r="E316" s="441">
        <f t="shared" si="32"/>
        <v>0</v>
      </c>
      <c r="F316" s="449">
        <f t="shared" si="33"/>
        <v>0</v>
      </c>
    </row>
    <row r="317" spans="1:21" ht="15.75" customHeight="1" x14ac:dyDescent="0.25">
      <c r="A317" s="428">
        <v>14</v>
      </c>
      <c r="B317" s="447" t="s">
        <v>755</v>
      </c>
      <c r="C317" s="536"/>
      <c r="E317" s="441"/>
      <c r="F317" s="449"/>
      <c r="G317" s="533"/>
      <c r="H317" s="533"/>
      <c r="I317" s="533"/>
      <c r="J317" s="533"/>
      <c r="K317" s="533"/>
      <c r="L317" s="533"/>
      <c r="M317" s="533"/>
      <c r="N317" s="533"/>
      <c r="O317" s="533"/>
      <c r="P317" s="533"/>
      <c r="Q317" s="421"/>
      <c r="U317" s="441"/>
    </row>
    <row r="318" spans="1:21" ht="15.75" customHeight="1" x14ac:dyDescent="0.2">
      <c r="A318" s="428"/>
      <c r="B318" s="447" t="s">
        <v>756</v>
      </c>
      <c r="C318" s="441">
        <f>C314+C315+C316</f>
        <v>2977086.8796725413</v>
      </c>
      <c r="D318" s="441">
        <f>D314+D315+D316</f>
        <v>3287660.379617387</v>
      </c>
      <c r="E318" s="441">
        <f>D318-C318</f>
        <v>310573.49994484568</v>
      </c>
      <c r="F318" s="449">
        <f>IF(C318=0,0,E318/C318)</f>
        <v>0.10432127529278104</v>
      </c>
      <c r="G318" s="533"/>
      <c r="H318" s="533"/>
      <c r="I318" s="533"/>
      <c r="J318" s="533"/>
      <c r="K318" s="533"/>
      <c r="L318" s="533"/>
      <c r="M318" s="533"/>
      <c r="N318" s="533"/>
      <c r="O318" s="533"/>
      <c r="P318" s="533"/>
      <c r="Q318" s="421"/>
      <c r="U318" s="487"/>
    </row>
    <row r="319" spans="1:21" ht="15.75" customHeight="1" x14ac:dyDescent="0.2">
      <c r="A319" s="428"/>
      <c r="B319" s="447"/>
      <c r="C319" s="420"/>
      <c r="D319" s="420"/>
      <c r="E319" s="420"/>
      <c r="F319" s="420"/>
      <c r="Q319" s="421"/>
      <c r="U319" s="441"/>
    </row>
    <row r="320" spans="1:21" ht="15.75" customHeight="1" x14ac:dyDescent="0.25">
      <c r="A320" s="419" t="s">
        <v>143</v>
      </c>
      <c r="B320" s="537" t="s">
        <v>757</v>
      </c>
      <c r="C320" s="420"/>
      <c r="D320" s="420"/>
      <c r="E320" s="420"/>
      <c r="F320" s="420"/>
      <c r="Q320" s="421"/>
      <c r="U320" s="438"/>
    </row>
    <row r="321" spans="1:22" ht="15.75" customHeight="1" x14ac:dyDescent="0.25">
      <c r="A321" s="419"/>
      <c r="B321" s="537"/>
      <c r="C321" s="420"/>
      <c r="D321" s="420"/>
      <c r="E321" s="420"/>
      <c r="F321" s="420"/>
      <c r="Q321" s="421"/>
      <c r="U321" s="438"/>
    </row>
    <row r="322" spans="1:22" ht="15.75" customHeight="1" x14ac:dyDescent="0.2">
      <c r="A322" s="451">
        <v>1</v>
      </c>
      <c r="B322" s="445" t="s">
        <v>115</v>
      </c>
      <c r="C322" s="441">
        <f>C141</f>
        <v>507153.32111338555</v>
      </c>
      <c r="D322" s="441">
        <f>LN_ID22</f>
        <v>881999.45088986855</v>
      </c>
      <c r="E322" s="441">
        <f>LN_IV2-C322</f>
        <v>374846.12977648299</v>
      </c>
      <c r="F322" s="449">
        <f>IF(C322=0,0,E322/C322)</f>
        <v>0.73911796328881318</v>
      </c>
      <c r="G322" s="477"/>
      <c r="H322" s="477"/>
      <c r="I322" s="477"/>
      <c r="J322" s="477"/>
      <c r="K322" s="477"/>
      <c r="L322" s="477"/>
      <c r="M322" s="477"/>
      <c r="N322" s="477"/>
      <c r="O322" s="477"/>
      <c r="P322" s="477"/>
      <c r="Q322" s="421"/>
      <c r="U322" s="441"/>
    </row>
    <row r="323" spans="1:22" ht="15.75" customHeight="1" x14ac:dyDescent="0.2">
      <c r="A323" s="451">
        <v>2</v>
      </c>
      <c r="B323" s="445" t="s">
        <v>743</v>
      </c>
      <c r="C323" s="441">
        <f>C162+C176</f>
        <v>1380737.033094469</v>
      </c>
      <c r="D323" s="441">
        <f>LN_IE10+LN_IE22</f>
        <v>1693277.6955509735</v>
      </c>
      <c r="E323" s="441">
        <f>LN_IV3-C323</f>
        <v>312540.66245650453</v>
      </c>
      <c r="F323" s="449">
        <f>IF(C323=0,0,E323/C323)</f>
        <v>0.22635784726947403</v>
      </c>
      <c r="G323" s="477"/>
      <c r="H323" s="477"/>
      <c r="I323" s="477"/>
      <c r="J323" s="477"/>
      <c r="K323" s="477"/>
      <c r="L323" s="477"/>
      <c r="M323" s="477"/>
      <c r="N323" s="477"/>
      <c r="O323" s="477"/>
      <c r="P323" s="477"/>
      <c r="Q323" s="421"/>
      <c r="U323" s="441"/>
    </row>
    <row r="324" spans="1:22" ht="15.75" customHeight="1" x14ac:dyDescent="0.2">
      <c r="A324" s="428">
        <v>3</v>
      </c>
      <c r="B324" s="538" t="s">
        <v>758</v>
      </c>
      <c r="C324" s="441">
        <f>C92+C106</f>
        <v>1273823.7198614692</v>
      </c>
      <c r="D324" s="441">
        <f>LN_IC10+LN_IC22</f>
        <v>1167368.3851997338</v>
      </c>
      <c r="E324" s="441">
        <f>LN_IV1-C324</f>
        <v>-106455.33466173545</v>
      </c>
      <c r="F324" s="449">
        <f>IF(C324=0,0,E324/C324)</f>
        <v>-8.3571480890081623E-2</v>
      </c>
      <c r="G324" s="477"/>
      <c r="H324" s="477"/>
      <c r="I324" s="477"/>
      <c r="J324" s="477"/>
      <c r="K324" s="477"/>
      <c r="L324" s="477"/>
      <c r="M324" s="477"/>
      <c r="N324" s="477"/>
      <c r="O324" s="477"/>
      <c r="P324" s="477"/>
      <c r="Q324" s="421"/>
      <c r="U324" s="438"/>
    </row>
    <row r="325" spans="1:22" ht="15.75" customHeight="1" x14ac:dyDescent="0.2">
      <c r="A325" s="451">
        <v>4</v>
      </c>
      <c r="B325" s="539" t="s">
        <v>759</v>
      </c>
      <c r="C325" s="516">
        <f>C324+C322+C323</f>
        <v>3161714.0740693239</v>
      </c>
      <c r="D325" s="516">
        <f>LN_IV1+LN_IV2+LN_IV3</f>
        <v>3742645.5316405757</v>
      </c>
      <c r="E325" s="441">
        <f>LN_IV4-C325</f>
        <v>580931.45757125178</v>
      </c>
      <c r="F325" s="449">
        <f>IF(C325=0,0,E325/C325)</f>
        <v>0.18373940336216318</v>
      </c>
      <c r="G325" s="517"/>
      <c r="H325" s="517"/>
      <c r="I325" s="517"/>
      <c r="J325" s="517"/>
      <c r="K325" s="517"/>
      <c r="L325" s="517"/>
      <c r="M325" s="517"/>
      <c r="N325" s="517"/>
      <c r="O325" s="517"/>
      <c r="P325" s="517"/>
      <c r="Q325" s="421"/>
      <c r="U325" s="441"/>
    </row>
    <row r="326" spans="1:22" ht="15.75" customHeight="1" x14ac:dyDescent="0.25">
      <c r="B326" s="540"/>
      <c r="C326" s="541"/>
      <c r="D326" s="458"/>
      <c r="E326" s="458"/>
      <c r="F326" s="441"/>
      <c r="G326" s="455"/>
      <c r="H326" s="455"/>
      <c r="I326" s="455"/>
      <c r="J326" s="455"/>
      <c r="K326" s="455"/>
      <c r="L326" s="455"/>
      <c r="M326" s="455"/>
      <c r="N326" s="455"/>
      <c r="O326" s="455"/>
      <c r="P326" s="455"/>
      <c r="Q326" s="455"/>
      <c r="V326" s="518"/>
    </row>
    <row r="327" spans="1:22" s="420" customFormat="1" ht="15.75" customHeight="1" x14ac:dyDescent="0.25">
      <c r="A327" s="419" t="s">
        <v>760</v>
      </c>
      <c r="B327" s="530" t="s">
        <v>761</v>
      </c>
      <c r="F327" s="427"/>
    </row>
    <row r="328" spans="1:22" s="420" customFormat="1" ht="15.75" customHeight="1" x14ac:dyDescent="0.25">
      <c r="A328" s="436"/>
      <c r="B328" s="470"/>
      <c r="F328" s="427"/>
    </row>
    <row r="329" spans="1:22" s="420" customFormat="1" ht="15.75" customHeight="1" x14ac:dyDescent="0.2">
      <c r="A329" s="451">
        <v>1</v>
      </c>
      <c r="B329" s="447" t="s">
        <v>762</v>
      </c>
      <c r="C329" s="518">
        <v>2174989</v>
      </c>
      <c r="D329" s="518">
        <v>1748963</v>
      </c>
      <c r="E329" s="518">
        <f t="shared" ref="E329:E335" si="34">D329-C329</f>
        <v>-426026</v>
      </c>
      <c r="F329" s="542">
        <f t="shared" ref="F329:F335" si="35">IF(C329=0,0,E329/C329)</f>
        <v>-0.19587501362075854</v>
      </c>
    </row>
    <row r="330" spans="1:22" s="420" customFormat="1" ht="15.75" customHeight="1" x14ac:dyDescent="0.2">
      <c r="A330" s="451">
        <v>2</v>
      </c>
      <c r="B330" s="447" t="s">
        <v>763</v>
      </c>
      <c r="C330" s="516">
        <v>1120243</v>
      </c>
      <c r="D330" s="516">
        <v>753030</v>
      </c>
      <c r="E330" s="518">
        <f t="shared" si="34"/>
        <v>-367213</v>
      </c>
      <c r="F330" s="543">
        <f t="shared" si="35"/>
        <v>-0.32779762962143033</v>
      </c>
    </row>
    <row r="331" spans="1:22" s="420" customFormat="1" ht="15.75" customHeight="1" x14ac:dyDescent="0.2">
      <c r="A331" s="427">
        <v>3</v>
      </c>
      <c r="B331" s="447" t="s">
        <v>764</v>
      </c>
      <c r="C331" s="516">
        <v>53746903</v>
      </c>
      <c r="D331" s="516">
        <v>50085912</v>
      </c>
      <c r="E331" s="518">
        <f t="shared" si="34"/>
        <v>-3660991</v>
      </c>
      <c r="F331" s="542">
        <f t="shared" si="35"/>
        <v>-6.8115385178565538E-2</v>
      </c>
    </row>
    <row r="332" spans="1:22" s="420" customFormat="1" ht="27" customHeight="1" x14ac:dyDescent="0.2">
      <c r="A332" s="451">
        <v>4</v>
      </c>
      <c r="B332" s="447" t="s">
        <v>765</v>
      </c>
      <c r="C332" s="516">
        <v>0</v>
      </c>
      <c r="D332" s="516">
        <v>0</v>
      </c>
      <c r="E332" s="518">
        <f t="shared" si="34"/>
        <v>0</v>
      </c>
      <c r="F332" s="543">
        <f t="shared" si="35"/>
        <v>0</v>
      </c>
    </row>
    <row r="333" spans="1:22" s="420" customFormat="1" ht="15.75" customHeight="1" x14ac:dyDescent="0.2">
      <c r="A333" s="451">
        <v>5</v>
      </c>
      <c r="B333" s="447" t="s">
        <v>766</v>
      </c>
      <c r="C333" s="516">
        <v>147441041</v>
      </c>
      <c r="D333" s="516">
        <v>145172348</v>
      </c>
      <c r="E333" s="518">
        <f t="shared" si="34"/>
        <v>-2268693</v>
      </c>
      <c r="F333" s="542">
        <f t="shared" si="35"/>
        <v>-1.5387120062452625E-2</v>
      </c>
    </row>
    <row r="334" spans="1:22" s="420" customFormat="1" ht="15.75" customHeight="1" x14ac:dyDescent="0.2">
      <c r="A334" s="427">
        <v>6</v>
      </c>
      <c r="B334" s="447" t="s">
        <v>767</v>
      </c>
      <c r="C334" s="516">
        <v>0</v>
      </c>
      <c r="D334" s="516">
        <v>0</v>
      </c>
      <c r="E334" s="516">
        <f t="shared" si="34"/>
        <v>0</v>
      </c>
      <c r="F334" s="543">
        <f t="shared" si="35"/>
        <v>0</v>
      </c>
    </row>
    <row r="335" spans="1:22" s="420" customFormat="1" ht="15.75" customHeight="1" x14ac:dyDescent="0.2">
      <c r="A335" s="451">
        <v>7</v>
      </c>
      <c r="B335" s="447" t="s">
        <v>768</v>
      </c>
      <c r="C335" s="516">
        <v>3235430</v>
      </c>
      <c r="D335" s="516">
        <v>3163662</v>
      </c>
      <c r="E335" s="516">
        <f t="shared" si="34"/>
        <v>-71768</v>
      </c>
      <c r="F335" s="542">
        <f t="shared" si="35"/>
        <v>-2.2181904723637971E-2</v>
      </c>
    </row>
    <row r="336" spans="1:22" s="420" customFormat="1" ht="15.75" customHeight="1" x14ac:dyDescent="0.2">
      <c r="A336" s="544"/>
      <c r="B336" s="445"/>
      <c r="C336" s="438"/>
      <c r="F336" s="427"/>
    </row>
    <row r="337" spans="1:17" ht="15.75" customHeight="1" x14ac:dyDescent="0.2">
      <c r="A337" s="545"/>
      <c r="B337" s="546"/>
      <c r="C337" s="547"/>
      <c r="D337" s="488"/>
      <c r="E337" s="488"/>
      <c r="F337" s="488"/>
      <c r="G337" s="488"/>
      <c r="H337" s="488"/>
      <c r="I337" s="488"/>
      <c r="J337" s="488"/>
      <c r="K337" s="488"/>
      <c r="L337" s="488"/>
      <c r="M337" s="488"/>
      <c r="N337" s="488"/>
      <c r="O337" s="488"/>
      <c r="P337" s="488"/>
      <c r="Q337" s="490"/>
    </row>
    <row r="338" spans="1:17" ht="15.75" customHeight="1" x14ac:dyDescent="0.2">
      <c r="B338" s="445"/>
      <c r="C338" s="547"/>
      <c r="D338" s="488"/>
      <c r="E338" s="488"/>
      <c r="F338" s="488"/>
      <c r="G338" s="488"/>
      <c r="H338" s="488"/>
      <c r="I338" s="488"/>
      <c r="J338" s="488"/>
      <c r="K338" s="488"/>
      <c r="L338" s="488"/>
      <c r="M338" s="488"/>
      <c r="N338" s="488"/>
      <c r="O338" s="488"/>
      <c r="P338" s="488"/>
      <c r="Q338" s="490"/>
    </row>
    <row r="339" spans="1:17" ht="15.75" customHeight="1" x14ac:dyDescent="0.2">
      <c r="B339" s="445"/>
      <c r="C339" s="547"/>
      <c r="D339" s="488"/>
      <c r="E339" s="488"/>
      <c r="F339" s="488"/>
      <c r="G339" s="488"/>
      <c r="H339" s="488"/>
      <c r="I339" s="488"/>
      <c r="J339" s="488"/>
      <c r="K339" s="488"/>
      <c r="L339" s="488"/>
      <c r="M339" s="488"/>
      <c r="N339" s="488"/>
      <c r="O339" s="488"/>
      <c r="P339" s="488"/>
      <c r="Q339" s="490"/>
    </row>
    <row r="340" spans="1:17" ht="15.75" customHeight="1" x14ac:dyDescent="0.2">
      <c r="B340" s="445"/>
      <c r="C340" s="547"/>
      <c r="D340" s="488"/>
      <c r="E340" s="488"/>
      <c r="F340" s="488"/>
      <c r="G340" s="488"/>
      <c r="H340" s="488"/>
      <c r="I340" s="488"/>
      <c r="J340" s="488"/>
      <c r="K340" s="488"/>
      <c r="L340" s="488"/>
      <c r="M340" s="488"/>
      <c r="N340" s="488"/>
      <c r="O340" s="488"/>
      <c r="P340" s="488"/>
      <c r="Q340" s="490"/>
    </row>
    <row r="341" spans="1:17" ht="15.75" customHeight="1" x14ac:dyDescent="0.2">
      <c r="B341" s="445"/>
      <c r="C341" s="547"/>
      <c r="D341" s="488"/>
      <c r="E341" s="488"/>
      <c r="F341" s="488"/>
      <c r="G341" s="488"/>
      <c r="H341" s="488"/>
      <c r="I341" s="488"/>
      <c r="J341" s="488"/>
      <c r="K341" s="488"/>
      <c r="L341" s="488"/>
      <c r="M341" s="488"/>
      <c r="N341" s="488"/>
      <c r="O341" s="488"/>
      <c r="P341" s="488"/>
      <c r="Q341" s="490"/>
    </row>
    <row r="342" spans="1:17" ht="15.75" customHeight="1" x14ac:dyDescent="0.2">
      <c r="B342" s="445"/>
      <c r="C342" s="547"/>
      <c r="D342" s="488"/>
      <c r="E342" s="488"/>
      <c r="F342" s="488"/>
      <c r="G342" s="488"/>
      <c r="H342" s="488"/>
      <c r="I342" s="488"/>
      <c r="J342" s="488"/>
      <c r="K342" s="488"/>
      <c r="L342" s="488"/>
      <c r="M342" s="488"/>
      <c r="N342" s="488"/>
      <c r="O342" s="488"/>
      <c r="P342" s="488"/>
      <c r="Q342" s="490"/>
    </row>
    <row r="343" spans="1:17" ht="15.75" customHeight="1" x14ac:dyDescent="0.2">
      <c r="B343" s="445"/>
      <c r="C343" s="547"/>
      <c r="D343" s="488"/>
      <c r="E343" s="488"/>
      <c r="F343" s="488"/>
      <c r="G343" s="488"/>
      <c r="H343" s="488"/>
      <c r="I343" s="488"/>
      <c r="J343" s="488"/>
      <c r="K343" s="488"/>
      <c r="L343" s="488"/>
      <c r="M343" s="488"/>
      <c r="N343" s="488"/>
      <c r="O343" s="488"/>
      <c r="P343" s="488"/>
      <c r="Q343" s="490"/>
    </row>
    <row r="344" spans="1:17" ht="15.75" customHeight="1" x14ac:dyDescent="0.2">
      <c r="B344" s="445"/>
      <c r="C344" s="548"/>
      <c r="D344" s="549"/>
      <c r="E344" s="549"/>
      <c r="F344" s="488"/>
      <c r="G344" s="488"/>
      <c r="H344" s="488"/>
      <c r="I344" s="488"/>
      <c r="J344" s="488"/>
      <c r="K344" s="488"/>
      <c r="L344" s="488"/>
      <c r="M344" s="488"/>
      <c r="N344" s="488"/>
      <c r="O344" s="488"/>
      <c r="P344" s="488"/>
      <c r="Q344" s="490"/>
    </row>
    <row r="345" spans="1:17" ht="15.75" customHeight="1" x14ac:dyDescent="0.2">
      <c r="B345" s="445"/>
      <c r="C345" s="547"/>
      <c r="D345" s="488"/>
      <c r="E345" s="488"/>
      <c r="F345" s="488"/>
      <c r="G345" s="549"/>
      <c r="H345" s="549"/>
      <c r="I345" s="549"/>
      <c r="J345" s="549"/>
      <c r="K345" s="549"/>
      <c r="L345" s="549"/>
      <c r="M345" s="549"/>
      <c r="N345" s="549"/>
      <c r="O345" s="549"/>
      <c r="P345" s="549"/>
      <c r="Q345" s="490"/>
    </row>
    <row r="346" spans="1:17" ht="15.75" customHeight="1" x14ac:dyDescent="0.2">
      <c r="B346" s="445"/>
      <c r="C346" s="547"/>
      <c r="D346" s="488"/>
      <c r="E346" s="488"/>
      <c r="F346" s="488"/>
      <c r="G346" s="549"/>
      <c r="H346" s="549"/>
      <c r="I346" s="549"/>
      <c r="J346" s="549"/>
      <c r="K346" s="549"/>
      <c r="L346" s="549"/>
      <c r="M346" s="549"/>
      <c r="N346" s="549"/>
      <c r="O346" s="549"/>
      <c r="P346" s="549"/>
      <c r="Q346" s="490"/>
    </row>
    <row r="347" spans="1:17" ht="15.75" customHeight="1" x14ac:dyDescent="0.2">
      <c r="B347" s="445"/>
      <c r="C347" s="547"/>
      <c r="D347" s="488"/>
      <c r="E347" s="488"/>
      <c r="F347" s="488"/>
      <c r="G347" s="488"/>
      <c r="H347" s="488"/>
      <c r="I347" s="488"/>
      <c r="J347" s="488"/>
      <c r="K347" s="488"/>
      <c r="L347" s="488"/>
      <c r="M347" s="488"/>
      <c r="N347" s="488"/>
      <c r="O347" s="488"/>
      <c r="P347" s="488"/>
      <c r="Q347" s="490"/>
    </row>
    <row r="348" spans="1:17" ht="15.75" customHeight="1" x14ac:dyDescent="0.2">
      <c r="B348" s="445"/>
      <c r="C348" s="547"/>
      <c r="D348" s="488"/>
      <c r="E348" s="488"/>
      <c r="F348" s="488"/>
      <c r="G348" s="488"/>
      <c r="H348" s="488"/>
      <c r="I348" s="488"/>
      <c r="J348" s="488"/>
      <c r="K348" s="488"/>
      <c r="L348" s="488"/>
      <c r="M348" s="488"/>
      <c r="N348" s="488"/>
      <c r="O348" s="490"/>
      <c r="P348" s="421"/>
      <c r="Q348" s="421"/>
    </row>
    <row r="349" spans="1:17" ht="15.75" customHeight="1" x14ac:dyDescent="0.2">
      <c r="B349" s="445"/>
      <c r="C349" s="485"/>
      <c r="G349" s="488"/>
      <c r="H349" s="488"/>
      <c r="I349" s="488"/>
      <c r="J349" s="488"/>
      <c r="K349" s="488"/>
      <c r="L349" s="488"/>
      <c r="M349" s="488"/>
      <c r="N349" s="488"/>
      <c r="O349" s="490"/>
      <c r="P349" s="421"/>
      <c r="Q349" s="421"/>
    </row>
    <row r="350" spans="1:17" ht="15.75" customHeight="1" x14ac:dyDescent="0.2">
      <c r="B350" s="445"/>
      <c r="C350" s="547"/>
      <c r="D350" s="488"/>
      <c r="E350" s="488"/>
      <c r="F350" s="488"/>
      <c r="G350" s="488"/>
      <c r="H350" s="488"/>
      <c r="I350" s="488"/>
      <c r="J350" s="488"/>
      <c r="K350" s="488"/>
      <c r="L350" s="488"/>
      <c r="M350" s="488"/>
      <c r="N350" s="488"/>
      <c r="O350" s="490"/>
      <c r="P350" s="421"/>
      <c r="Q350" s="421"/>
    </row>
    <row r="351" spans="1:17" ht="15.75" customHeight="1" x14ac:dyDescent="0.2">
      <c r="B351" s="421"/>
      <c r="C351" s="485"/>
      <c r="G351" s="488"/>
      <c r="H351" s="488"/>
      <c r="I351" s="488"/>
      <c r="J351" s="488"/>
      <c r="K351" s="488"/>
      <c r="L351" s="488"/>
      <c r="M351" s="488"/>
      <c r="N351" s="488"/>
      <c r="O351" s="490"/>
      <c r="P351" s="421"/>
      <c r="Q351" s="421"/>
    </row>
    <row r="352" spans="1:17" ht="15.75" customHeight="1" x14ac:dyDescent="0.2">
      <c r="B352" s="445"/>
      <c r="C352" s="547"/>
      <c r="D352" s="488"/>
      <c r="E352" s="488"/>
      <c r="F352" s="488"/>
      <c r="G352" s="488"/>
      <c r="H352" s="488"/>
      <c r="I352" s="488"/>
      <c r="J352" s="488"/>
      <c r="K352" s="488"/>
      <c r="L352" s="488"/>
      <c r="M352" s="488"/>
      <c r="N352" s="488"/>
      <c r="O352" s="490"/>
      <c r="P352" s="421"/>
      <c r="Q352" s="421"/>
    </row>
    <row r="353" spans="2:17" ht="15.75" customHeight="1" x14ac:dyDescent="0.2">
      <c r="B353" s="447"/>
      <c r="C353" s="550"/>
      <c r="D353" s="551"/>
      <c r="E353" s="551"/>
      <c r="F353" s="552"/>
      <c r="G353" s="488"/>
      <c r="H353" s="488"/>
      <c r="I353" s="488"/>
      <c r="J353" s="488"/>
      <c r="K353" s="488"/>
      <c r="L353" s="488"/>
      <c r="M353" s="488"/>
      <c r="N353" s="488"/>
      <c r="O353" s="488"/>
      <c r="P353" s="488"/>
      <c r="Q353" s="490"/>
    </row>
    <row r="354" spans="2:17" ht="15.75" customHeight="1" x14ac:dyDescent="0.2">
      <c r="B354" s="447"/>
      <c r="C354" s="553"/>
      <c r="D354" s="456"/>
      <c r="E354" s="456"/>
      <c r="F354" s="456"/>
      <c r="G354" s="488"/>
      <c r="H354" s="488"/>
      <c r="I354" s="488"/>
      <c r="J354" s="488"/>
      <c r="K354" s="488"/>
      <c r="L354" s="488"/>
      <c r="M354" s="488"/>
      <c r="N354" s="488"/>
      <c r="O354" s="488"/>
      <c r="P354" s="488"/>
      <c r="Q354" s="490"/>
    </row>
    <row r="355" spans="2:17" ht="15.75" customHeight="1" x14ac:dyDescent="0.2">
      <c r="B355" s="447"/>
      <c r="C355" s="538"/>
      <c r="D355" s="448"/>
      <c r="E355" s="448"/>
      <c r="F355" s="448"/>
      <c r="G355" s="488"/>
      <c r="H355" s="488"/>
      <c r="I355" s="488"/>
      <c r="J355" s="488"/>
      <c r="K355" s="488"/>
      <c r="L355" s="488"/>
      <c r="M355" s="488"/>
      <c r="N355" s="488"/>
      <c r="O355" s="488"/>
      <c r="P355" s="488"/>
      <c r="Q355" s="490"/>
    </row>
    <row r="356" spans="2:17" ht="15.75" customHeight="1" x14ac:dyDescent="0.2">
      <c r="B356" s="447"/>
      <c r="C356" s="553"/>
      <c r="D356" s="456"/>
      <c r="E356" s="456"/>
      <c r="F356" s="456"/>
      <c r="G356" s="549"/>
      <c r="H356" s="549"/>
      <c r="I356" s="549"/>
      <c r="J356" s="549"/>
      <c r="K356" s="549"/>
      <c r="L356" s="549"/>
      <c r="M356" s="549"/>
      <c r="N356" s="549"/>
      <c r="O356" s="549"/>
      <c r="P356" s="549"/>
      <c r="Q356" s="490"/>
    </row>
    <row r="357" spans="2:17" ht="15.75" customHeight="1" x14ac:dyDescent="0.2">
      <c r="B357" s="447"/>
      <c r="C357" s="538"/>
      <c r="D357" s="448"/>
      <c r="E357" s="448"/>
      <c r="F357" s="448"/>
      <c r="G357" s="488"/>
      <c r="H357" s="488"/>
      <c r="I357" s="488"/>
      <c r="J357" s="488"/>
      <c r="K357" s="488"/>
      <c r="L357" s="488"/>
      <c r="M357" s="488"/>
      <c r="N357" s="488"/>
      <c r="O357" s="488"/>
      <c r="P357" s="488"/>
      <c r="Q357" s="490"/>
    </row>
    <row r="358" spans="2:17" ht="15.75" customHeight="1" x14ac:dyDescent="0.2">
      <c r="B358" s="447"/>
      <c r="C358" s="554"/>
      <c r="D358" s="555"/>
      <c r="E358" s="555"/>
      <c r="F358" s="448"/>
      <c r="G358" s="488"/>
      <c r="H358" s="488"/>
      <c r="I358" s="488"/>
      <c r="J358" s="488"/>
      <c r="K358" s="488"/>
      <c r="L358" s="488"/>
      <c r="M358" s="488"/>
      <c r="N358" s="488"/>
      <c r="O358" s="488"/>
      <c r="P358" s="488"/>
      <c r="Q358" s="490"/>
    </row>
    <row r="359" spans="2:17" ht="15.75" customHeight="1" x14ac:dyDescent="0.2">
      <c r="B359" s="447"/>
      <c r="C359" s="556"/>
      <c r="D359" s="467"/>
      <c r="E359" s="467"/>
      <c r="F359" s="467"/>
      <c r="G359" s="488"/>
      <c r="H359" s="488"/>
      <c r="I359" s="488"/>
      <c r="J359" s="488"/>
      <c r="K359" s="488"/>
      <c r="L359" s="488"/>
      <c r="M359" s="488"/>
      <c r="N359" s="488"/>
      <c r="O359" s="488"/>
      <c r="P359" s="488"/>
      <c r="Q359" s="490"/>
    </row>
    <row r="360" spans="2:17" ht="15.75" customHeight="1" x14ac:dyDescent="0.25">
      <c r="B360" s="495"/>
      <c r="C360" s="557"/>
      <c r="D360" s="467"/>
      <c r="E360" s="467"/>
      <c r="F360" s="467"/>
      <c r="G360" s="488"/>
      <c r="H360" s="488"/>
      <c r="I360" s="488"/>
      <c r="J360" s="488"/>
      <c r="K360" s="488"/>
      <c r="L360" s="488"/>
      <c r="M360" s="488"/>
      <c r="N360" s="488"/>
      <c r="O360" s="488"/>
      <c r="P360" s="488"/>
      <c r="Q360" s="490"/>
    </row>
    <row r="361" spans="2:17" ht="15.75" customHeight="1" x14ac:dyDescent="0.2">
      <c r="B361" s="447"/>
      <c r="C361" s="538"/>
      <c r="D361" s="448"/>
      <c r="E361" s="448"/>
      <c r="F361" s="448"/>
      <c r="G361" s="488"/>
      <c r="H361" s="488"/>
      <c r="I361" s="488"/>
      <c r="J361" s="488"/>
      <c r="K361" s="488"/>
      <c r="L361" s="488"/>
      <c r="M361" s="488"/>
      <c r="N361" s="488"/>
      <c r="O361" s="488"/>
      <c r="P361" s="488"/>
      <c r="Q361" s="490"/>
    </row>
    <row r="362" spans="2:17" ht="15.75" customHeight="1" x14ac:dyDescent="0.2">
      <c r="B362" s="447"/>
      <c r="C362" s="538"/>
      <c r="D362" s="448"/>
      <c r="E362" s="448"/>
      <c r="F362" s="448"/>
      <c r="G362" s="488"/>
      <c r="H362" s="488"/>
      <c r="I362" s="488"/>
      <c r="J362" s="488"/>
      <c r="K362" s="488"/>
      <c r="L362" s="488"/>
      <c r="M362" s="488"/>
      <c r="N362" s="488"/>
      <c r="O362" s="488"/>
      <c r="P362" s="488"/>
      <c r="Q362" s="490"/>
    </row>
    <row r="363" spans="2:17" ht="15.75" customHeight="1" x14ac:dyDescent="0.2">
      <c r="B363" s="447"/>
      <c r="C363" s="541"/>
      <c r="D363" s="458"/>
      <c r="E363" s="458"/>
      <c r="F363" s="503"/>
      <c r="G363" s="558"/>
      <c r="H363" s="558"/>
      <c r="I363" s="558"/>
      <c r="J363" s="558"/>
      <c r="K363" s="558"/>
      <c r="L363" s="558"/>
      <c r="M363" s="558"/>
      <c r="N363" s="558"/>
      <c r="O363" s="558"/>
      <c r="P363" s="558"/>
      <c r="Q363" s="490"/>
    </row>
    <row r="364" spans="2:17" ht="15.75" customHeight="1" x14ac:dyDescent="0.2">
      <c r="B364" s="447"/>
      <c r="C364" s="541"/>
      <c r="D364" s="503"/>
      <c r="E364" s="503"/>
      <c r="F364" s="503"/>
      <c r="G364" s="558"/>
      <c r="H364" s="558"/>
      <c r="I364" s="558"/>
      <c r="J364" s="558"/>
      <c r="K364" s="558"/>
      <c r="L364" s="558"/>
      <c r="M364" s="558"/>
      <c r="N364" s="558"/>
      <c r="O364" s="558"/>
      <c r="P364" s="558"/>
      <c r="Q364" s="559"/>
    </row>
    <row r="365" spans="2:17" ht="15.75" customHeight="1" x14ac:dyDescent="0.2">
      <c r="B365" s="447"/>
      <c r="C365" s="553"/>
      <c r="D365" s="456"/>
      <c r="E365" s="456"/>
      <c r="F365" s="456"/>
      <c r="G365" s="558"/>
      <c r="H365" s="558"/>
      <c r="I365" s="558"/>
      <c r="J365" s="558"/>
      <c r="K365" s="558"/>
      <c r="L365" s="558"/>
      <c r="M365" s="558"/>
      <c r="N365" s="558"/>
      <c r="O365" s="558"/>
      <c r="P365" s="558"/>
      <c r="Q365" s="559"/>
    </row>
    <row r="366" spans="2:17" ht="15.75" customHeight="1" x14ac:dyDescent="0.2">
      <c r="B366" s="447"/>
      <c r="C366" s="538"/>
      <c r="D366" s="448"/>
      <c r="E366" s="448"/>
      <c r="F366" s="448"/>
      <c r="G366" s="558"/>
      <c r="H366" s="558"/>
      <c r="I366" s="558"/>
      <c r="J366" s="558"/>
      <c r="K366" s="558"/>
      <c r="L366" s="558"/>
      <c r="M366" s="558"/>
      <c r="N366" s="558"/>
      <c r="O366" s="558"/>
      <c r="P366" s="558"/>
      <c r="Q366" s="559"/>
    </row>
    <row r="367" spans="2:17" ht="15.75" customHeight="1" x14ac:dyDescent="0.2">
      <c r="B367" s="447"/>
      <c r="C367" s="538"/>
      <c r="D367" s="448"/>
      <c r="E367" s="448"/>
      <c r="F367" s="448"/>
      <c r="G367" s="558"/>
      <c r="H367" s="558"/>
      <c r="I367" s="558"/>
      <c r="J367" s="558"/>
      <c r="K367" s="558"/>
      <c r="L367" s="558"/>
      <c r="M367" s="558"/>
      <c r="N367" s="558"/>
      <c r="O367" s="558"/>
      <c r="P367" s="558"/>
      <c r="Q367" s="559"/>
    </row>
    <row r="368" spans="2:17" ht="15.75" customHeight="1" x14ac:dyDescent="0.25">
      <c r="B368" s="495"/>
      <c r="C368" s="538"/>
      <c r="D368" s="448"/>
      <c r="E368" s="448"/>
      <c r="F368" s="448"/>
      <c r="G368" s="558"/>
      <c r="H368" s="558"/>
      <c r="I368" s="558"/>
      <c r="J368" s="558"/>
      <c r="K368" s="558"/>
      <c r="L368" s="558"/>
      <c r="M368" s="558"/>
      <c r="N368" s="558"/>
      <c r="O368" s="558"/>
      <c r="P368" s="558"/>
      <c r="Q368" s="559"/>
    </row>
    <row r="369" spans="2:17" ht="15.75" customHeight="1" x14ac:dyDescent="0.2">
      <c r="B369" s="447"/>
      <c r="C369" s="538"/>
      <c r="D369" s="448"/>
      <c r="E369" s="448"/>
      <c r="F369" s="448"/>
      <c r="G369" s="558"/>
      <c r="H369" s="558"/>
      <c r="I369" s="558"/>
      <c r="J369" s="558"/>
      <c r="K369" s="558"/>
      <c r="L369" s="558"/>
      <c r="M369" s="558"/>
      <c r="N369" s="558"/>
      <c r="O369" s="558"/>
      <c r="P369" s="558"/>
      <c r="Q369" s="559"/>
    </row>
    <row r="370" spans="2:17" ht="15.75" customHeight="1" x14ac:dyDescent="0.2">
      <c r="B370" s="447"/>
      <c r="C370" s="538"/>
      <c r="D370" s="448"/>
      <c r="E370" s="448"/>
      <c r="F370" s="448"/>
      <c r="G370" s="486"/>
      <c r="H370" s="486"/>
      <c r="I370" s="486"/>
      <c r="J370" s="486"/>
      <c r="K370" s="486"/>
      <c r="L370" s="486"/>
      <c r="M370" s="486"/>
      <c r="N370" s="486"/>
      <c r="O370" s="486"/>
      <c r="P370" s="486"/>
      <c r="Q370" s="490"/>
    </row>
    <row r="371" spans="2:17" ht="15.75" customHeight="1" x14ac:dyDescent="0.2">
      <c r="B371" s="447"/>
      <c r="C371" s="538"/>
      <c r="D371" s="448"/>
      <c r="E371" s="448"/>
      <c r="F371" s="448"/>
      <c r="G371" s="560"/>
      <c r="H371" s="560"/>
      <c r="I371" s="560"/>
      <c r="J371" s="560"/>
      <c r="K371" s="560"/>
      <c r="L371" s="560"/>
      <c r="M371" s="560"/>
      <c r="N371" s="560"/>
      <c r="O371" s="560"/>
      <c r="P371" s="560"/>
      <c r="Q371" s="560"/>
    </row>
    <row r="372" spans="2:17" ht="15.75" customHeight="1" x14ac:dyDescent="0.2">
      <c r="B372" s="445"/>
      <c r="C372" s="445"/>
      <c r="D372" s="420"/>
      <c r="E372" s="420"/>
      <c r="F372" s="420"/>
      <c r="G372" s="560"/>
      <c r="H372" s="560"/>
      <c r="I372" s="560"/>
      <c r="J372" s="560"/>
      <c r="K372" s="560"/>
      <c r="L372" s="560"/>
      <c r="M372" s="560"/>
      <c r="N372" s="560"/>
      <c r="O372" s="560"/>
      <c r="P372" s="560"/>
      <c r="Q372" s="560"/>
    </row>
    <row r="373" spans="2:17" ht="15.75" customHeight="1" x14ac:dyDescent="0.25">
      <c r="B373" s="495"/>
      <c r="C373" s="447"/>
      <c r="D373" s="496"/>
      <c r="E373" s="496"/>
      <c r="F373" s="496"/>
      <c r="G373" s="560"/>
      <c r="H373" s="560"/>
      <c r="I373" s="560"/>
      <c r="J373" s="560"/>
      <c r="K373" s="560"/>
      <c r="L373" s="560"/>
      <c r="M373" s="560"/>
      <c r="N373" s="560"/>
      <c r="O373" s="560"/>
      <c r="P373" s="560"/>
      <c r="Q373" s="560"/>
    </row>
    <row r="374" spans="2:17" ht="15.75" customHeight="1" x14ac:dyDescent="0.2">
      <c r="B374" s="447"/>
      <c r="C374" s="561"/>
      <c r="D374" s="474"/>
      <c r="E374" s="474"/>
      <c r="F374" s="474"/>
      <c r="G374" s="560"/>
      <c r="H374" s="560"/>
      <c r="I374" s="560"/>
      <c r="J374" s="560"/>
      <c r="K374" s="560"/>
      <c r="L374" s="560"/>
      <c r="M374" s="560"/>
      <c r="N374" s="560"/>
      <c r="O374" s="560"/>
      <c r="P374" s="560"/>
      <c r="Q374" s="560"/>
    </row>
    <row r="375" spans="2:17" ht="15.75" customHeight="1" x14ac:dyDescent="0.2">
      <c r="B375" s="447"/>
      <c r="C375" s="561"/>
      <c r="D375" s="474"/>
      <c r="E375" s="474"/>
      <c r="F375" s="474"/>
      <c r="G375" s="560"/>
      <c r="H375" s="560"/>
      <c r="I375" s="560"/>
      <c r="J375" s="560"/>
      <c r="K375" s="560"/>
      <c r="L375" s="560"/>
      <c r="M375" s="560"/>
      <c r="N375" s="560"/>
      <c r="O375" s="560"/>
      <c r="P375" s="560"/>
      <c r="Q375" s="560"/>
    </row>
    <row r="376" spans="2:17" ht="15.75" customHeight="1" x14ac:dyDescent="0.2">
      <c r="B376" s="447"/>
      <c r="C376" s="561"/>
      <c r="D376" s="474"/>
      <c r="E376" s="474"/>
      <c r="F376" s="474"/>
      <c r="G376" s="560"/>
      <c r="H376" s="560"/>
      <c r="I376" s="560"/>
      <c r="J376" s="560"/>
      <c r="K376" s="560"/>
      <c r="L376" s="560"/>
      <c r="M376" s="560"/>
      <c r="N376" s="560"/>
      <c r="O376" s="560"/>
      <c r="P376" s="560"/>
      <c r="Q376" s="560"/>
    </row>
    <row r="377" spans="2:17" ht="15.75" customHeight="1" x14ac:dyDescent="0.2">
      <c r="B377" s="447"/>
      <c r="C377" s="561"/>
      <c r="D377" s="474"/>
      <c r="E377" s="474"/>
      <c r="F377" s="474"/>
      <c r="G377" s="560"/>
      <c r="H377" s="560"/>
      <c r="I377" s="560"/>
      <c r="J377" s="560"/>
      <c r="K377" s="560"/>
      <c r="L377" s="560"/>
      <c r="M377" s="560"/>
      <c r="N377" s="560"/>
      <c r="O377" s="560"/>
      <c r="P377" s="560"/>
      <c r="Q377" s="560"/>
    </row>
    <row r="378" spans="2:17" ht="15.75" customHeight="1" x14ac:dyDescent="0.2">
      <c r="B378" s="447"/>
      <c r="C378" s="561"/>
      <c r="D378" s="474"/>
      <c r="E378" s="474"/>
      <c r="F378" s="474"/>
      <c r="G378" s="560"/>
      <c r="H378" s="560"/>
      <c r="I378" s="560"/>
      <c r="J378" s="560"/>
      <c r="K378" s="560"/>
      <c r="L378" s="560"/>
      <c r="M378" s="560"/>
      <c r="N378" s="560"/>
      <c r="O378" s="560"/>
      <c r="P378" s="560"/>
      <c r="Q378" s="560"/>
    </row>
    <row r="379" spans="2:17" ht="15.75" customHeight="1" x14ac:dyDescent="0.2">
      <c r="B379" s="447"/>
      <c r="C379" s="561"/>
      <c r="D379" s="474"/>
      <c r="E379" s="474"/>
      <c r="F379" s="474"/>
      <c r="G379" s="457"/>
      <c r="H379" s="457"/>
      <c r="I379" s="457"/>
      <c r="J379" s="457"/>
      <c r="K379" s="457"/>
      <c r="L379" s="457"/>
      <c r="M379" s="457"/>
      <c r="N379" s="457"/>
      <c r="O379" s="457"/>
      <c r="P379" s="457"/>
      <c r="Q379" s="457"/>
    </row>
    <row r="380" spans="2:17" ht="15.75" customHeight="1" x14ac:dyDescent="0.2">
      <c r="B380" s="447"/>
      <c r="C380" s="561"/>
      <c r="D380" s="474"/>
      <c r="E380" s="474"/>
      <c r="F380" s="474"/>
      <c r="G380" s="457"/>
      <c r="H380" s="457"/>
      <c r="I380" s="457"/>
      <c r="J380" s="457"/>
      <c r="K380" s="457"/>
      <c r="L380" s="457"/>
      <c r="M380" s="457"/>
      <c r="N380" s="457"/>
      <c r="O380" s="457"/>
      <c r="P380" s="457"/>
      <c r="Q380" s="457"/>
    </row>
    <row r="381" spans="2:17" ht="15.75" customHeight="1" x14ac:dyDescent="0.2">
      <c r="B381" s="447"/>
      <c r="C381" s="562"/>
      <c r="D381" s="474"/>
      <c r="E381" s="474"/>
      <c r="F381" s="474"/>
      <c r="G381" s="457"/>
      <c r="H381" s="457"/>
      <c r="I381" s="457"/>
      <c r="J381" s="457"/>
      <c r="K381" s="457"/>
      <c r="L381" s="457"/>
      <c r="M381" s="457"/>
      <c r="N381" s="457"/>
      <c r="O381" s="457"/>
      <c r="P381" s="457"/>
      <c r="Q381" s="457"/>
    </row>
    <row r="382" spans="2:17" ht="15.75" customHeight="1" x14ac:dyDescent="0.25">
      <c r="B382" s="495"/>
      <c r="C382" s="562"/>
      <c r="D382" s="474"/>
      <c r="E382" s="474"/>
      <c r="F382" s="474"/>
      <c r="G382" s="457"/>
      <c r="H382" s="457"/>
      <c r="I382" s="457"/>
      <c r="J382" s="457"/>
      <c r="K382" s="457"/>
      <c r="L382" s="457"/>
      <c r="M382" s="457"/>
      <c r="N382" s="457"/>
      <c r="O382" s="457"/>
      <c r="P382" s="457"/>
      <c r="Q382" s="457"/>
    </row>
    <row r="383" spans="2:17" ht="15.75" customHeight="1" x14ac:dyDescent="0.2">
      <c r="B383" s="447"/>
      <c r="C383" s="563"/>
      <c r="D383" s="441"/>
      <c r="E383" s="441"/>
      <c r="F383" s="441"/>
      <c r="G383" s="457"/>
      <c r="H383" s="457"/>
      <c r="I383" s="457"/>
      <c r="J383" s="457"/>
      <c r="K383" s="457"/>
      <c r="L383" s="457"/>
      <c r="M383" s="457"/>
      <c r="N383" s="457"/>
      <c r="O383" s="457"/>
      <c r="P383" s="457"/>
      <c r="Q383" s="457"/>
    </row>
    <row r="384" spans="2:17" ht="15.75" customHeight="1" x14ac:dyDescent="0.25">
      <c r="B384" s="495"/>
      <c r="C384" s="557"/>
      <c r="D384" s="441"/>
      <c r="E384" s="441"/>
      <c r="F384" s="441"/>
      <c r="G384" s="457"/>
      <c r="H384" s="457"/>
      <c r="I384" s="457"/>
      <c r="J384" s="457"/>
      <c r="K384" s="457"/>
      <c r="L384" s="457"/>
      <c r="M384" s="457"/>
      <c r="N384" s="457"/>
      <c r="O384" s="457"/>
      <c r="P384" s="457"/>
      <c r="Q384" s="457"/>
    </row>
    <row r="385" spans="2:17" ht="15.75" customHeight="1" x14ac:dyDescent="0.2">
      <c r="B385" s="447"/>
      <c r="C385" s="538"/>
      <c r="D385" s="448"/>
      <c r="E385" s="448"/>
      <c r="F385" s="448"/>
      <c r="G385" s="457"/>
      <c r="H385" s="457"/>
      <c r="I385" s="457"/>
      <c r="J385" s="457"/>
      <c r="K385" s="457"/>
      <c r="L385" s="457"/>
      <c r="M385" s="457"/>
      <c r="N385" s="457"/>
      <c r="O385" s="457"/>
      <c r="P385" s="457"/>
      <c r="Q385" s="457"/>
    </row>
    <row r="386" spans="2:17" ht="15.75" customHeight="1" x14ac:dyDescent="0.2">
      <c r="B386" s="447"/>
      <c r="C386" s="538"/>
      <c r="D386" s="448"/>
      <c r="E386" s="448"/>
      <c r="F386" s="448"/>
    </row>
    <row r="387" spans="2:17" ht="15.75" customHeight="1" x14ac:dyDescent="0.2">
      <c r="B387" s="447"/>
      <c r="C387" s="541"/>
      <c r="D387" s="458"/>
      <c r="E387" s="458"/>
      <c r="F387" s="458"/>
    </row>
    <row r="388" spans="2:17" ht="15.75" customHeight="1" x14ac:dyDescent="0.2">
      <c r="B388" s="447"/>
      <c r="C388" s="553"/>
      <c r="D388" s="456"/>
      <c r="E388" s="456"/>
      <c r="F388" s="456"/>
    </row>
    <row r="389" spans="2:17" ht="15.75" customHeight="1" x14ac:dyDescent="0.2">
      <c r="B389" s="447"/>
      <c r="C389" s="550"/>
      <c r="D389" s="551"/>
      <c r="E389" s="551"/>
      <c r="F389" s="551"/>
    </row>
    <row r="390" spans="2:17" ht="15.75" customHeight="1" x14ac:dyDescent="0.2">
      <c r="B390" s="447"/>
      <c r="C390" s="553"/>
      <c r="D390" s="462"/>
      <c r="E390" s="462"/>
      <c r="F390" s="462"/>
      <c r="G390" s="488"/>
      <c r="H390" s="488"/>
      <c r="I390" s="488"/>
      <c r="J390" s="488"/>
      <c r="K390" s="488"/>
      <c r="L390" s="488"/>
      <c r="M390" s="488"/>
      <c r="N390" s="488"/>
      <c r="O390" s="488"/>
      <c r="P390" s="488"/>
      <c r="Q390" s="490"/>
    </row>
    <row r="391" spans="2:17" ht="15.75" customHeight="1" x14ac:dyDescent="0.2">
      <c r="B391" s="447"/>
      <c r="C391" s="538"/>
      <c r="D391" s="448"/>
      <c r="E391" s="448"/>
      <c r="F391" s="448"/>
      <c r="G391" s="488"/>
      <c r="H391" s="488"/>
      <c r="I391" s="488"/>
      <c r="J391" s="488"/>
      <c r="K391" s="488"/>
      <c r="L391" s="488"/>
      <c r="M391" s="488"/>
      <c r="N391" s="488"/>
      <c r="O391" s="488"/>
      <c r="P391" s="488"/>
      <c r="Q391" s="490"/>
    </row>
    <row r="392" spans="2:17" ht="15.75" customHeight="1" x14ac:dyDescent="0.2">
      <c r="B392" s="447"/>
      <c r="C392" s="538"/>
      <c r="D392" s="448"/>
      <c r="E392" s="448"/>
      <c r="F392" s="448"/>
      <c r="G392" s="488"/>
      <c r="H392" s="488"/>
      <c r="I392" s="488"/>
      <c r="J392" s="488"/>
      <c r="K392" s="488"/>
      <c r="L392" s="488"/>
      <c r="M392" s="488"/>
      <c r="N392" s="488"/>
      <c r="O392" s="488"/>
      <c r="P392" s="488"/>
      <c r="Q392" s="490"/>
    </row>
    <row r="393" spans="2:17" ht="15.75" customHeight="1" x14ac:dyDescent="0.2">
      <c r="B393" s="447"/>
      <c r="C393" s="564"/>
      <c r="D393" s="479"/>
      <c r="E393" s="479"/>
      <c r="F393" s="479"/>
      <c r="G393" s="488"/>
      <c r="H393" s="488"/>
      <c r="I393" s="488"/>
      <c r="J393" s="488"/>
      <c r="K393" s="488"/>
      <c r="L393" s="488"/>
      <c r="M393" s="488"/>
      <c r="N393" s="488"/>
      <c r="O393" s="488"/>
      <c r="P393" s="488"/>
      <c r="Q393" s="490"/>
    </row>
    <row r="394" spans="2:17" ht="15.75" customHeight="1" x14ac:dyDescent="0.2">
      <c r="B394" s="447"/>
      <c r="C394" s="553"/>
      <c r="D394" s="456"/>
      <c r="E394" s="456"/>
      <c r="F394" s="456"/>
    </row>
    <row r="395" spans="2:17" ht="15.75" customHeight="1" x14ac:dyDescent="0.2">
      <c r="B395" s="447"/>
      <c r="C395" s="553"/>
      <c r="D395" s="456"/>
      <c r="E395" s="456"/>
      <c r="F395" s="456"/>
      <c r="G395" s="488"/>
      <c r="H395" s="488"/>
      <c r="I395" s="488"/>
      <c r="J395" s="488"/>
      <c r="K395" s="488"/>
      <c r="L395" s="488"/>
      <c r="M395" s="488"/>
      <c r="N395" s="488"/>
      <c r="O395" s="488"/>
      <c r="P395" s="488"/>
      <c r="Q395" s="490"/>
    </row>
    <row r="396" spans="2:17" ht="15.75" customHeight="1" x14ac:dyDescent="0.2">
      <c r="B396" s="447"/>
      <c r="C396" s="565"/>
      <c r="D396" s="566"/>
      <c r="E396" s="566"/>
      <c r="F396" s="456"/>
      <c r="Q396" s="488"/>
    </row>
    <row r="397" spans="2:17" ht="15.75" customHeight="1" x14ac:dyDescent="0.2">
      <c r="B397" s="447"/>
      <c r="C397" s="538"/>
      <c r="D397" s="448"/>
      <c r="E397" s="448"/>
      <c r="F397" s="448"/>
    </row>
    <row r="398" spans="2:17" ht="15.75" customHeight="1" x14ac:dyDescent="0.25">
      <c r="B398" s="495"/>
      <c r="C398" s="557"/>
      <c r="D398" s="448"/>
      <c r="E398" s="448"/>
      <c r="F398" s="448"/>
    </row>
    <row r="399" spans="2:17" ht="15.75" customHeight="1" x14ac:dyDescent="0.2">
      <c r="B399" s="447"/>
      <c r="C399" s="538"/>
      <c r="D399" s="448"/>
      <c r="E399" s="448"/>
      <c r="F399" s="448"/>
    </row>
    <row r="400" spans="2:17" ht="15.75" customHeight="1" x14ac:dyDescent="0.2">
      <c r="B400" s="447"/>
      <c r="C400" s="538"/>
      <c r="D400" s="448"/>
      <c r="E400" s="448"/>
      <c r="F400" s="448"/>
    </row>
    <row r="401" spans="2:6" ht="15.75" customHeight="1" x14ac:dyDescent="0.2">
      <c r="B401" s="447"/>
      <c r="C401" s="567"/>
      <c r="D401" s="483"/>
      <c r="E401" s="483"/>
      <c r="F401" s="483"/>
    </row>
    <row r="402" spans="2:6" ht="15.75" customHeight="1" x14ac:dyDescent="0.2">
      <c r="B402" s="447"/>
      <c r="C402" s="541"/>
      <c r="D402" s="503"/>
      <c r="E402" s="503"/>
      <c r="F402" s="503"/>
    </row>
    <row r="403" spans="2:6" ht="15.75" customHeight="1" x14ac:dyDescent="0.2">
      <c r="B403" s="447"/>
      <c r="C403" s="565"/>
      <c r="D403" s="566"/>
      <c r="E403" s="566"/>
      <c r="F403" s="566"/>
    </row>
    <row r="404" spans="2:6" ht="15.75" customHeight="1" x14ac:dyDescent="0.2">
      <c r="B404" s="447"/>
      <c r="C404" s="538"/>
      <c r="D404" s="448"/>
      <c r="E404" s="448"/>
      <c r="F404" s="448"/>
    </row>
    <row r="405" spans="2:6" ht="15.75" customHeight="1" x14ac:dyDescent="0.2">
      <c r="B405" s="447"/>
      <c r="C405" s="538"/>
      <c r="D405" s="448"/>
      <c r="E405" s="448"/>
      <c r="F405" s="448"/>
    </row>
    <row r="406" spans="2:6" ht="15.75" customHeight="1" x14ac:dyDescent="0.2">
      <c r="B406" s="447"/>
      <c r="C406" s="538"/>
      <c r="D406" s="448"/>
      <c r="E406" s="448"/>
      <c r="F406" s="448"/>
    </row>
    <row r="407" spans="2:6" ht="15.75" customHeight="1" x14ac:dyDescent="0.2">
      <c r="B407" s="447"/>
      <c r="C407" s="538"/>
      <c r="D407" s="448"/>
      <c r="E407" s="448"/>
      <c r="F407" s="448"/>
    </row>
    <row r="408" spans="2:6" ht="15.75" customHeight="1" x14ac:dyDescent="0.25">
      <c r="B408" s="495"/>
      <c r="C408" s="538"/>
      <c r="D408" s="448"/>
      <c r="E408" s="448"/>
      <c r="F408" s="448"/>
    </row>
    <row r="409" spans="2:6" ht="15.75" customHeight="1" x14ac:dyDescent="0.2">
      <c r="B409" s="447"/>
      <c r="C409" s="538"/>
      <c r="D409" s="448"/>
      <c r="E409" s="448"/>
      <c r="F409" s="448"/>
    </row>
    <row r="410" spans="2:6" ht="15.75" customHeight="1" x14ac:dyDescent="0.2">
      <c r="B410" s="447"/>
      <c r="C410" s="538"/>
      <c r="D410" s="448"/>
      <c r="E410" s="448"/>
      <c r="F410" s="448"/>
    </row>
    <row r="411" spans="2:6" ht="15.75" customHeight="1" x14ac:dyDescent="0.2">
      <c r="B411" s="447"/>
      <c r="C411" s="538"/>
      <c r="D411" s="448"/>
      <c r="E411" s="448"/>
      <c r="F411" s="448"/>
    </row>
    <row r="412" spans="2:6" ht="15.75" customHeight="1" x14ac:dyDescent="0.2">
      <c r="B412" s="447"/>
      <c r="C412" s="538"/>
      <c r="D412" s="448"/>
      <c r="E412" s="448"/>
      <c r="F412" s="448"/>
    </row>
    <row r="413" spans="2:6" ht="15.75" customHeight="1" x14ac:dyDescent="0.25">
      <c r="B413" s="495"/>
      <c r="C413" s="445"/>
      <c r="D413" s="420"/>
      <c r="E413" s="420"/>
      <c r="F413" s="420"/>
    </row>
    <row r="414" spans="2:6" ht="15.75" customHeight="1" x14ac:dyDescent="0.2">
      <c r="B414" s="447"/>
      <c r="C414" s="561"/>
      <c r="D414" s="474"/>
      <c r="E414" s="474"/>
      <c r="F414" s="474"/>
    </row>
    <row r="415" spans="2:6" ht="15.75" customHeight="1" x14ac:dyDescent="0.2">
      <c r="B415" s="447"/>
      <c r="C415" s="561"/>
      <c r="D415" s="474"/>
      <c r="E415" s="474"/>
      <c r="F415" s="474"/>
    </row>
    <row r="416" spans="2:6" ht="15.75" customHeight="1" x14ac:dyDescent="0.2">
      <c r="B416" s="447"/>
      <c r="C416" s="561"/>
      <c r="D416" s="474"/>
      <c r="E416" s="474"/>
      <c r="F416" s="474"/>
    </row>
    <row r="417" spans="2:17" ht="15.75" customHeight="1" x14ac:dyDescent="0.2">
      <c r="B417" s="447"/>
      <c r="C417" s="561"/>
      <c r="D417" s="474"/>
      <c r="E417" s="474"/>
      <c r="F417" s="474"/>
    </row>
    <row r="418" spans="2:17" ht="15.75" customHeight="1" x14ac:dyDescent="0.2">
      <c r="B418" s="447"/>
      <c r="C418" s="561"/>
      <c r="D418" s="474"/>
      <c r="E418" s="474"/>
      <c r="F418" s="474"/>
    </row>
    <row r="419" spans="2:17" ht="15.75" customHeight="1" x14ac:dyDescent="0.2">
      <c r="B419" s="447"/>
      <c r="C419" s="561"/>
      <c r="D419" s="474"/>
      <c r="E419" s="474"/>
      <c r="F419" s="474"/>
    </row>
    <row r="420" spans="2:17" ht="15.75" customHeight="1" x14ac:dyDescent="0.2">
      <c r="B420" s="447"/>
      <c r="C420" s="561"/>
      <c r="D420" s="474"/>
      <c r="E420" s="474"/>
      <c r="F420" s="474"/>
    </row>
    <row r="421" spans="2:17" ht="15.75" customHeight="1" x14ac:dyDescent="0.2">
      <c r="B421" s="447"/>
      <c r="C421" s="538"/>
      <c r="D421" s="441"/>
      <c r="E421" s="441"/>
      <c r="F421" s="448"/>
    </row>
    <row r="422" spans="2:17" ht="15.75" customHeight="1" x14ac:dyDescent="0.2">
      <c r="B422" s="447"/>
      <c r="C422" s="538"/>
      <c r="D422" s="441"/>
      <c r="E422" s="441"/>
      <c r="F422" s="448"/>
    </row>
    <row r="423" spans="2:17" ht="15.75" customHeight="1" x14ac:dyDescent="0.25">
      <c r="B423" s="495"/>
      <c r="C423" s="561"/>
      <c r="D423" s="474"/>
      <c r="E423" s="474"/>
      <c r="F423" s="474"/>
    </row>
    <row r="424" spans="2:17" ht="15.75" customHeight="1" x14ac:dyDescent="0.25">
      <c r="B424" s="495"/>
      <c r="C424" s="561"/>
      <c r="D424" s="474"/>
      <c r="E424" s="474"/>
      <c r="F424" s="474"/>
    </row>
    <row r="425" spans="2:17" ht="15.75" customHeight="1" x14ac:dyDescent="0.25">
      <c r="B425" s="495"/>
      <c r="C425" s="447"/>
      <c r="D425" s="496"/>
      <c r="E425" s="496"/>
      <c r="F425" s="496"/>
    </row>
    <row r="426" spans="2:17" ht="15.75" customHeight="1" x14ac:dyDescent="0.2">
      <c r="B426" s="447"/>
      <c r="C426" s="538"/>
      <c r="D426" s="448"/>
      <c r="E426" s="448"/>
      <c r="F426" s="448"/>
    </row>
    <row r="427" spans="2:17" ht="15.75" customHeight="1" x14ac:dyDescent="0.2">
      <c r="B427" s="447"/>
      <c r="C427" s="538"/>
      <c r="D427" s="448"/>
      <c r="E427" s="448"/>
      <c r="F427" s="448"/>
      <c r="G427" s="475"/>
      <c r="H427" s="475"/>
      <c r="I427" s="475"/>
      <c r="J427" s="475"/>
      <c r="K427" s="475"/>
      <c r="L427" s="475"/>
      <c r="M427" s="475"/>
      <c r="N427" s="475"/>
      <c r="O427" s="475"/>
      <c r="P427" s="475"/>
      <c r="Q427" s="475"/>
    </row>
    <row r="428" spans="2:17" ht="15.75" customHeight="1" x14ac:dyDescent="0.2">
      <c r="B428" s="447"/>
      <c r="C428" s="541"/>
      <c r="D428" s="458"/>
      <c r="E428" s="458"/>
      <c r="F428" s="458"/>
      <c r="G428" s="450"/>
      <c r="H428" s="450"/>
      <c r="I428" s="450"/>
      <c r="J428" s="450"/>
      <c r="K428" s="450"/>
      <c r="L428" s="450"/>
      <c r="M428" s="450"/>
      <c r="N428" s="450"/>
      <c r="O428" s="450"/>
      <c r="P428" s="450"/>
      <c r="Q428" s="450"/>
    </row>
    <row r="429" spans="2:17" ht="15.75" customHeight="1" x14ac:dyDescent="0.2">
      <c r="B429" s="447"/>
      <c r="C429" s="553"/>
      <c r="D429" s="456"/>
      <c r="E429" s="456"/>
      <c r="F429" s="456"/>
      <c r="G429" s="450"/>
      <c r="H429" s="450"/>
      <c r="I429" s="450"/>
      <c r="J429" s="450"/>
      <c r="K429" s="450"/>
      <c r="L429" s="450"/>
      <c r="M429" s="450"/>
      <c r="N429" s="450"/>
      <c r="O429" s="450"/>
      <c r="P429" s="450"/>
      <c r="Q429" s="450"/>
    </row>
    <row r="430" spans="2:17" ht="15.75" customHeight="1" x14ac:dyDescent="0.2">
      <c r="B430" s="447"/>
      <c r="C430" s="550"/>
      <c r="D430" s="551"/>
      <c r="E430" s="551"/>
      <c r="F430" s="551"/>
      <c r="G430" s="450"/>
      <c r="H430" s="450"/>
      <c r="I430" s="450"/>
      <c r="J430" s="450"/>
      <c r="K430" s="450"/>
      <c r="L430" s="450"/>
      <c r="M430" s="450"/>
      <c r="N430" s="450"/>
      <c r="O430" s="450"/>
      <c r="P430" s="450"/>
      <c r="Q430" s="450"/>
    </row>
    <row r="431" spans="2:17" ht="15.75" customHeight="1" x14ac:dyDescent="0.2">
      <c r="B431" s="447"/>
      <c r="C431" s="565"/>
      <c r="D431" s="566"/>
      <c r="E431" s="566"/>
      <c r="F431" s="566"/>
      <c r="G431" s="500"/>
      <c r="H431" s="500"/>
      <c r="I431" s="500"/>
      <c r="J431" s="500"/>
      <c r="K431" s="500"/>
      <c r="L431" s="500"/>
      <c r="M431" s="500"/>
      <c r="N431" s="500"/>
      <c r="O431" s="500"/>
      <c r="P431" s="500"/>
      <c r="Q431" s="500"/>
    </row>
    <row r="432" spans="2:17" ht="15.75" customHeight="1" x14ac:dyDescent="0.2">
      <c r="B432" s="447"/>
      <c r="C432" s="538"/>
      <c r="D432" s="448"/>
      <c r="E432" s="448"/>
      <c r="F432" s="448"/>
    </row>
    <row r="433" spans="1:17" ht="15.75" customHeight="1" x14ac:dyDescent="0.2">
      <c r="B433" s="447"/>
      <c r="C433" s="538"/>
      <c r="D433" s="448"/>
      <c r="E433" s="448"/>
      <c r="F433" s="448"/>
      <c r="G433" s="450"/>
      <c r="H433" s="450"/>
      <c r="I433" s="450"/>
      <c r="J433" s="450"/>
      <c r="K433" s="450"/>
      <c r="L433" s="450"/>
      <c r="M433" s="450"/>
      <c r="N433" s="450"/>
      <c r="O433" s="450"/>
      <c r="P433" s="450"/>
      <c r="Q433" s="450"/>
    </row>
    <row r="434" spans="1:17" ht="15.75" customHeight="1" x14ac:dyDescent="0.2">
      <c r="B434" s="447"/>
      <c r="C434" s="538"/>
      <c r="D434" s="448"/>
      <c r="E434" s="448"/>
      <c r="F434" s="448"/>
      <c r="G434" s="450"/>
      <c r="H434" s="450"/>
      <c r="I434" s="450"/>
      <c r="J434" s="450"/>
      <c r="K434" s="450"/>
      <c r="L434" s="450"/>
      <c r="M434" s="450"/>
      <c r="N434" s="450"/>
      <c r="O434" s="450"/>
      <c r="P434" s="450"/>
      <c r="Q434" s="450"/>
    </row>
    <row r="435" spans="1:17" ht="15.75" customHeight="1" x14ac:dyDescent="0.2">
      <c r="B435" s="447"/>
      <c r="C435" s="538"/>
      <c r="D435" s="441"/>
      <c r="E435" s="441"/>
      <c r="F435" s="441"/>
      <c r="G435" s="512"/>
      <c r="H435" s="512"/>
      <c r="I435" s="512"/>
      <c r="J435" s="512"/>
      <c r="K435" s="512"/>
      <c r="L435" s="512"/>
      <c r="M435" s="512"/>
      <c r="N435" s="512"/>
      <c r="O435" s="512"/>
      <c r="P435" s="512"/>
      <c r="Q435" s="512"/>
    </row>
    <row r="436" spans="1:17" ht="15.75" customHeight="1" x14ac:dyDescent="0.2">
      <c r="A436" s="420"/>
      <c r="B436" s="421"/>
      <c r="C436" s="421"/>
      <c r="G436" s="421"/>
      <c r="H436" s="421"/>
      <c r="I436" s="421"/>
      <c r="J436" s="421"/>
      <c r="K436" s="421"/>
      <c r="L436" s="421"/>
      <c r="M436" s="421"/>
      <c r="N436" s="421"/>
      <c r="O436" s="421"/>
      <c r="P436" s="421"/>
      <c r="Q436" s="421"/>
    </row>
    <row r="437" spans="1:17" ht="15.75" customHeight="1" x14ac:dyDescent="0.2">
      <c r="A437" s="420"/>
      <c r="B437" s="421"/>
      <c r="C437" s="421"/>
      <c r="G437" s="421"/>
      <c r="H437" s="421"/>
      <c r="I437" s="421"/>
      <c r="J437" s="421"/>
      <c r="K437" s="421"/>
      <c r="L437" s="421"/>
      <c r="M437" s="421"/>
      <c r="N437" s="421"/>
      <c r="O437" s="421"/>
      <c r="P437" s="421"/>
      <c r="Q437" s="421"/>
    </row>
    <row r="438" spans="1:17" ht="15.75" customHeight="1" x14ac:dyDescent="0.2">
      <c r="A438" s="420"/>
      <c r="B438" s="421"/>
      <c r="C438" s="421"/>
      <c r="G438" s="421"/>
      <c r="H438" s="421"/>
      <c r="I438" s="421"/>
      <c r="J438" s="421"/>
      <c r="K438" s="421"/>
      <c r="L438" s="421"/>
      <c r="M438" s="421"/>
      <c r="N438" s="421"/>
      <c r="O438" s="421"/>
      <c r="P438" s="421"/>
      <c r="Q438" s="421"/>
    </row>
    <row r="439" spans="1:17" ht="15.75" customHeight="1" x14ac:dyDescent="0.2">
      <c r="A439" s="420"/>
      <c r="B439" s="421"/>
      <c r="C439" s="421"/>
      <c r="G439" s="421"/>
      <c r="H439" s="421"/>
      <c r="I439" s="421"/>
      <c r="J439" s="421"/>
      <c r="K439" s="421"/>
      <c r="L439" s="421"/>
      <c r="M439" s="421"/>
      <c r="N439" s="421"/>
      <c r="O439" s="421"/>
      <c r="P439" s="421"/>
      <c r="Q439" s="421"/>
    </row>
    <row r="440" spans="1:17" ht="15.75" customHeight="1" x14ac:dyDescent="0.2">
      <c r="A440" s="420"/>
      <c r="B440" s="421"/>
      <c r="C440" s="421"/>
      <c r="G440" s="421"/>
      <c r="H440" s="421"/>
      <c r="I440" s="421"/>
      <c r="J440" s="421"/>
      <c r="K440" s="421"/>
      <c r="L440" s="421"/>
      <c r="M440" s="421"/>
      <c r="N440" s="421"/>
      <c r="O440" s="421"/>
      <c r="P440" s="421"/>
      <c r="Q440" s="421"/>
    </row>
    <row r="441" spans="1:17" ht="15.75" customHeight="1" x14ac:dyDescent="0.2">
      <c r="A441" s="420"/>
      <c r="B441" s="421"/>
      <c r="C441" s="421"/>
      <c r="G441" s="421"/>
      <c r="H441" s="421"/>
      <c r="I441" s="421"/>
      <c r="J441" s="421"/>
      <c r="K441" s="421"/>
      <c r="L441" s="421"/>
      <c r="M441" s="421"/>
      <c r="N441" s="421"/>
      <c r="O441" s="421"/>
      <c r="P441" s="421"/>
      <c r="Q441" s="421"/>
    </row>
    <row r="442" spans="1:17" ht="15.75" customHeight="1" x14ac:dyDescent="0.2">
      <c r="A442" s="420"/>
      <c r="B442" s="421"/>
      <c r="C442" s="421"/>
      <c r="G442" s="421"/>
      <c r="H442" s="421"/>
      <c r="I442" s="421"/>
      <c r="J442" s="421"/>
      <c r="K442" s="421"/>
      <c r="L442" s="421"/>
      <c r="M442" s="421"/>
      <c r="N442" s="421"/>
      <c r="O442" s="421"/>
      <c r="P442" s="421"/>
      <c r="Q442" s="421"/>
    </row>
    <row r="443" spans="1:17" ht="15.75" customHeight="1" x14ac:dyDescent="0.2">
      <c r="A443" s="420"/>
      <c r="B443" s="421"/>
      <c r="C443" s="421"/>
      <c r="G443" s="421"/>
      <c r="H443" s="421"/>
      <c r="I443" s="421"/>
      <c r="J443" s="421"/>
      <c r="K443" s="421"/>
      <c r="L443" s="421"/>
      <c r="M443" s="421"/>
      <c r="N443" s="421"/>
      <c r="O443" s="421"/>
      <c r="P443" s="421"/>
      <c r="Q443" s="421"/>
    </row>
    <row r="444" spans="1:17" ht="15.75" customHeight="1" x14ac:dyDescent="0.2">
      <c r="A444" s="420"/>
      <c r="B444" s="421"/>
      <c r="C444" s="421"/>
      <c r="G444" s="421"/>
      <c r="H444" s="421"/>
      <c r="I444" s="421"/>
      <c r="J444" s="421"/>
      <c r="K444" s="421"/>
      <c r="L444" s="421"/>
      <c r="M444" s="421"/>
      <c r="N444" s="421"/>
      <c r="O444" s="421"/>
      <c r="P444" s="421"/>
      <c r="Q444" s="421"/>
    </row>
    <row r="445" spans="1:17" ht="15.75" customHeight="1" x14ac:dyDescent="0.2">
      <c r="A445" s="420"/>
      <c r="B445" s="421"/>
      <c r="C445" s="421"/>
      <c r="G445" s="421"/>
      <c r="H445" s="421"/>
      <c r="I445" s="421"/>
      <c r="J445" s="421"/>
      <c r="K445" s="421"/>
      <c r="L445" s="421"/>
      <c r="M445" s="421"/>
      <c r="N445" s="421"/>
      <c r="O445" s="421"/>
      <c r="P445" s="421"/>
      <c r="Q445" s="421"/>
    </row>
    <row r="446" spans="1:17" ht="15.75" customHeight="1" x14ac:dyDescent="0.2">
      <c r="A446" s="420"/>
      <c r="B446" s="421"/>
      <c r="C446" s="421"/>
      <c r="G446" s="421"/>
      <c r="H446" s="421"/>
      <c r="I446" s="421"/>
      <c r="J446" s="421"/>
      <c r="K446" s="421"/>
      <c r="L446" s="421"/>
      <c r="M446" s="421"/>
      <c r="N446" s="421"/>
      <c r="O446" s="421"/>
      <c r="P446" s="421"/>
      <c r="Q446" s="421"/>
    </row>
    <row r="447" spans="1:17" ht="15.75" customHeight="1" x14ac:dyDescent="0.2">
      <c r="A447" s="420"/>
      <c r="B447" s="421"/>
      <c r="C447" s="421"/>
      <c r="G447" s="421"/>
      <c r="H447" s="421"/>
      <c r="I447" s="421"/>
      <c r="J447" s="421"/>
      <c r="K447" s="421"/>
      <c r="L447" s="421"/>
      <c r="M447" s="421"/>
      <c r="N447" s="421"/>
      <c r="O447" s="421"/>
      <c r="P447" s="421"/>
      <c r="Q447" s="421"/>
    </row>
    <row r="448" spans="1:17" ht="15.75" customHeight="1" x14ac:dyDescent="0.2">
      <c r="A448" s="420"/>
      <c r="B448" s="421"/>
      <c r="C448" s="421"/>
      <c r="G448" s="421"/>
      <c r="H448" s="421"/>
      <c r="I448" s="421"/>
      <c r="J448" s="421"/>
      <c r="K448" s="421"/>
      <c r="L448" s="421"/>
      <c r="M448" s="421"/>
      <c r="N448" s="421"/>
      <c r="O448" s="421"/>
      <c r="P448" s="421"/>
      <c r="Q448" s="421"/>
    </row>
    <row r="449" spans="1:17" ht="15.75" customHeight="1" x14ac:dyDescent="0.2">
      <c r="A449" s="420"/>
      <c r="B449" s="421"/>
      <c r="C449" s="421"/>
      <c r="G449" s="421"/>
      <c r="H449" s="421"/>
      <c r="I449" s="421"/>
      <c r="J449" s="421"/>
      <c r="K449" s="421"/>
      <c r="L449" s="421"/>
      <c r="M449" s="421"/>
      <c r="N449" s="421"/>
      <c r="O449" s="421"/>
      <c r="P449" s="421"/>
      <c r="Q449" s="421"/>
    </row>
    <row r="450" spans="1:17" ht="15.75" customHeight="1" x14ac:dyDescent="0.2">
      <c r="A450" s="420"/>
      <c r="B450" s="421"/>
      <c r="C450" s="421"/>
      <c r="G450" s="421"/>
      <c r="H450" s="421"/>
      <c r="I450" s="421"/>
      <c r="J450" s="421"/>
      <c r="K450" s="421"/>
      <c r="L450" s="421"/>
      <c r="M450" s="421"/>
      <c r="N450" s="421"/>
      <c r="O450" s="421"/>
      <c r="P450" s="421"/>
      <c r="Q450" s="421"/>
    </row>
    <row r="451" spans="1:17" ht="15.75" customHeight="1" x14ac:dyDescent="0.2">
      <c r="A451" s="420"/>
      <c r="B451" s="421"/>
      <c r="C451" s="421"/>
      <c r="G451" s="421"/>
      <c r="H451" s="421"/>
      <c r="I451" s="421"/>
      <c r="J451" s="421"/>
      <c r="K451" s="421"/>
      <c r="L451" s="421"/>
      <c r="M451" s="421"/>
      <c r="N451" s="421"/>
      <c r="O451" s="421"/>
      <c r="P451" s="421"/>
      <c r="Q451" s="421"/>
    </row>
    <row r="452" spans="1:17" ht="15.75" customHeight="1" x14ac:dyDescent="0.2">
      <c r="A452" s="420"/>
      <c r="B452" s="421"/>
      <c r="C452" s="421"/>
      <c r="G452" s="421"/>
      <c r="H452" s="421"/>
      <c r="I452" s="421"/>
      <c r="J452" s="421"/>
      <c r="K452" s="421"/>
      <c r="L452" s="421"/>
      <c r="M452" s="421"/>
      <c r="N452" s="421"/>
      <c r="O452" s="421"/>
      <c r="P452" s="421"/>
      <c r="Q452" s="421"/>
    </row>
    <row r="453" spans="1:17" ht="15.75" customHeight="1" x14ac:dyDescent="0.2">
      <c r="A453" s="420"/>
      <c r="B453" s="421"/>
      <c r="C453" s="421"/>
      <c r="G453" s="421"/>
      <c r="H453" s="421"/>
      <c r="I453" s="421"/>
      <c r="J453" s="421"/>
      <c r="K453" s="421"/>
      <c r="L453" s="421"/>
      <c r="M453" s="421"/>
      <c r="N453" s="421"/>
      <c r="O453" s="421"/>
      <c r="P453" s="421"/>
      <c r="Q453" s="421"/>
    </row>
    <row r="454" spans="1:17" ht="15.75" customHeight="1" x14ac:dyDescent="0.2">
      <c r="A454" s="420"/>
      <c r="B454" s="421"/>
      <c r="C454" s="421"/>
      <c r="G454" s="421"/>
      <c r="H454" s="421"/>
      <c r="I454" s="421"/>
      <c r="J454" s="421"/>
      <c r="K454" s="421"/>
      <c r="L454" s="421"/>
      <c r="M454" s="421"/>
      <c r="N454" s="421"/>
      <c r="O454" s="421"/>
      <c r="P454" s="421"/>
      <c r="Q454" s="421"/>
    </row>
    <row r="455" spans="1:17" ht="15.75" customHeight="1" x14ac:dyDescent="0.2">
      <c r="A455" s="420"/>
      <c r="B455" s="421"/>
      <c r="C455" s="421"/>
      <c r="G455" s="421"/>
      <c r="H455" s="421"/>
      <c r="I455" s="421"/>
      <c r="J455" s="421"/>
      <c r="K455" s="421"/>
      <c r="L455" s="421"/>
      <c r="M455" s="421"/>
      <c r="N455" s="421"/>
      <c r="O455" s="421"/>
      <c r="P455" s="421"/>
      <c r="Q455" s="421"/>
    </row>
    <row r="456" spans="1:17" ht="15.75" customHeight="1" x14ac:dyDescent="0.2">
      <c r="A456" s="420"/>
      <c r="B456" s="421"/>
      <c r="C456" s="421"/>
      <c r="G456" s="421"/>
      <c r="H456" s="421"/>
      <c r="I456" s="421"/>
      <c r="J456" s="421"/>
      <c r="K456" s="421"/>
      <c r="L456" s="421"/>
      <c r="M456" s="421"/>
      <c r="N456" s="421"/>
      <c r="O456" s="421"/>
      <c r="P456" s="421"/>
      <c r="Q456" s="421"/>
    </row>
    <row r="457" spans="1:17" ht="15.75" customHeight="1" x14ac:dyDescent="0.2">
      <c r="A457" s="420"/>
      <c r="B457" s="421"/>
      <c r="C457" s="421"/>
      <c r="G457" s="421"/>
      <c r="H457" s="421"/>
      <c r="I457" s="421"/>
      <c r="J457" s="421"/>
      <c r="K457" s="421"/>
      <c r="L457" s="421"/>
      <c r="M457" s="421"/>
      <c r="N457" s="421"/>
      <c r="O457" s="421"/>
      <c r="P457" s="421"/>
      <c r="Q457" s="421"/>
    </row>
    <row r="458" spans="1:17" ht="15.75" customHeight="1" x14ac:dyDescent="0.2">
      <c r="A458" s="420"/>
      <c r="B458" s="421"/>
      <c r="C458" s="421"/>
      <c r="G458" s="421"/>
      <c r="H458" s="421"/>
      <c r="I458" s="421"/>
      <c r="J458" s="421"/>
      <c r="K458" s="421"/>
      <c r="L458" s="421"/>
      <c r="M458" s="421"/>
      <c r="N458" s="421"/>
      <c r="O458" s="421"/>
      <c r="P458" s="421"/>
      <c r="Q458" s="421"/>
    </row>
    <row r="459" spans="1:17" ht="15.75" customHeight="1" x14ac:dyDescent="0.2">
      <c r="A459" s="420"/>
      <c r="B459" s="421"/>
      <c r="C459" s="421"/>
      <c r="G459" s="421"/>
      <c r="H459" s="421"/>
      <c r="I459" s="421"/>
      <c r="J459" s="421"/>
      <c r="K459" s="421"/>
      <c r="L459" s="421"/>
      <c r="M459" s="421"/>
      <c r="N459" s="421"/>
      <c r="O459" s="421"/>
      <c r="P459" s="421"/>
      <c r="Q459" s="421"/>
    </row>
    <row r="460" spans="1:17" ht="15.75" customHeight="1" x14ac:dyDescent="0.2">
      <c r="A460" s="420"/>
      <c r="B460" s="421"/>
      <c r="C460" s="421"/>
      <c r="G460" s="421"/>
      <c r="H460" s="421"/>
      <c r="I460" s="421"/>
      <c r="J460" s="421"/>
      <c r="K460" s="421"/>
      <c r="L460" s="421"/>
      <c r="M460" s="421"/>
      <c r="N460" s="421"/>
      <c r="O460" s="421"/>
      <c r="P460" s="421"/>
      <c r="Q460" s="421"/>
    </row>
    <row r="461" spans="1:17" ht="15.75" customHeight="1" x14ac:dyDescent="0.2">
      <c r="A461" s="420"/>
      <c r="B461" s="421"/>
      <c r="C461" s="421"/>
      <c r="G461" s="421"/>
      <c r="H461" s="421"/>
      <c r="I461" s="421"/>
      <c r="J461" s="421"/>
      <c r="K461" s="421"/>
      <c r="L461" s="421"/>
      <c r="M461" s="421"/>
      <c r="N461" s="421"/>
      <c r="O461" s="421"/>
      <c r="P461" s="421"/>
      <c r="Q461" s="421"/>
    </row>
    <row r="462" spans="1:17" ht="15.75" customHeight="1" x14ac:dyDescent="0.2">
      <c r="A462" s="420"/>
      <c r="B462" s="421"/>
      <c r="C462" s="421"/>
      <c r="G462" s="421"/>
      <c r="H462" s="421"/>
      <c r="I462" s="421"/>
      <c r="J462" s="421"/>
      <c r="K462" s="421"/>
      <c r="L462" s="421"/>
      <c r="M462" s="421"/>
      <c r="N462" s="421"/>
      <c r="O462" s="421"/>
      <c r="P462" s="421"/>
      <c r="Q462" s="421"/>
    </row>
    <row r="463" spans="1:17" ht="15.75" customHeight="1" x14ac:dyDescent="0.2">
      <c r="A463" s="420"/>
      <c r="B463" s="421"/>
      <c r="C463" s="421"/>
      <c r="G463" s="421"/>
      <c r="H463" s="421"/>
      <c r="I463" s="421"/>
      <c r="J463" s="421"/>
      <c r="K463" s="421"/>
      <c r="L463" s="421"/>
      <c r="M463" s="421"/>
      <c r="N463" s="421"/>
      <c r="O463" s="421"/>
      <c r="P463" s="421"/>
      <c r="Q463" s="421"/>
    </row>
    <row r="464" spans="1:17" ht="15.75" customHeight="1" x14ac:dyDescent="0.2">
      <c r="A464" s="420"/>
      <c r="B464" s="421"/>
      <c r="C464" s="421"/>
      <c r="G464" s="421"/>
      <c r="H464" s="421"/>
      <c r="I464" s="421"/>
      <c r="J464" s="421"/>
      <c r="K464" s="421"/>
      <c r="L464" s="421"/>
      <c r="M464" s="421"/>
      <c r="N464" s="421"/>
      <c r="O464" s="421"/>
      <c r="P464" s="421"/>
      <c r="Q464" s="421"/>
    </row>
    <row r="465" spans="1:17" ht="15.75" customHeight="1" x14ac:dyDescent="0.2">
      <c r="A465" s="420"/>
      <c r="B465" s="421"/>
      <c r="C465" s="421"/>
      <c r="G465" s="421"/>
      <c r="H465" s="421"/>
      <c r="I465" s="421"/>
      <c r="J465" s="421"/>
      <c r="K465" s="421"/>
      <c r="L465" s="421"/>
      <c r="M465" s="421"/>
      <c r="N465" s="421"/>
      <c r="O465" s="421"/>
      <c r="P465" s="421"/>
      <c r="Q465" s="421"/>
    </row>
    <row r="466" spans="1:17" ht="15.75" customHeight="1" x14ac:dyDescent="0.2">
      <c r="A466" s="420"/>
      <c r="B466" s="421"/>
      <c r="C466" s="421"/>
      <c r="G466" s="421"/>
      <c r="H466" s="421"/>
      <c r="I466" s="421"/>
      <c r="J466" s="421"/>
      <c r="K466" s="421"/>
      <c r="L466" s="421"/>
      <c r="M466" s="421"/>
      <c r="N466" s="421"/>
      <c r="O466" s="421"/>
      <c r="P466" s="421"/>
      <c r="Q466" s="421"/>
    </row>
    <row r="467" spans="1:17" ht="15.75" customHeight="1" x14ac:dyDescent="0.2">
      <c r="A467" s="420"/>
      <c r="B467" s="421"/>
      <c r="C467" s="421"/>
      <c r="G467" s="421"/>
      <c r="H467" s="421"/>
      <c r="I467" s="421"/>
      <c r="J467" s="421"/>
      <c r="K467" s="421"/>
      <c r="L467" s="421"/>
      <c r="M467" s="421"/>
      <c r="N467" s="421"/>
      <c r="O467" s="421"/>
      <c r="P467" s="421"/>
      <c r="Q467" s="421"/>
    </row>
    <row r="468" spans="1:17" ht="15.75" customHeight="1" x14ac:dyDescent="0.2">
      <c r="A468" s="420"/>
      <c r="B468" s="421"/>
      <c r="C468" s="421"/>
      <c r="G468" s="421"/>
      <c r="H468" s="421"/>
      <c r="I468" s="421"/>
      <c r="J468" s="421"/>
      <c r="K468" s="421"/>
      <c r="L468" s="421"/>
      <c r="M468" s="421"/>
      <c r="N468" s="421"/>
      <c r="O468" s="421"/>
      <c r="P468" s="421"/>
      <c r="Q468" s="421"/>
    </row>
    <row r="469" spans="1:17" ht="15.75" customHeight="1" x14ac:dyDescent="0.2">
      <c r="A469" s="420"/>
      <c r="B469" s="421"/>
      <c r="C469" s="421"/>
      <c r="G469" s="421"/>
      <c r="H469" s="421"/>
      <c r="I469" s="421"/>
      <c r="J469" s="421"/>
      <c r="K469" s="421"/>
      <c r="L469" s="421"/>
      <c r="M469" s="421"/>
      <c r="N469" s="421"/>
      <c r="O469" s="421"/>
      <c r="P469" s="421"/>
      <c r="Q469" s="421"/>
    </row>
    <row r="470" spans="1:17" ht="15.75" customHeight="1" x14ac:dyDescent="0.2">
      <c r="A470" s="420"/>
      <c r="B470" s="421"/>
      <c r="C470" s="421"/>
      <c r="G470" s="421"/>
      <c r="H470" s="421"/>
      <c r="I470" s="421"/>
      <c r="J470" s="421"/>
      <c r="K470" s="421"/>
      <c r="L470" s="421"/>
      <c r="M470" s="421"/>
      <c r="N470" s="421"/>
      <c r="O470" s="421"/>
      <c r="P470" s="421"/>
      <c r="Q470" s="421"/>
    </row>
    <row r="471" spans="1:17" ht="15.75" customHeight="1" x14ac:dyDescent="0.2">
      <c r="A471" s="420"/>
      <c r="B471" s="421"/>
      <c r="C471" s="421"/>
      <c r="G471" s="421"/>
      <c r="H471" s="421"/>
      <c r="I471" s="421"/>
      <c r="J471" s="421"/>
      <c r="K471" s="421"/>
      <c r="L471" s="421"/>
      <c r="M471" s="421"/>
      <c r="N471" s="421"/>
      <c r="O471" s="421"/>
      <c r="P471" s="421"/>
      <c r="Q471" s="421"/>
    </row>
    <row r="472" spans="1:17" ht="15.75" customHeight="1" x14ac:dyDescent="0.2">
      <c r="A472" s="420"/>
      <c r="B472" s="421"/>
      <c r="C472" s="421"/>
      <c r="G472" s="421"/>
      <c r="H472" s="421"/>
      <c r="I472" s="421"/>
      <c r="J472" s="421"/>
      <c r="K472" s="421"/>
      <c r="L472" s="421"/>
      <c r="M472" s="421"/>
      <c r="N472" s="421"/>
      <c r="O472" s="421"/>
      <c r="P472" s="421"/>
      <c r="Q472" s="421"/>
    </row>
    <row r="473" spans="1:17" ht="15.75" customHeight="1" x14ac:dyDescent="0.2">
      <c r="A473" s="420"/>
      <c r="B473" s="421"/>
      <c r="C473" s="421"/>
      <c r="G473" s="421"/>
      <c r="H473" s="421"/>
      <c r="I473" s="421"/>
      <c r="J473" s="421"/>
      <c r="K473" s="421"/>
      <c r="L473" s="421"/>
      <c r="M473" s="421"/>
      <c r="N473" s="421"/>
      <c r="O473" s="421"/>
      <c r="P473" s="421"/>
      <c r="Q473" s="421"/>
    </row>
    <row r="474" spans="1:17" ht="15.75" customHeight="1" x14ac:dyDescent="0.2">
      <c r="A474" s="420"/>
      <c r="B474" s="421"/>
      <c r="C474" s="421"/>
      <c r="G474" s="421"/>
      <c r="H474" s="421"/>
      <c r="I474" s="421"/>
      <c r="J474" s="421"/>
      <c r="K474" s="421"/>
      <c r="L474" s="421"/>
      <c r="M474" s="421"/>
      <c r="N474" s="421"/>
      <c r="O474" s="421"/>
      <c r="P474" s="421"/>
      <c r="Q474" s="421"/>
    </row>
    <row r="475" spans="1:17" ht="15.75" customHeight="1" x14ac:dyDescent="0.2">
      <c r="A475" s="420"/>
      <c r="B475" s="421"/>
      <c r="C475" s="421"/>
      <c r="G475" s="421"/>
      <c r="H475" s="421"/>
      <c r="I475" s="421"/>
      <c r="J475" s="421"/>
      <c r="K475" s="421"/>
      <c r="L475" s="421"/>
      <c r="M475" s="421"/>
      <c r="N475" s="421"/>
      <c r="O475" s="421"/>
      <c r="P475" s="421"/>
      <c r="Q475" s="421"/>
    </row>
    <row r="476" spans="1:17" ht="15.75" customHeight="1" x14ac:dyDescent="0.2">
      <c r="A476" s="420"/>
      <c r="B476" s="421"/>
      <c r="C476" s="421"/>
      <c r="G476" s="421"/>
      <c r="H476" s="421"/>
      <c r="I476" s="421"/>
      <c r="J476" s="421"/>
      <c r="K476" s="421"/>
      <c r="L476" s="421"/>
      <c r="M476" s="421"/>
      <c r="N476" s="421"/>
      <c r="O476" s="421"/>
      <c r="P476" s="421"/>
      <c r="Q476" s="421"/>
    </row>
    <row r="477" spans="1:17" ht="15.75" customHeight="1" x14ac:dyDescent="0.2">
      <c r="A477" s="420"/>
      <c r="B477" s="421"/>
      <c r="C477" s="421"/>
      <c r="G477" s="421"/>
      <c r="H477" s="421"/>
      <c r="I477" s="421"/>
      <c r="J477" s="421"/>
      <c r="K477" s="421"/>
      <c r="L477" s="421"/>
      <c r="M477" s="421"/>
      <c r="N477" s="421"/>
      <c r="O477" s="421"/>
      <c r="P477" s="421"/>
      <c r="Q477" s="421"/>
    </row>
    <row r="478" spans="1:17" ht="15.75" customHeight="1" x14ac:dyDescent="0.2">
      <c r="A478" s="420"/>
      <c r="B478" s="421"/>
      <c r="C478" s="421"/>
      <c r="G478" s="421"/>
      <c r="H478" s="421"/>
      <c r="I478" s="421"/>
      <c r="J478" s="421"/>
      <c r="K478" s="421"/>
      <c r="L478" s="421"/>
      <c r="M478" s="421"/>
      <c r="N478" s="421"/>
      <c r="O478" s="421"/>
      <c r="P478" s="421"/>
      <c r="Q478" s="421"/>
    </row>
    <row r="479" spans="1:17" ht="15.75" customHeight="1" x14ac:dyDescent="0.2">
      <c r="A479" s="420"/>
      <c r="B479" s="421"/>
      <c r="C479" s="421"/>
      <c r="G479" s="421"/>
      <c r="H479" s="421"/>
      <c r="I479" s="421"/>
      <c r="J479" s="421"/>
      <c r="K479" s="421"/>
      <c r="L479" s="421"/>
      <c r="M479" s="421"/>
      <c r="N479" s="421"/>
      <c r="O479" s="421"/>
      <c r="P479" s="421"/>
      <c r="Q479" s="421"/>
    </row>
    <row r="480" spans="1:17" ht="15.75" customHeight="1" x14ac:dyDescent="0.2">
      <c r="A480" s="420"/>
      <c r="B480" s="421"/>
      <c r="C480" s="421"/>
      <c r="G480" s="421"/>
      <c r="H480" s="421"/>
      <c r="I480" s="421"/>
      <c r="J480" s="421"/>
      <c r="K480" s="421"/>
      <c r="L480" s="421"/>
      <c r="M480" s="421"/>
      <c r="N480" s="421"/>
      <c r="O480" s="421"/>
      <c r="P480" s="421"/>
      <c r="Q480" s="421"/>
    </row>
    <row r="481" spans="1:17" ht="15.75" customHeight="1" x14ac:dyDescent="0.2">
      <c r="A481" s="420"/>
      <c r="B481" s="421"/>
      <c r="C481" s="421"/>
      <c r="G481" s="421"/>
      <c r="H481" s="421"/>
      <c r="I481" s="421"/>
      <c r="J481" s="421"/>
      <c r="K481" s="421"/>
      <c r="L481" s="421"/>
      <c r="M481" s="421"/>
      <c r="N481" s="421"/>
      <c r="O481" s="421"/>
      <c r="P481" s="421"/>
      <c r="Q481" s="421"/>
    </row>
    <row r="482" spans="1:17" ht="15.75" customHeight="1" x14ac:dyDescent="0.2">
      <c r="A482" s="420"/>
      <c r="B482" s="421"/>
      <c r="C482" s="421"/>
      <c r="G482" s="421"/>
      <c r="H482" s="421"/>
      <c r="I482" s="421"/>
      <c r="J482" s="421"/>
      <c r="K482" s="421"/>
      <c r="L482" s="421"/>
      <c r="M482" s="421"/>
      <c r="N482" s="421"/>
      <c r="O482" s="421"/>
      <c r="P482" s="421"/>
      <c r="Q482" s="421"/>
    </row>
    <row r="483" spans="1:17" ht="15.75" customHeight="1" x14ac:dyDescent="0.2">
      <c r="A483" s="420"/>
      <c r="B483" s="421"/>
      <c r="C483" s="421"/>
      <c r="G483" s="421"/>
      <c r="H483" s="421"/>
      <c r="I483" s="421"/>
      <c r="J483" s="421"/>
      <c r="K483" s="421"/>
      <c r="L483" s="421"/>
      <c r="M483" s="421"/>
      <c r="N483" s="421"/>
      <c r="O483" s="421"/>
      <c r="P483" s="421"/>
      <c r="Q483" s="421"/>
    </row>
    <row r="484" spans="1:17" ht="15.75" customHeight="1" x14ac:dyDescent="0.2">
      <c r="A484" s="420"/>
      <c r="B484" s="421"/>
      <c r="C484" s="421"/>
      <c r="G484" s="421"/>
      <c r="H484" s="421"/>
      <c r="I484" s="421"/>
      <c r="J484" s="421"/>
      <c r="K484" s="421"/>
      <c r="L484" s="421"/>
      <c r="M484" s="421"/>
      <c r="N484" s="421"/>
      <c r="O484" s="421"/>
      <c r="P484" s="421"/>
      <c r="Q484" s="421"/>
    </row>
    <row r="485" spans="1:17" ht="15.75" customHeight="1" x14ac:dyDescent="0.2">
      <c r="A485" s="420"/>
      <c r="B485" s="421"/>
      <c r="C485" s="421"/>
      <c r="G485" s="421"/>
      <c r="H485" s="421"/>
      <c r="I485" s="421"/>
      <c r="J485" s="421"/>
      <c r="K485" s="421"/>
      <c r="L485" s="421"/>
      <c r="M485" s="421"/>
      <c r="N485" s="421"/>
      <c r="O485" s="421"/>
      <c r="P485" s="421"/>
      <c r="Q485" s="421"/>
    </row>
    <row r="486" spans="1:17" ht="15.75" customHeight="1" x14ac:dyDescent="0.2">
      <c r="A486" s="420"/>
      <c r="B486" s="421"/>
      <c r="C486" s="421"/>
      <c r="G486" s="421"/>
      <c r="H486" s="421"/>
      <c r="I486" s="421"/>
      <c r="J486" s="421"/>
      <c r="K486" s="421"/>
      <c r="L486" s="421"/>
      <c r="M486" s="421"/>
      <c r="N486" s="421"/>
      <c r="O486" s="421"/>
      <c r="P486" s="421"/>
      <c r="Q486" s="421"/>
    </row>
    <row r="487" spans="1:17" ht="15.75" customHeight="1" x14ac:dyDescent="0.2">
      <c r="A487" s="420"/>
      <c r="B487" s="421"/>
      <c r="C487" s="421"/>
      <c r="G487" s="421"/>
      <c r="H487" s="421"/>
      <c r="I487" s="421"/>
      <c r="J487" s="421"/>
      <c r="K487" s="421"/>
      <c r="L487" s="421"/>
      <c r="M487" s="421"/>
      <c r="N487" s="421"/>
      <c r="O487" s="421"/>
      <c r="P487" s="421"/>
      <c r="Q487" s="421"/>
    </row>
    <row r="488" spans="1:17" ht="15.75" customHeight="1" x14ac:dyDescent="0.2">
      <c r="A488" s="420"/>
      <c r="B488" s="421"/>
      <c r="C488" s="421"/>
      <c r="G488" s="421"/>
      <c r="H488" s="421"/>
      <c r="I488" s="421"/>
      <c r="J488" s="421"/>
      <c r="K488" s="421"/>
      <c r="L488" s="421"/>
      <c r="M488" s="421"/>
      <c r="N488" s="421"/>
      <c r="O488" s="421"/>
      <c r="P488" s="421"/>
      <c r="Q488" s="421"/>
    </row>
    <row r="489" spans="1:17" ht="15.75" customHeight="1" x14ac:dyDescent="0.2">
      <c r="A489" s="420"/>
      <c r="B489" s="421"/>
      <c r="C489" s="421"/>
      <c r="G489" s="421"/>
      <c r="H489" s="421"/>
      <c r="I489" s="421"/>
      <c r="J489" s="421"/>
      <c r="K489" s="421"/>
      <c r="L489" s="421"/>
      <c r="M489" s="421"/>
      <c r="N489" s="421"/>
      <c r="O489" s="421"/>
      <c r="P489" s="421"/>
      <c r="Q489" s="421"/>
    </row>
    <row r="490" spans="1:17" ht="15.75" customHeight="1" x14ac:dyDescent="0.2">
      <c r="A490" s="420"/>
      <c r="B490" s="421"/>
      <c r="C490" s="421"/>
      <c r="G490" s="421"/>
      <c r="H490" s="421"/>
      <c r="I490" s="421"/>
      <c r="J490" s="421"/>
      <c r="K490" s="421"/>
      <c r="L490" s="421"/>
      <c r="M490" s="421"/>
      <c r="N490" s="421"/>
      <c r="O490" s="421"/>
      <c r="P490" s="421"/>
      <c r="Q490" s="421"/>
    </row>
    <row r="491" spans="1:17" ht="15.75" customHeight="1" x14ac:dyDescent="0.2">
      <c r="A491" s="420"/>
      <c r="B491" s="421"/>
      <c r="C491" s="421"/>
      <c r="G491" s="421"/>
      <c r="H491" s="421"/>
      <c r="I491" s="421"/>
      <c r="J491" s="421"/>
      <c r="K491" s="421"/>
      <c r="L491" s="421"/>
      <c r="M491" s="421"/>
      <c r="N491" s="421"/>
      <c r="O491" s="421"/>
      <c r="P491" s="421"/>
      <c r="Q491" s="421"/>
    </row>
    <row r="492" spans="1:17" ht="15.75" customHeight="1" x14ac:dyDescent="0.2">
      <c r="A492" s="420"/>
      <c r="B492" s="421"/>
      <c r="C492" s="421"/>
      <c r="G492" s="421"/>
      <c r="H492" s="421"/>
      <c r="I492" s="421"/>
      <c r="J492" s="421"/>
      <c r="K492" s="421"/>
      <c r="L492" s="421"/>
      <c r="M492" s="421"/>
      <c r="N492" s="421"/>
      <c r="O492" s="421"/>
      <c r="P492" s="421"/>
      <c r="Q492" s="421"/>
    </row>
    <row r="493" spans="1:17" ht="15.75" customHeight="1" x14ac:dyDescent="0.2">
      <c r="A493" s="420"/>
      <c r="B493" s="421"/>
      <c r="C493" s="421"/>
      <c r="G493" s="421"/>
      <c r="H493" s="421"/>
      <c r="I493" s="421"/>
      <c r="J493" s="421"/>
      <c r="K493" s="421"/>
      <c r="L493" s="421"/>
      <c r="M493" s="421"/>
      <c r="N493" s="421"/>
      <c r="O493" s="421"/>
      <c r="P493" s="421"/>
      <c r="Q493" s="421"/>
    </row>
    <row r="494" spans="1:17" ht="15.75" customHeight="1" x14ac:dyDescent="0.2">
      <c r="A494" s="420"/>
      <c r="B494" s="421"/>
      <c r="C494" s="421"/>
      <c r="G494" s="421"/>
      <c r="H494" s="421"/>
      <c r="I494" s="421"/>
      <c r="J494" s="421"/>
      <c r="K494" s="421"/>
      <c r="L494" s="421"/>
      <c r="M494" s="421"/>
      <c r="N494" s="421"/>
      <c r="O494" s="421"/>
      <c r="P494" s="421"/>
      <c r="Q494" s="421"/>
    </row>
    <row r="495" spans="1:17" ht="15.75" customHeight="1" x14ac:dyDescent="0.2">
      <c r="A495" s="420"/>
      <c r="B495" s="421"/>
      <c r="C495" s="421"/>
      <c r="G495" s="421"/>
      <c r="H495" s="421"/>
      <c r="I495" s="421"/>
      <c r="J495" s="421"/>
      <c r="K495" s="421"/>
      <c r="L495" s="421"/>
      <c r="M495" s="421"/>
      <c r="N495" s="421"/>
      <c r="O495" s="421"/>
      <c r="P495" s="421"/>
      <c r="Q495" s="421"/>
    </row>
    <row r="496" spans="1:17" ht="15.75" customHeight="1" x14ac:dyDescent="0.2">
      <c r="A496" s="420"/>
      <c r="B496" s="421"/>
      <c r="C496" s="421"/>
      <c r="G496" s="421"/>
      <c r="H496" s="421"/>
      <c r="I496" s="421"/>
      <c r="J496" s="421"/>
      <c r="K496" s="421"/>
      <c r="L496" s="421"/>
      <c r="M496" s="421"/>
      <c r="N496" s="421"/>
      <c r="O496" s="421"/>
      <c r="P496" s="421"/>
      <c r="Q496" s="421"/>
    </row>
    <row r="497" spans="1:17" ht="15.75" customHeight="1" x14ac:dyDescent="0.2">
      <c r="A497" s="420"/>
      <c r="B497" s="421"/>
      <c r="C497" s="421"/>
      <c r="G497" s="421"/>
      <c r="H497" s="421"/>
      <c r="I497" s="421"/>
      <c r="J497" s="421"/>
      <c r="K497" s="421"/>
      <c r="L497" s="421"/>
      <c r="M497" s="421"/>
      <c r="N497" s="421"/>
      <c r="O497" s="421"/>
      <c r="P497" s="421"/>
      <c r="Q497" s="421"/>
    </row>
    <row r="498" spans="1:17" ht="15.75" customHeight="1" x14ac:dyDescent="0.2">
      <c r="A498" s="420"/>
      <c r="B498" s="421"/>
      <c r="C498" s="421"/>
      <c r="G498" s="421"/>
      <c r="H498" s="421"/>
      <c r="I498" s="421"/>
      <c r="J498" s="421"/>
      <c r="K498" s="421"/>
      <c r="L498" s="421"/>
      <c r="M498" s="421"/>
      <c r="N498" s="421"/>
      <c r="O498" s="421"/>
      <c r="P498" s="421"/>
      <c r="Q498" s="421"/>
    </row>
    <row r="499" spans="1:17" ht="15.75" customHeight="1" x14ac:dyDescent="0.2">
      <c r="A499" s="420"/>
      <c r="B499" s="421"/>
      <c r="C499" s="421"/>
      <c r="G499" s="421"/>
      <c r="H499" s="421"/>
      <c r="I499" s="421"/>
      <c r="J499" s="421"/>
      <c r="K499" s="421"/>
      <c r="L499" s="421"/>
      <c r="M499" s="421"/>
      <c r="N499" s="421"/>
      <c r="O499" s="421"/>
      <c r="P499" s="421"/>
      <c r="Q499" s="421"/>
    </row>
    <row r="500" spans="1:17" ht="15.75" customHeight="1" x14ac:dyDescent="0.2">
      <c r="A500" s="420"/>
      <c r="B500" s="421"/>
      <c r="C500" s="421"/>
      <c r="G500" s="421"/>
      <c r="H500" s="421"/>
      <c r="I500" s="421"/>
      <c r="J500" s="421"/>
      <c r="K500" s="421"/>
      <c r="L500" s="421"/>
      <c r="M500" s="421"/>
      <c r="N500" s="421"/>
      <c r="O500" s="421"/>
      <c r="P500" s="421"/>
      <c r="Q500" s="421"/>
    </row>
    <row r="501" spans="1:17" ht="15.75" customHeight="1" x14ac:dyDescent="0.2">
      <c r="A501" s="420"/>
      <c r="B501" s="421"/>
      <c r="C501" s="421"/>
      <c r="G501" s="421"/>
      <c r="H501" s="421"/>
      <c r="I501" s="421"/>
      <c r="J501" s="421"/>
      <c r="K501" s="421"/>
      <c r="L501" s="421"/>
      <c r="M501" s="421"/>
      <c r="N501" s="421"/>
      <c r="O501" s="421"/>
      <c r="P501" s="421"/>
      <c r="Q501" s="421"/>
    </row>
    <row r="502" spans="1:17" ht="15.75" customHeight="1" x14ac:dyDescent="0.2">
      <c r="A502" s="420"/>
      <c r="B502" s="421"/>
      <c r="C502" s="421"/>
      <c r="G502" s="421"/>
      <c r="H502" s="421"/>
      <c r="I502" s="421"/>
      <c r="J502" s="421"/>
      <c r="K502" s="421"/>
      <c r="L502" s="421"/>
      <c r="M502" s="421"/>
      <c r="N502" s="421"/>
      <c r="O502" s="421"/>
      <c r="P502" s="421"/>
      <c r="Q502" s="421"/>
    </row>
    <row r="503" spans="1:17" ht="15.75" customHeight="1" x14ac:dyDescent="0.2">
      <c r="A503" s="420"/>
      <c r="B503" s="421"/>
      <c r="C503" s="421"/>
      <c r="G503" s="421"/>
      <c r="H503" s="421"/>
      <c r="I503" s="421"/>
      <c r="J503" s="421"/>
      <c r="K503" s="421"/>
      <c r="L503" s="421"/>
      <c r="M503" s="421"/>
      <c r="N503" s="421"/>
      <c r="O503" s="421"/>
      <c r="P503" s="421"/>
      <c r="Q503" s="421"/>
    </row>
    <row r="504" spans="1:17" ht="15.75" customHeight="1" x14ac:dyDescent="0.2">
      <c r="A504" s="420"/>
      <c r="B504" s="421"/>
      <c r="C504" s="421"/>
      <c r="G504" s="421"/>
      <c r="H504" s="421"/>
      <c r="I504" s="421"/>
      <c r="J504" s="421"/>
      <c r="K504" s="421"/>
      <c r="L504" s="421"/>
      <c r="M504" s="421"/>
      <c r="N504" s="421"/>
      <c r="O504" s="421"/>
      <c r="P504" s="421"/>
      <c r="Q504" s="421"/>
    </row>
    <row r="505" spans="1:17" ht="15.75" customHeight="1" x14ac:dyDescent="0.2">
      <c r="A505" s="420"/>
      <c r="B505" s="421"/>
      <c r="C505" s="421"/>
      <c r="G505" s="421"/>
      <c r="H505" s="421"/>
      <c r="I505" s="421"/>
      <c r="J505" s="421"/>
      <c r="K505" s="421"/>
      <c r="L505" s="421"/>
      <c r="M505" s="421"/>
      <c r="N505" s="421"/>
      <c r="O505" s="421"/>
      <c r="P505" s="421"/>
      <c r="Q505" s="421"/>
    </row>
    <row r="506" spans="1:17" ht="15.75" customHeight="1" x14ac:dyDescent="0.2">
      <c r="A506" s="420"/>
      <c r="B506" s="421"/>
      <c r="C506" s="421"/>
      <c r="G506" s="421"/>
      <c r="H506" s="421"/>
      <c r="I506" s="421"/>
      <c r="J506" s="421"/>
      <c r="K506" s="421"/>
      <c r="L506" s="421"/>
      <c r="M506" s="421"/>
      <c r="N506" s="421"/>
      <c r="O506" s="421"/>
      <c r="P506" s="421"/>
      <c r="Q506" s="421"/>
    </row>
    <row r="507" spans="1:17" ht="15.75" customHeight="1" x14ac:dyDescent="0.2">
      <c r="A507" s="420"/>
      <c r="B507" s="421"/>
      <c r="C507" s="421"/>
      <c r="G507" s="421"/>
      <c r="H507" s="421"/>
      <c r="I507" s="421"/>
      <c r="J507" s="421"/>
      <c r="K507" s="421"/>
      <c r="L507" s="421"/>
      <c r="M507" s="421"/>
      <c r="N507" s="421"/>
      <c r="O507" s="421"/>
      <c r="P507" s="421"/>
      <c r="Q507" s="421"/>
    </row>
    <row r="508" spans="1:17" ht="15.75" customHeight="1" x14ac:dyDescent="0.2">
      <c r="A508" s="420"/>
      <c r="B508" s="421"/>
      <c r="C508" s="421"/>
      <c r="G508" s="421"/>
      <c r="H508" s="421"/>
      <c r="I508" s="421"/>
      <c r="J508" s="421"/>
      <c r="K508" s="421"/>
      <c r="L508" s="421"/>
      <c r="M508" s="421"/>
      <c r="N508" s="421"/>
      <c r="O508" s="421"/>
      <c r="P508" s="421"/>
      <c r="Q508" s="421"/>
    </row>
    <row r="509" spans="1:17" ht="15.75" customHeight="1" x14ac:dyDescent="0.2">
      <c r="A509" s="420"/>
      <c r="B509" s="421"/>
      <c r="C509" s="421"/>
      <c r="G509" s="421"/>
      <c r="H509" s="421"/>
      <c r="I509" s="421"/>
      <c r="J509" s="421"/>
      <c r="K509" s="421"/>
      <c r="L509" s="421"/>
      <c r="M509" s="421"/>
      <c r="N509" s="421"/>
      <c r="O509" s="421"/>
      <c r="P509" s="421"/>
      <c r="Q509" s="421"/>
    </row>
    <row r="510" spans="1:17" ht="15.75" customHeight="1" x14ac:dyDescent="0.2">
      <c r="A510" s="420"/>
      <c r="B510" s="421"/>
      <c r="C510" s="421"/>
      <c r="G510" s="421"/>
      <c r="H510" s="421"/>
      <c r="I510" s="421"/>
      <c r="J510" s="421"/>
      <c r="K510" s="421"/>
      <c r="L510" s="421"/>
      <c r="M510" s="421"/>
      <c r="N510" s="421"/>
      <c r="O510" s="421"/>
      <c r="P510" s="421"/>
      <c r="Q510" s="421"/>
    </row>
    <row r="511" spans="1:17" ht="15.75" customHeight="1" x14ac:dyDescent="0.2">
      <c r="A511" s="420"/>
      <c r="B511" s="421"/>
      <c r="C511" s="421"/>
      <c r="G511" s="421"/>
      <c r="H511" s="421"/>
      <c r="I511" s="421"/>
      <c r="J511" s="421"/>
      <c r="K511" s="421"/>
      <c r="L511" s="421"/>
      <c r="M511" s="421"/>
      <c r="N511" s="421"/>
      <c r="O511" s="421"/>
      <c r="P511" s="421"/>
      <c r="Q511" s="421"/>
    </row>
    <row r="512" spans="1:17" ht="15.75" customHeight="1" x14ac:dyDescent="0.2">
      <c r="A512" s="420"/>
      <c r="B512" s="421"/>
      <c r="C512" s="421"/>
      <c r="G512" s="421"/>
      <c r="H512" s="421"/>
      <c r="I512" s="421"/>
      <c r="J512" s="421"/>
      <c r="K512" s="421"/>
      <c r="L512" s="421"/>
      <c r="M512" s="421"/>
      <c r="N512" s="421"/>
      <c r="O512" s="421"/>
      <c r="P512" s="421"/>
      <c r="Q512" s="421"/>
    </row>
    <row r="513" spans="1:17" ht="15.75" customHeight="1" x14ac:dyDescent="0.2">
      <c r="A513" s="420"/>
      <c r="B513" s="421"/>
      <c r="C513" s="421"/>
      <c r="G513" s="421"/>
      <c r="H513" s="421"/>
      <c r="I513" s="421"/>
      <c r="J513" s="421"/>
      <c r="K513" s="421"/>
      <c r="L513" s="421"/>
      <c r="M513" s="421"/>
      <c r="N513" s="421"/>
      <c r="O513" s="421"/>
      <c r="P513" s="421"/>
      <c r="Q513" s="421"/>
    </row>
    <row r="514" spans="1:17" ht="15.75" customHeight="1" x14ac:dyDescent="0.2">
      <c r="A514" s="420"/>
      <c r="B514" s="421"/>
      <c r="C514" s="421"/>
      <c r="G514" s="421"/>
      <c r="H514" s="421"/>
      <c r="I514" s="421"/>
      <c r="J514" s="421"/>
      <c r="K514" s="421"/>
      <c r="L514" s="421"/>
      <c r="M514" s="421"/>
      <c r="N514" s="421"/>
      <c r="O514" s="421"/>
      <c r="P514" s="421"/>
      <c r="Q514" s="421"/>
    </row>
    <row r="515" spans="1:17" ht="15.75" customHeight="1" x14ac:dyDescent="0.2">
      <c r="A515" s="420"/>
      <c r="B515" s="421"/>
      <c r="C515" s="421"/>
      <c r="G515" s="421"/>
      <c r="H515" s="421"/>
      <c r="I515" s="421"/>
      <c r="J515" s="421"/>
      <c r="K515" s="421"/>
      <c r="L515" s="421"/>
      <c r="M515" s="421"/>
      <c r="N515" s="421"/>
      <c r="O515" s="421"/>
      <c r="P515" s="421"/>
      <c r="Q515" s="421"/>
    </row>
    <row r="516" spans="1:17" ht="15.75" customHeight="1" x14ac:dyDescent="0.2">
      <c r="A516" s="420"/>
      <c r="B516" s="421"/>
      <c r="C516" s="421"/>
      <c r="G516" s="421"/>
      <c r="H516" s="421"/>
      <c r="I516" s="421"/>
      <c r="J516" s="421"/>
      <c r="K516" s="421"/>
      <c r="L516" s="421"/>
      <c r="M516" s="421"/>
      <c r="N516" s="421"/>
      <c r="O516" s="421"/>
      <c r="P516" s="421"/>
      <c r="Q516" s="421"/>
    </row>
    <row r="517" spans="1:17" ht="15.75" customHeight="1" x14ac:dyDescent="0.2">
      <c r="A517" s="420"/>
      <c r="B517" s="421"/>
      <c r="C517" s="421"/>
      <c r="G517" s="421"/>
      <c r="H517" s="421"/>
      <c r="I517" s="421"/>
      <c r="J517" s="421"/>
      <c r="K517" s="421"/>
      <c r="L517" s="421"/>
      <c r="M517" s="421"/>
      <c r="N517" s="421"/>
      <c r="O517" s="421"/>
      <c r="P517" s="421"/>
      <c r="Q517" s="421"/>
    </row>
    <row r="518" spans="1:17" ht="15.75" customHeight="1" x14ac:dyDescent="0.2">
      <c r="A518" s="420"/>
      <c r="B518" s="421"/>
      <c r="C518" s="421"/>
      <c r="G518" s="421"/>
      <c r="H518" s="421"/>
      <c r="I518" s="421"/>
      <c r="J518" s="421"/>
      <c r="K518" s="421"/>
      <c r="L518" s="421"/>
      <c r="M518" s="421"/>
      <c r="N518" s="421"/>
      <c r="O518" s="421"/>
      <c r="P518" s="421"/>
      <c r="Q518" s="421"/>
    </row>
    <row r="519" spans="1:17" ht="15.75" customHeight="1" x14ac:dyDescent="0.2">
      <c r="A519" s="420"/>
      <c r="B519" s="421"/>
      <c r="C519" s="421"/>
      <c r="G519" s="421"/>
      <c r="H519" s="421"/>
      <c r="I519" s="421"/>
      <c r="J519" s="421"/>
      <c r="K519" s="421"/>
      <c r="L519" s="421"/>
      <c r="M519" s="421"/>
      <c r="N519" s="421"/>
      <c r="O519" s="421"/>
      <c r="P519" s="421"/>
      <c r="Q519" s="421"/>
    </row>
    <row r="520" spans="1:17" ht="15.75" customHeight="1" x14ac:dyDescent="0.2">
      <c r="A520" s="420"/>
      <c r="B520" s="421"/>
      <c r="C520" s="421"/>
      <c r="G520" s="421"/>
      <c r="H520" s="421"/>
      <c r="I520" s="421"/>
      <c r="J520" s="421"/>
      <c r="K520" s="421"/>
      <c r="L520" s="421"/>
      <c r="M520" s="421"/>
      <c r="N520" s="421"/>
      <c r="O520" s="421"/>
      <c r="P520" s="421"/>
      <c r="Q520" s="421"/>
    </row>
    <row r="521" spans="1:17" ht="15.75" customHeight="1" x14ac:dyDescent="0.2">
      <c r="A521" s="420"/>
      <c r="B521" s="421"/>
      <c r="C521" s="421"/>
      <c r="G521" s="421"/>
      <c r="H521" s="421"/>
      <c r="I521" s="421"/>
      <c r="J521" s="421"/>
      <c r="K521" s="421"/>
      <c r="L521" s="421"/>
      <c r="M521" s="421"/>
      <c r="N521" s="421"/>
      <c r="O521" s="421"/>
      <c r="P521" s="421"/>
      <c r="Q521" s="421"/>
    </row>
    <row r="522" spans="1:17" ht="15.75" customHeight="1" x14ac:dyDescent="0.2">
      <c r="A522" s="420"/>
      <c r="B522" s="421"/>
      <c r="C522" s="421"/>
      <c r="G522" s="421"/>
      <c r="H522" s="421"/>
      <c r="I522" s="421"/>
      <c r="J522" s="421"/>
      <c r="K522" s="421"/>
      <c r="L522" s="421"/>
      <c r="M522" s="421"/>
      <c r="N522" s="421"/>
      <c r="O522" s="421"/>
      <c r="P522" s="421"/>
      <c r="Q522" s="421"/>
    </row>
    <row r="523" spans="1:17" ht="15.75" customHeight="1" x14ac:dyDescent="0.2">
      <c r="A523" s="420"/>
      <c r="B523" s="421"/>
      <c r="C523" s="421"/>
      <c r="G523" s="421"/>
      <c r="H523" s="421"/>
      <c r="I523" s="421"/>
      <c r="J523" s="421"/>
      <c r="K523" s="421"/>
      <c r="L523" s="421"/>
      <c r="M523" s="421"/>
      <c r="N523" s="421"/>
      <c r="O523" s="421"/>
      <c r="P523" s="421"/>
      <c r="Q523" s="421"/>
    </row>
    <row r="524" spans="1:17" ht="15.75" customHeight="1" x14ac:dyDescent="0.2">
      <c r="A524" s="420"/>
      <c r="B524" s="421"/>
      <c r="C524" s="421"/>
      <c r="G524" s="421"/>
      <c r="H524" s="421"/>
      <c r="I524" s="421"/>
      <c r="J524" s="421"/>
      <c r="K524" s="421"/>
      <c r="L524" s="421"/>
      <c r="M524" s="421"/>
      <c r="N524" s="421"/>
      <c r="O524" s="421"/>
      <c r="P524" s="421"/>
      <c r="Q524" s="421"/>
    </row>
    <row r="525" spans="1:17" ht="15.75" customHeight="1" x14ac:dyDescent="0.2">
      <c r="A525" s="420"/>
      <c r="B525" s="421"/>
      <c r="C525" s="421"/>
      <c r="G525" s="421"/>
      <c r="H525" s="421"/>
      <c r="I525" s="421"/>
      <c r="J525" s="421"/>
      <c r="K525" s="421"/>
      <c r="L525" s="421"/>
      <c r="M525" s="421"/>
      <c r="N525" s="421"/>
      <c r="O525" s="421"/>
      <c r="P525" s="421"/>
      <c r="Q525" s="421"/>
    </row>
    <row r="526" spans="1:17" ht="15.75" customHeight="1" x14ac:dyDescent="0.2">
      <c r="A526" s="420"/>
      <c r="B526" s="421"/>
      <c r="C526" s="421"/>
      <c r="G526" s="421"/>
      <c r="H526" s="421"/>
      <c r="I526" s="421"/>
      <c r="J526" s="421"/>
      <c r="K526" s="421"/>
      <c r="L526" s="421"/>
      <c r="M526" s="421"/>
      <c r="N526" s="421"/>
      <c r="O526" s="421"/>
      <c r="P526" s="421"/>
      <c r="Q526" s="421"/>
    </row>
    <row r="527" spans="1:17" ht="15.75" customHeight="1" x14ac:dyDescent="0.2">
      <c r="A527" s="420"/>
      <c r="B527" s="421"/>
      <c r="C527" s="421"/>
      <c r="G527" s="421"/>
      <c r="H527" s="421"/>
      <c r="I527" s="421"/>
      <c r="J527" s="421"/>
      <c r="K527" s="421"/>
      <c r="L527" s="421"/>
      <c r="M527" s="421"/>
      <c r="N527" s="421"/>
      <c r="O527" s="421"/>
      <c r="P527" s="421"/>
      <c r="Q527" s="421"/>
    </row>
    <row r="528" spans="1:17" ht="15.75" customHeight="1" x14ac:dyDescent="0.2">
      <c r="A528" s="420"/>
      <c r="B528" s="421"/>
      <c r="C528" s="421"/>
      <c r="G528" s="421"/>
      <c r="H528" s="421"/>
      <c r="I528" s="421"/>
      <c r="J528" s="421"/>
      <c r="K528" s="421"/>
      <c r="L528" s="421"/>
      <c r="M528" s="421"/>
      <c r="N528" s="421"/>
      <c r="O528" s="421"/>
      <c r="P528" s="421"/>
      <c r="Q528" s="421"/>
    </row>
    <row r="529" spans="1:17" ht="15.75" customHeight="1" x14ac:dyDescent="0.2">
      <c r="A529" s="420"/>
      <c r="B529" s="421"/>
      <c r="C529" s="421"/>
      <c r="G529" s="421"/>
      <c r="H529" s="421"/>
      <c r="I529" s="421"/>
      <c r="J529" s="421"/>
      <c r="K529" s="421"/>
      <c r="L529" s="421"/>
      <c r="M529" s="421"/>
      <c r="N529" s="421"/>
      <c r="O529" s="421"/>
      <c r="P529" s="421"/>
      <c r="Q529" s="421"/>
    </row>
    <row r="530" spans="1:17" ht="15.75" customHeight="1" x14ac:dyDescent="0.2">
      <c r="A530" s="420"/>
      <c r="B530" s="421"/>
      <c r="C530" s="421"/>
      <c r="G530" s="421"/>
      <c r="H530" s="421"/>
      <c r="I530" s="421"/>
      <c r="J530" s="421"/>
      <c r="K530" s="421"/>
      <c r="L530" s="421"/>
      <c r="M530" s="421"/>
      <c r="N530" s="421"/>
      <c r="O530" s="421"/>
      <c r="P530" s="421"/>
      <c r="Q530" s="421"/>
    </row>
    <row r="531" spans="1:17" ht="15.75" customHeight="1" x14ac:dyDescent="0.2">
      <c r="A531" s="420"/>
      <c r="B531" s="421"/>
      <c r="C531" s="421"/>
      <c r="G531" s="421"/>
      <c r="H531" s="421"/>
      <c r="I531" s="421"/>
      <c r="J531" s="421"/>
      <c r="K531" s="421"/>
      <c r="L531" s="421"/>
      <c r="M531" s="421"/>
      <c r="N531" s="421"/>
      <c r="O531" s="421"/>
      <c r="P531" s="421"/>
      <c r="Q531" s="421"/>
    </row>
    <row r="532" spans="1:17" ht="15.75" customHeight="1" x14ac:dyDescent="0.2">
      <c r="A532" s="420"/>
      <c r="B532" s="421"/>
      <c r="C532" s="421"/>
      <c r="G532" s="421"/>
      <c r="H532" s="421"/>
      <c r="I532" s="421"/>
      <c r="J532" s="421"/>
      <c r="K532" s="421"/>
      <c r="L532" s="421"/>
      <c r="M532" s="421"/>
      <c r="N532" s="421"/>
      <c r="O532" s="421"/>
      <c r="P532" s="421"/>
      <c r="Q532" s="421"/>
    </row>
    <row r="533" spans="1:17" ht="15.75" customHeight="1" x14ac:dyDescent="0.2">
      <c r="A533" s="420"/>
      <c r="B533" s="421"/>
      <c r="C533" s="421"/>
      <c r="G533" s="421"/>
      <c r="H533" s="421"/>
      <c r="I533" s="421"/>
      <c r="J533" s="421"/>
      <c r="K533" s="421"/>
      <c r="L533" s="421"/>
      <c r="M533" s="421"/>
      <c r="N533" s="421"/>
      <c r="O533" s="421"/>
      <c r="P533" s="421"/>
      <c r="Q533" s="421"/>
    </row>
    <row r="534" spans="1:17" ht="15.75" customHeight="1" x14ac:dyDescent="0.2">
      <c r="A534" s="420"/>
      <c r="B534" s="421"/>
      <c r="C534" s="421"/>
      <c r="G534" s="421"/>
      <c r="H534" s="421"/>
      <c r="I534" s="421"/>
      <c r="J534" s="421"/>
      <c r="K534" s="421"/>
      <c r="L534" s="421"/>
      <c r="M534" s="421"/>
      <c r="N534" s="421"/>
      <c r="O534" s="421"/>
      <c r="P534" s="421"/>
      <c r="Q534" s="421"/>
    </row>
    <row r="535" spans="1:17" ht="15.75" customHeight="1" x14ac:dyDescent="0.2">
      <c r="A535" s="420"/>
      <c r="B535" s="421"/>
      <c r="C535" s="421"/>
      <c r="G535" s="421"/>
      <c r="H535" s="421"/>
      <c r="I535" s="421"/>
      <c r="J535" s="421"/>
      <c r="K535" s="421"/>
      <c r="L535" s="421"/>
      <c r="M535" s="421"/>
      <c r="N535" s="421"/>
      <c r="O535" s="421"/>
      <c r="P535" s="421"/>
      <c r="Q535" s="421"/>
    </row>
    <row r="536" spans="1:17" ht="15.75" customHeight="1" x14ac:dyDescent="0.2">
      <c r="A536" s="420"/>
      <c r="B536" s="421"/>
      <c r="C536" s="421"/>
      <c r="G536" s="421"/>
      <c r="H536" s="421"/>
      <c r="I536" s="421"/>
      <c r="J536" s="421"/>
      <c r="K536" s="421"/>
      <c r="L536" s="421"/>
      <c r="M536" s="421"/>
      <c r="N536" s="421"/>
      <c r="O536" s="421"/>
      <c r="P536" s="421"/>
      <c r="Q536" s="421"/>
    </row>
    <row r="537" spans="1:17" ht="15.75" customHeight="1" x14ac:dyDescent="0.2">
      <c r="A537" s="420"/>
      <c r="B537" s="421"/>
      <c r="C537" s="421"/>
      <c r="G537" s="421"/>
      <c r="H537" s="421"/>
      <c r="I537" s="421"/>
      <c r="J537" s="421"/>
      <c r="K537" s="421"/>
      <c r="L537" s="421"/>
      <c r="M537" s="421"/>
      <c r="N537" s="421"/>
      <c r="O537" s="421"/>
      <c r="P537" s="421"/>
      <c r="Q537" s="421"/>
    </row>
    <row r="538" spans="1:17" ht="15.75" customHeight="1" x14ac:dyDescent="0.2">
      <c r="A538" s="420"/>
      <c r="B538" s="421"/>
      <c r="C538" s="421"/>
      <c r="G538" s="421"/>
      <c r="H538" s="421"/>
      <c r="I538" s="421"/>
      <c r="J538" s="421"/>
      <c r="K538" s="421"/>
      <c r="L538" s="421"/>
      <c r="M538" s="421"/>
      <c r="N538" s="421"/>
      <c r="O538" s="421"/>
      <c r="P538" s="421"/>
      <c r="Q538" s="421"/>
    </row>
    <row r="539" spans="1:17" ht="15.75" customHeight="1" x14ac:dyDescent="0.2">
      <c r="A539" s="420"/>
      <c r="B539" s="421"/>
      <c r="C539" s="421"/>
      <c r="G539" s="421"/>
      <c r="H539" s="421"/>
      <c r="I539" s="421"/>
      <c r="J539" s="421"/>
      <c r="K539" s="421"/>
      <c r="L539" s="421"/>
      <c r="M539" s="421"/>
      <c r="N539" s="421"/>
      <c r="O539" s="421"/>
      <c r="P539" s="421"/>
      <c r="Q539" s="421"/>
    </row>
    <row r="540" spans="1:17" ht="15.75" customHeight="1" x14ac:dyDescent="0.2">
      <c r="A540" s="420"/>
      <c r="B540" s="421"/>
      <c r="C540" s="421"/>
      <c r="G540" s="421"/>
      <c r="H540" s="421"/>
      <c r="I540" s="421"/>
      <c r="J540" s="421"/>
      <c r="K540" s="421"/>
      <c r="L540" s="421"/>
      <c r="M540" s="421"/>
      <c r="N540" s="421"/>
      <c r="O540" s="421"/>
      <c r="P540" s="421"/>
      <c r="Q540" s="421"/>
    </row>
    <row r="541" spans="1:17" ht="15.75" customHeight="1" x14ac:dyDescent="0.2">
      <c r="A541" s="420"/>
      <c r="B541" s="421"/>
      <c r="C541" s="421"/>
      <c r="G541" s="421"/>
      <c r="H541" s="421"/>
      <c r="I541" s="421"/>
      <c r="J541" s="421"/>
      <c r="K541" s="421"/>
      <c r="L541" s="421"/>
      <c r="M541" s="421"/>
      <c r="N541" s="421"/>
      <c r="O541" s="421"/>
      <c r="P541" s="421"/>
      <c r="Q541" s="421"/>
    </row>
    <row r="542" spans="1:17" ht="15.75" customHeight="1" x14ac:dyDescent="0.2">
      <c r="A542" s="420"/>
      <c r="B542" s="421"/>
      <c r="C542" s="421"/>
      <c r="G542" s="421"/>
      <c r="H542" s="421"/>
      <c r="I542" s="421"/>
      <c r="J542" s="421"/>
      <c r="K542" s="421"/>
      <c r="L542" s="421"/>
      <c r="M542" s="421"/>
      <c r="N542" s="421"/>
      <c r="O542" s="421"/>
      <c r="P542" s="421"/>
      <c r="Q542" s="421"/>
    </row>
    <row r="543" spans="1:17" ht="15.75" customHeight="1" x14ac:dyDescent="0.2">
      <c r="A543" s="420"/>
      <c r="B543" s="421"/>
      <c r="C543" s="421"/>
      <c r="G543" s="421"/>
      <c r="H543" s="421"/>
      <c r="I543" s="421"/>
      <c r="J543" s="421"/>
      <c r="K543" s="421"/>
      <c r="L543" s="421"/>
      <c r="M543" s="421"/>
      <c r="N543" s="421"/>
      <c r="O543" s="421"/>
      <c r="P543" s="421"/>
      <c r="Q543" s="421"/>
    </row>
    <row r="544" spans="1:17" ht="15.75" customHeight="1" x14ac:dyDescent="0.2">
      <c r="A544" s="420"/>
      <c r="B544" s="421"/>
      <c r="C544" s="421"/>
      <c r="G544" s="421"/>
      <c r="H544" s="421"/>
      <c r="I544" s="421"/>
      <c r="J544" s="421"/>
      <c r="K544" s="421"/>
      <c r="L544" s="421"/>
      <c r="M544" s="421"/>
      <c r="N544" s="421"/>
      <c r="O544" s="421"/>
      <c r="P544" s="421"/>
      <c r="Q544" s="421"/>
    </row>
    <row r="545" spans="1:17" ht="15.75" customHeight="1" x14ac:dyDescent="0.2">
      <c r="A545" s="420"/>
      <c r="B545" s="421"/>
      <c r="C545" s="421"/>
      <c r="G545" s="421"/>
      <c r="H545" s="421"/>
      <c r="I545" s="421"/>
      <c r="J545" s="421"/>
      <c r="K545" s="421"/>
      <c r="L545" s="421"/>
      <c r="M545" s="421"/>
      <c r="N545" s="421"/>
      <c r="O545" s="421"/>
      <c r="P545" s="421"/>
      <c r="Q545" s="421"/>
    </row>
    <row r="546" spans="1:17" ht="15.75" customHeight="1" x14ac:dyDescent="0.2">
      <c r="A546" s="420"/>
      <c r="B546" s="421"/>
      <c r="C546" s="421"/>
      <c r="G546" s="421"/>
      <c r="H546" s="421"/>
      <c r="I546" s="421"/>
      <c r="J546" s="421"/>
      <c r="K546" s="421"/>
      <c r="L546" s="421"/>
      <c r="M546" s="421"/>
      <c r="N546" s="421"/>
      <c r="O546" s="421"/>
      <c r="P546" s="421"/>
      <c r="Q546" s="421"/>
    </row>
    <row r="547" spans="1:17" ht="15.75" customHeight="1" x14ac:dyDescent="0.2">
      <c r="A547" s="420"/>
      <c r="B547" s="421"/>
      <c r="C547" s="421"/>
      <c r="G547" s="421"/>
      <c r="H547" s="421"/>
      <c r="I547" s="421"/>
      <c r="J547" s="421"/>
      <c r="K547" s="421"/>
      <c r="L547" s="421"/>
      <c r="M547" s="421"/>
      <c r="N547" s="421"/>
      <c r="O547" s="421"/>
      <c r="P547" s="421"/>
      <c r="Q547" s="421"/>
    </row>
    <row r="548" spans="1:17" ht="15.75" customHeight="1" x14ac:dyDescent="0.2">
      <c r="A548" s="420"/>
      <c r="B548" s="421"/>
      <c r="C548" s="421"/>
      <c r="G548" s="421"/>
      <c r="H548" s="421"/>
      <c r="I548" s="421"/>
      <c r="J548" s="421"/>
      <c r="K548" s="421"/>
      <c r="L548" s="421"/>
      <c r="M548" s="421"/>
      <c r="N548" s="421"/>
      <c r="O548" s="421"/>
      <c r="P548" s="421"/>
      <c r="Q548" s="421"/>
    </row>
    <row r="549" spans="1:17" ht="15.75" customHeight="1" x14ac:dyDescent="0.2">
      <c r="A549" s="420"/>
      <c r="B549" s="421"/>
      <c r="C549" s="421"/>
      <c r="G549" s="421"/>
      <c r="H549" s="421"/>
      <c r="I549" s="421"/>
      <c r="J549" s="421"/>
      <c r="K549" s="421"/>
      <c r="L549" s="421"/>
      <c r="M549" s="421"/>
      <c r="N549" s="421"/>
      <c r="O549" s="421"/>
      <c r="P549" s="421"/>
      <c r="Q549" s="421"/>
    </row>
    <row r="550" spans="1:17" ht="15.75" customHeight="1" x14ac:dyDescent="0.2">
      <c r="A550" s="420"/>
      <c r="B550" s="421"/>
      <c r="C550" s="421"/>
      <c r="G550" s="421"/>
      <c r="H550" s="421"/>
      <c r="I550" s="421"/>
      <c r="J550" s="421"/>
      <c r="K550" s="421"/>
      <c r="L550" s="421"/>
      <c r="M550" s="421"/>
      <c r="N550" s="421"/>
      <c r="O550" s="421"/>
      <c r="P550" s="421"/>
      <c r="Q550" s="421"/>
    </row>
    <row r="551" spans="1:17" ht="15.75" customHeight="1" x14ac:dyDescent="0.2">
      <c r="A551" s="420"/>
      <c r="B551" s="421"/>
      <c r="C551" s="421"/>
      <c r="G551" s="421"/>
      <c r="H551" s="421"/>
      <c r="I551" s="421"/>
      <c r="J551" s="421"/>
      <c r="K551" s="421"/>
      <c r="L551" s="421"/>
      <c r="M551" s="421"/>
      <c r="N551" s="421"/>
      <c r="O551" s="421"/>
      <c r="P551" s="421"/>
      <c r="Q551" s="421"/>
    </row>
    <row r="552" spans="1:17" ht="15.75" customHeight="1" x14ac:dyDescent="0.2">
      <c r="A552" s="420"/>
      <c r="B552" s="421"/>
      <c r="C552" s="421"/>
      <c r="G552" s="421"/>
      <c r="H552" s="421"/>
      <c r="I552" s="421"/>
      <c r="J552" s="421"/>
      <c r="K552" s="421"/>
      <c r="L552" s="421"/>
      <c r="M552" s="421"/>
      <c r="N552" s="421"/>
      <c r="O552" s="421"/>
      <c r="P552" s="421"/>
      <c r="Q552" s="421"/>
    </row>
    <row r="553" spans="1:17" ht="15.75" customHeight="1" x14ac:dyDescent="0.2">
      <c r="A553" s="420"/>
      <c r="B553" s="421"/>
      <c r="C553" s="421"/>
      <c r="G553" s="421"/>
      <c r="H553" s="421"/>
      <c r="I553" s="421"/>
      <c r="J553" s="421"/>
      <c r="K553" s="421"/>
      <c r="L553" s="421"/>
      <c r="M553" s="421"/>
      <c r="N553" s="421"/>
      <c r="O553" s="421"/>
      <c r="P553" s="421"/>
      <c r="Q553" s="421"/>
    </row>
    <row r="554" spans="1:17" ht="15.75" customHeight="1" x14ac:dyDescent="0.2">
      <c r="A554" s="420"/>
      <c r="B554" s="421"/>
      <c r="C554" s="421"/>
      <c r="G554" s="421"/>
      <c r="H554" s="421"/>
      <c r="I554" s="421"/>
      <c r="J554" s="421"/>
      <c r="K554" s="421"/>
      <c r="L554" s="421"/>
      <c r="M554" s="421"/>
      <c r="N554" s="421"/>
      <c r="O554" s="421"/>
      <c r="P554" s="421"/>
      <c r="Q554" s="421"/>
    </row>
    <row r="555" spans="1:17" ht="15.75" customHeight="1" x14ac:dyDescent="0.2">
      <c r="A555" s="420"/>
      <c r="B555" s="421"/>
      <c r="C555" s="421"/>
      <c r="G555" s="421"/>
      <c r="H555" s="421"/>
      <c r="I555" s="421"/>
      <c r="J555" s="421"/>
      <c r="K555" s="421"/>
      <c r="L555" s="421"/>
      <c r="M555" s="421"/>
      <c r="N555" s="421"/>
      <c r="O555" s="421"/>
      <c r="P555" s="421"/>
      <c r="Q555" s="421"/>
    </row>
    <row r="556" spans="1:17" ht="15.75" customHeight="1" x14ac:dyDescent="0.2">
      <c r="A556" s="420"/>
      <c r="B556" s="421"/>
      <c r="C556" s="421"/>
      <c r="G556" s="421"/>
      <c r="H556" s="421"/>
      <c r="I556" s="421"/>
      <c r="J556" s="421"/>
      <c r="K556" s="421"/>
      <c r="L556" s="421"/>
      <c r="M556" s="421"/>
      <c r="N556" s="421"/>
      <c r="O556" s="421"/>
      <c r="P556" s="421"/>
      <c r="Q556" s="421"/>
    </row>
    <row r="557" spans="1:17" ht="15.75" customHeight="1" x14ac:dyDescent="0.2">
      <c r="A557" s="420"/>
      <c r="B557" s="421"/>
      <c r="C557" s="421"/>
      <c r="G557" s="421"/>
      <c r="H557" s="421"/>
      <c r="I557" s="421"/>
      <c r="J557" s="421"/>
      <c r="K557" s="421"/>
      <c r="L557" s="421"/>
      <c r="M557" s="421"/>
      <c r="N557" s="421"/>
      <c r="O557" s="421"/>
      <c r="P557" s="421"/>
      <c r="Q557" s="421"/>
    </row>
    <row r="558" spans="1:17" ht="15.75" customHeight="1" x14ac:dyDescent="0.2">
      <c r="A558" s="420"/>
      <c r="B558" s="421"/>
      <c r="C558" s="421"/>
      <c r="G558" s="421"/>
      <c r="H558" s="421"/>
      <c r="I558" s="421"/>
      <c r="J558" s="421"/>
      <c r="K558" s="421"/>
      <c r="L558" s="421"/>
      <c r="M558" s="421"/>
      <c r="N558" s="421"/>
      <c r="O558" s="421"/>
      <c r="P558" s="421"/>
      <c r="Q558" s="421"/>
    </row>
    <row r="559" spans="1:17" ht="15.75" customHeight="1" x14ac:dyDescent="0.2">
      <c r="A559" s="420"/>
      <c r="B559" s="421"/>
      <c r="C559" s="421"/>
      <c r="G559" s="421"/>
      <c r="H559" s="421"/>
      <c r="I559" s="421"/>
      <c r="J559" s="421"/>
      <c r="K559" s="421"/>
      <c r="L559" s="421"/>
      <c r="M559" s="421"/>
      <c r="N559" s="421"/>
      <c r="O559" s="421"/>
      <c r="P559" s="421"/>
      <c r="Q559" s="421"/>
    </row>
    <row r="560" spans="1:17" ht="15.75" customHeight="1" x14ac:dyDescent="0.2">
      <c r="A560" s="420"/>
      <c r="B560" s="421"/>
      <c r="C560" s="421"/>
      <c r="G560" s="421"/>
      <c r="H560" s="421"/>
      <c r="I560" s="421"/>
      <c r="J560" s="421"/>
      <c r="K560" s="421"/>
      <c r="L560" s="421"/>
      <c r="M560" s="421"/>
      <c r="N560" s="421"/>
      <c r="O560" s="421"/>
      <c r="P560" s="421"/>
      <c r="Q560" s="421"/>
    </row>
    <row r="561" spans="1:17" ht="15.75" customHeight="1" x14ac:dyDescent="0.2">
      <c r="A561" s="420"/>
      <c r="B561" s="421"/>
      <c r="C561" s="421"/>
      <c r="G561" s="421"/>
      <c r="H561" s="421"/>
      <c r="I561" s="421"/>
      <c r="J561" s="421"/>
      <c r="K561" s="421"/>
      <c r="L561" s="421"/>
      <c r="M561" s="421"/>
      <c r="N561" s="421"/>
      <c r="O561" s="421"/>
      <c r="P561" s="421"/>
      <c r="Q561" s="421"/>
    </row>
    <row r="562" spans="1:17" ht="15.75" customHeight="1" x14ac:dyDescent="0.2">
      <c r="A562" s="420"/>
      <c r="B562" s="421"/>
      <c r="C562" s="421"/>
      <c r="G562" s="421"/>
      <c r="H562" s="421"/>
      <c r="I562" s="421"/>
      <c r="J562" s="421"/>
      <c r="K562" s="421"/>
      <c r="L562" s="421"/>
      <c r="M562" s="421"/>
      <c r="N562" s="421"/>
      <c r="O562" s="421"/>
      <c r="P562" s="421"/>
      <c r="Q562" s="421"/>
    </row>
    <row r="563" spans="1:17" ht="15.75" customHeight="1" x14ac:dyDescent="0.2">
      <c r="A563" s="420"/>
      <c r="B563" s="421"/>
      <c r="C563" s="421"/>
      <c r="G563" s="421"/>
      <c r="H563" s="421"/>
      <c r="I563" s="421"/>
      <c r="J563" s="421"/>
      <c r="K563" s="421"/>
      <c r="L563" s="421"/>
      <c r="M563" s="421"/>
      <c r="N563" s="421"/>
      <c r="O563" s="421"/>
      <c r="P563" s="421"/>
      <c r="Q563" s="421"/>
    </row>
    <row r="564" spans="1:17" ht="15.75" customHeight="1" x14ac:dyDescent="0.2">
      <c r="A564" s="420"/>
      <c r="B564" s="421"/>
      <c r="C564" s="421"/>
      <c r="G564" s="421"/>
      <c r="H564" s="421"/>
      <c r="I564" s="421"/>
      <c r="J564" s="421"/>
      <c r="K564" s="421"/>
      <c r="L564" s="421"/>
      <c r="M564" s="421"/>
      <c r="N564" s="421"/>
      <c r="O564" s="421"/>
      <c r="P564" s="421"/>
      <c r="Q564" s="421"/>
    </row>
    <row r="565" spans="1:17" ht="15.75" customHeight="1" x14ac:dyDescent="0.2">
      <c r="A565" s="420"/>
      <c r="B565" s="421"/>
      <c r="C565" s="421"/>
      <c r="G565" s="421"/>
      <c r="H565" s="421"/>
      <c r="I565" s="421"/>
      <c r="J565" s="421"/>
      <c r="K565" s="421"/>
      <c r="L565" s="421"/>
      <c r="M565" s="421"/>
      <c r="N565" s="421"/>
      <c r="O565" s="421"/>
      <c r="P565" s="421"/>
      <c r="Q565" s="421"/>
    </row>
    <row r="566" spans="1:17" ht="15.75" customHeight="1" x14ac:dyDescent="0.2">
      <c r="A566" s="420"/>
      <c r="B566" s="421"/>
      <c r="C566" s="421"/>
      <c r="G566" s="421"/>
      <c r="H566" s="421"/>
      <c r="I566" s="421"/>
      <c r="J566" s="421"/>
      <c r="K566" s="421"/>
      <c r="L566" s="421"/>
      <c r="M566" s="421"/>
      <c r="N566" s="421"/>
      <c r="O566" s="421"/>
      <c r="P566" s="421"/>
      <c r="Q566" s="421"/>
    </row>
    <row r="567" spans="1:17" ht="15.75" customHeight="1" x14ac:dyDescent="0.2">
      <c r="A567" s="420"/>
      <c r="B567" s="421"/>
      <c r="C567" s="421"/>
      <c r="G567" s="421"/>
      <c r="H567" s="421"/>
      <c r="I567" s="421"/>
      <c r="J567" s="421"/>
      <c r="K567" s="421"/>
      <c r="L567" s="421"/>
      <c r="M567" s="421"/>
      <c r="N567" s="421"/>
      <c r="O567" s="421"/>
      <c r="P567" s="421"/>
      <c r="Q567" s="421"/>
    </row>
    <row r="568" spans="1:17" ht="15.75" customHeight="1" x14ac:dyDescent="0.2">
      <c r="A568" s="420"/>
      <c r="B568" s="421"/>
      <c r="C568" s="421"/>
      <c r="G568" s="421"/>
      <c r="H568" s="421"/>
      <c r="I568" s="421"/>
      <c r="J568" s="421"/>
      <c r="K568" s="421"/>
      <c r="L568" s="421"/>
      <c r="M568" s="421"/>
      <c r="N568" s="421"/>
      <c r="O568" s="421"/>
      <c r="P568" s="421"/>
      <c r="Q568" s="421"/>
    </row>
    <row r="569" spans="1:17" ht="15.75" customHeight="1" x14ac:dyDescent="0.2">
      <c r="A569" s="420"/>
      <c r="B569" s="421"/>
      <c r="C569" s="421"/>
      <c r="G569" s="421"/>
      <c r="H569" s="421"/>
      <c r="I569" s="421"/>
      <c r="J569" s="421"/>
      <c r="K569" s="421"/>
      <c r="L569" s="421"/>
      <c r="M569" s="421"/>
      <c r="N569" s="421"/>
      <c r="O569" s="421"/>
      <c r="P569" s="421"/>
      <c r="Q569" s="421"/>
    </row>
    <row r="570" spans="1:17" ht="15.75" customHeight="1" x14ac:dyDescent="0.2">
      <c r="A570" s="420"/>
      <c r="B570" s="421"/>
      <c r="C570" s="421"/>
      <c r="G570" s="421"/>
      <c r="H570" s="421"/>
      <c r="I570" s="421"/>
      <c r="J570" s="421"/>
      <c r="K570" s="421"/>
      <c r="L570" s="421"/>
      <c r="M570" s="421"/>
      <c r="N570" s="421"/>
      <c r="O570" s="421"/>
      <c r="P570" s="421"/>
      <c r="Q570" s="421"/>
    </row>
    <row r="571" spans="1:17" ht="15.75" customHeight="1" x14ac:dyDescent="0.2">
      <c r="A571" s="420"/>
      <c r="B571" s="421"/>
      <c r="C571" s="421"/>
      <c r="G571" s="421"/>
      <c r="H571" s="421"/>
      <c r="I571" s="421"/>
      <c r="J571" s="421"/>
      <c r="K571" s="421"/>
      <c r="L571" s="421"/>
      <c r="M571" s="421"/>
      <c r="N571" s="421"/>
      <c r="O571" s="421"/>
      <c r="P571" s="421"/>
      <c r="Q571" s="421"/>
    </row>
    <row r="572" spans="1:17" ht="15.75" customHeight="1" x14ac:dyDescent="0.2">
      <c r="A572" s="420"/>
      <c r="B572" s="421"/>
      <c r="C572" s="421"/>
      <c r="G572" s="421"/>
      <c r="H572" s="421"/>
      <c r="I572" s="421"/>
      <c r="J572" s="421"/>
      <c r="K572" s="421"/>
      <c r="L572" s="421"/>
      <c r="M572" s="421"/>
      <c r="N572" s="421"/>
      <c r="O572" s="421"/>
      <c r="P572" s="421"/>
      <c r="Q572" s="421"/>
    </row>
    <row r="573" spans="1:17" ht="15.75" customHeight="1" x14ac:dyDescent="0.2">
      <c r="A573" s="420"/>
      <c r="B573" s="421"/>
      <c r="C573" s="421"/>
      <c r="G573" s="421"/>
      <c r="H573" s="421"/>
      <c r="I573" s="421"/>
      <c r="J573" s="421"/>
      <c r="K573" s="421"/>
      <c r="L573" s="421"/>
      <c r="M573" s="421"/>
      <c r="N573" s="421"/>
      <c r="O573" s="421"/>
      <c r="P573" s="421"/>
      <c r="Q573" s="421"/>
    </row>
    <row r="574" spans="1:17" ht="15.75" customHeight="1" x14ac:dyDescent="0.2">
      <c r="A574" s="420"/>
      <c r="B574" s="421"/>
      <c r="C574" s="421"/>
      <c r="G574" s="421"/>
      <c r="H574" s="421"/>
      <c r="I574" s="421"/>
      <c r="J574" s="421"/>
      <c r="K574" s="421"/>
      <c r="L574" s="421"/>
      <c r="M574" s="421"/>
      <c r="N574" s="421"/>
      <c r="O574" s="421"/>
      <c r="P574" s="421"/>
      <c r="Q574" s="421"/>
    </row>
    <row r="575" spans="1:17" ht="15.75" customHeight="1" x14ac:dyDescent="0.2">
      <c r="A575" s="420"/>
      <c r="B575" s="421"/>
      <c r="C575" s="421"/>
      <c r="G575" s="421"/>
      <c r="H575" s="421"/>
      <c r="I575" s="421"/>
      <c r="J575" s="421"/>
      <c r="K575" s="421"/>
      <c r="L575" s="421"/>
      <c r="M575" s="421"/>
      <c r="N575" s="421"/>
      <c r="O575" s="421"/>
      <c r="P575" s="421"/>
      <c r="Q575" s="421"/>
    </row>
    <row r="576" spans="1:17" ht="15.75" customHeight="1" x14ac:dyDescent="0.2">
      <c r="A576" s="420"/>
      <c r="B576" s="421"/>
      <c r="C576" s="421"/>
      <c r="G576" s="421"/>
      <c r="H576" s="421"/>
      <c r="I576" s="421"/>
      <c r="J576" s="421"/>
      <c r="K576" s="421"/>
      <c r="L576" s="421"/>
      <c r="M576" s="421"/>
      <c r="N576" s="421"/>
      <c r="O576" s="421"/>
      <c r="P576" s="421"/>
      <c r="Q576" s="421"/>
    </row>
    <row r="577" spans="1:17" ht="15.75" customHeight="1" x14ac:dyDescent="0.2">
      <c r="A577" s="420"/>
      <c r="B577" s="421"/>
      <c r="C577" s="421"/>
      <c r="G577" s="421"/>
      <c r="H577" s="421"/>
      <c r="I577" s="421"/>
      <c r="J577" s="421"/>
      <c r="K577" s="421"/>
      <c r="L577" s="421"/>
      <c r="M577" s="421"/>
      <c r="N577" s="421"/>
      <c r="O577" s="421"/>
      <c r="P577" s="421"/>
      <c r="Q577" s="421"/>
    </row>
    <row r="578" spans="1:17" ht="15.75" customHeight="1" x14ac:dyDescent="0.2">
      <c r="A578" s="420"/>
      <c r="B578" s="421"/>
      <c r="C578" s="421"/>
      <c r="G578" s="421"/>
      <c r="H578" s="421"/>
      <c r="I578" s="421"/>
      <c r="J578" s="421"/>
      <c r="K578" s="421"/>
      <c r="L578" s="421"/>
      <c r="M578" s="421"/>
      <c r="N578" s="421"/>
      <c r="O578" s="421"/>
      <c r="P578" s="421"/>
      <c r="Q578" s="421"/>
    </row>
    <row r="579" spans="1:17" ht="15.75" customHeight="1" x14ac:dyDescent="0.2">
      <c r="A579" s="420"/>
      <c r="B579" s="421"/>
      <c r="C579" s="421"/>
      <c r="G579" s="421"/>
      <c r="H579" s="421"/>
      <c r="I579" s="421"/>
      <c r="J579" s="421"/>
      <c r="K579" s="421"/>
      <c r="L579" s="421"/>
      <c r="M579" s="421"/>
      <c r="N579" s="421"/>
      <c r="O579" s="421"/>
      <c r="P579" s="421"/>
      <c r="Q579" s="421"/>
    </row>
    <row r="580" spans="1:17" ht="15.75" customHeight="1" x14ac:dyDescent="0.2">
      <c r="A580" s="420"/>
      <c r="B580" s="421"/>
      <c r="C580" s="421"/>
      <c r="G580" s="421"/>
      <c r="H580" s="421"/>
      <c r="I580" s="421"/>
      <c r="J580" s="421"/>
      <c r="K580" s="421"/>
      <c r="L580" s="421"/>
      <c r="M580" s="421"/>
      <c r="N580" s="421"/>
      <c r="O580" s="421"/>
      <c r="P580" s="421"/>
      <c r="Q580" s="421"/>
    </row>
    <row r="581" spans="1:17" ht="15.75" customHeight="1" x14ac:dyDescent="0.2">
      <c r="A581" s="420"/>
      <c r="B581" s="421"/>
      <c r="C581" s="421"/>
      <c r="G581" s="421"/>
      <c r="H581" s="421"/>
      <c r="I581" s="421"/>
      <c r="J581" s="421"/>
      <c r="K581" s="421"/>
      <c r="L581" s="421"/>
      <c r="M581" s="421"/>
      <c r="N581" s="421"/>
      <c r="O581" s="421"/>
      <c r="P581" s="421"/>
      <c r="Q581" s="421"/>
    </row>
    <row r="582" spans="1:17" ht="15.75" customHeight="1" x14ac:dyDescent="0.2">
      <c r="A582" s="420"/>
      <c r="B582" s="421"/>
      <c r="C582" s="421"/>
      <c r="G582" s="421"/>
      <c r="H582" s="421"/>
      <c r="I582" s="421"/>
      <c r="J582" s="421"/>
      <c r="K582" s="421"/>
      <c r="L582" s="421"/>
      <c r="M582" s="421"/>
      <c r="N582" s="421"/>
      <c r="O582" s="421"/>
      <c r="P582" s="421"/>
      <c r="Q582" s="421"/>
    </row>
    <row r="583" spans="1:17" ht="15.75" customHeight="1" x14ac:dyDescent="0.2">
      <c r="A583" s="420"/>
      <c r="B583" s="421"/>
      <c r="C583" s="421"/>
      <c r="G583" s="421"/>
      <c r="H583" s="421"/>
      <c r="I583" s="421"/>
      <c r="J583" s="421"/>
      <c r="K583" s="421"/>
      <c r="L583" s="421"/>
      <c r="M583" s="421"/>
      <c r="N583" s="421"/>
      <c r="O583" s="421"/>
      <c r="P583" s="421"/>
      <c r="Q583" s="421"/>
    </row>
    <row r="584" spans="1:17" ht="15.75" customHeight="1" x14ac:dyDescent="0.2">
      <c r="A584" s="420"/>
      <c r="B584" s="421"/>
      <c r="C584" s="421"/>
      <c r="G584" s="421"/>
      <c r="H584" s="421"/>
      <c r="I584" s="421"/>
      <c r="J584" s="421"/>
      <c r="K584" s="421"/>
      <c r="L584" s="421"/>
      <c r="M584" s="421"/>
      <c r="N584" s="421"/>
      <c r="O584" s="421"/>
      <c r="P584" s="421"/>
      <c r="Q584" s="421"/>
    </row>
    <row r="585" spans="1:17" ht="15.75" customHeight="1" x14ac:dyDescent="0.2">
      <c r="A585" s="420"/>
      <c r="B585" s="421"/>
      <c r="C585" s="421"/>
      <c r="G585" s="421"/>
      <c r="H585" s="421"/>
      <c r="I585" s="421"/>
      <c r="J585" s="421"/>
      <c r="K585" s="421"/>
      <c r="L585" s="421"/>
      <c r="M585" s="421"/>
      <c r="N585" s="421"/>
      <c r="O585" s="421"/>
      <c r="P585" s="421"/>
      <c r="Q585" s="421"/>
    </row>
    <row r="586" spans="1:17" ht="15.75" customHeight="1" x14ac:dyDescent="0.2">
      <c r="A586" s="420"/>
      <c r="B586" s="421"/>
      <c r="C586" s="421"/>
      <c r="G586" s="421"/>
      <c r="H586" s="421"/>
      <c r="I586" s="421"/>
      <c r="J586" s="421"/>
      <c r="K586" s="421"/>
      <c r="L586" s="421"/>
      <c r="M586" s="421"/>
      <c r="N586" s="421"/>
      <c r="O586" s="421"/>
      <c r="P586" s="421"/>
      <c r="Q586" s="421"/>
    </row>
    <row r="587" spans="1:17" ht="15.75" customHeight="1" x14ac:dyDescent="0.2">
      <c r="A587" s="420"/>
      <c r="B587" s="421"/>
      <c r="C587" s="421"/>
      <c r="G587" s="421"/>
      <c r="H587" s="421"/>
      <c r="I587" s="421"/>
      <c r="J587" s="421"/>
      <c r="K587" s="421"/>
      <c r="L587" s="421"/>
      <c r="M587" s="421"/>
      <c r="N587" s="421"/>
      <c r="O587" s="421"/>
      <c r="P587" s="421"/>
      <c r="Q587" s="421"/>
    </row>
    <row r="588" spans="1:17" ht="15.75" customHeight="1" x14ac:dyDescent="0.2">
      <c r="A588" s="420"/>
      <c r="B588" s="421"/>
      <c r="C588" s="421"/>
      <c r="G588" s="421"/>
      <c r="H588" s="421"/>
      <c r="I588" s="421"/>
      <c r="J588" s="421"/>
      <c r="K588" s="421"/>
      <c r="L588" s="421"/>
      <c r="M588" s="421"/>
      <c r="N588" s="421"/>
      <c r="O588" s="421"/>
      <c r="P588" s="421"/>
      <c r="Q588" s="421"/>
    </row>
    <row r="589" spans="1:17" ht="15.75" customHeight="1" x14ac:dyDescent="0.2">
      <c r="A589" s="420"/>
      <c r="B589" s="421"/>
      <c r="C589" s="421"/>
      <c r="G589" s="421"/>
      <c r="H589" s="421"/>
      <c r="I589" s="421"/>
      <c r="J589" s="421"/>
      <c r="K589" s="421"/>
      <c r="L589" s="421"/>
      <c r="M589" s="421"/>
      <c r="N589" s="421"/>
      <c r="O589" s="421"/>
      <c r="P589" s="421"/>
      <c r="Q589" s="421"/>
    </row>
    <row r="590" spans="1:17" ht="15.75" customHeight="1" x14ac:dyDescent="0.2">
      <c r="A590" s="420"/>
      <c r="B590" s="421"/>
      <c r="C590" s="421"/>
      <c r="G590" s="421"/>
      <c r="H590" s="421"/>
      <c r="I590" s="421"/>
      <c r="J590" s="421"/>
      <c r="K590" s="421"/>
      <c r="L590" s="421"/>
      <c r="M590" s="421"/>
      <c r="N590" s="421"/>
      <c r="O590" s="421"/>
      <c r="P590" s="421"/>
      <c r="Q590" s="421"/>
    </row>
    <row r="591" spans="1:17" ht="15.75" customHeight="1" x14ac:dyDescent="0.2">
      <c r="A591" s="420"/>
      <c r="B591" s="421"/>
      <c r="C591" s="421"/>
      <c r="G591" s="421"/>
      <c r="H591" s="421"/>
      <c r="I591" s="421"/>
      <c r="J591" s="421"/>
      <c r="K591" s="421"/>
      <c r="L591" s="421"/>
      <c r="M591" s="421"/>
      <c r="N591" s="421"/>
      <c r="O591" s="421"/>
      <c r="P591" s="421"/>
      <c r="Q591" s="421"/>
    </row>
    <row r="592" spans="1:17" ht="15.75" customHeight="1" x14ac:dyDescent="0.2">
      <c r="A592" s="420"/>
      <c r="B592" s="421"/>
      <c r="C592" s="421"/>
      <c r="G592" s="421"/>
      <c r="H592" s="421"/>
      <c r="I592" s="421"/>
      <c r="J592" s="421"/>
      <c r="K592" s="421"/>
      <c r="L592" s="421"/>
      <c r="M592" s="421"/>
      <c r="N592" s="421"/>
      <c r="O592" s="421"/>
      <c r="P592" s="421"/>
      <c r="Q592" s="421"/>
    </row>
    <row r="593" spans="1:17" ht="15.75" customHeight="1" x14ac:dyDescent="0.2">
      <c r="A593" s="420"/>
      <c r="B593" s="421"/>
      <c r="C593" s="421"/>
      <c r="G593" s="421"/>
      <c r="H593" s="421"/>
      <c r="I593" s="421"/>
      <c r="J593" s="421"/>
      <c r="K593" s="421"/>
      <c r="L593" s="421"/>
      <c r="M593" s="421"/>
      <c r="N593" s="421"/>
      <c r="O593" s="421"/>
      <c r="P593" s="421"/>
      <c r="Q593" s="421"/>
    </row>
    <row r="594" spans="1:17" ht="15.75" customHeight="1" x14ac:dyDescent="0.2">
      <c r="A594" s="420"/>
      <c r="B594" s="421"/>
      <c r="C594" s="421"/>
      <c r="G594" s="421"/>
      <c r="H594" s="421"/>
      <c r="I594" s="421"/>
      <c r="J594" s="421"/>
      <c r="K594" s="421"/>
      <c r="L594" s="421"/>
      <c r="M594" s="421"/>
      <c r="N594" s="421"/>
      <c r="O594" s="421"/>
      <c r="P594" s="421"/>
      <c r="Q594" s="421"/>
    </row>
    <row r="595" spans="1:17" ht="15.75" customHeight="1" x14ac:dyDescent="0.2">
      <c r="A595" s="420"/>
      <c r="B595" s="421"/>
      <c r="C595" s="421"/>
      <c r="G595" s="421"/>
      <c r="H595" s="421"/>
      <c r="I595" s="421"/>
      <c r="J595" s="421"/>
      <c r="K595" s="421"/>
      <c r="L595" s="421"/>
      <c r="M595" s="421"/>
      <c r="N595" s="421"/>
      <c r="O595" s="421"/>
      <c r="P595" s="421"/>
      <c r="Q595" s="421"/>
    </row>
    <row r="596" spans="1:17" ht="15.75" customHeight="1" x14ac:dyDescent="0.2">
      <c r="A596" s="420"/>
      <c r="B596" s="421"/>
      <c r="C596" s="421"/>
      <c r="G596" s="421"/>
      <c r="H596" s="421"/>
      <c r="I596" s="421"/>
      <c r="J596" s="421"/>
      <c r="K596" s="421"/>
      <c r="L596" s="421"/>
      <c r="M596" s="421"/>
      <c r="N596" s="421"/>
      <c r="O596" s="421"/>
      <c r="P596" s="421"/>
      <c r="Q596" s="421"/>
    </row>
    <row r="597" spans="1:17" ht="15.75" customHeight="1" x14ac:dyDescent="0.2">
      <c r="A597" s="420"/>
      <c r="B597" s="421"/>
      <c r="C597" s="421"/>
      <c r="G597" s="421"/>
      <c r="H597" s="421"/>
      <c r="I597" s="421"/>
      <c r="J597" s="421"/>
      <c r="K597" s="421"/>
      <c r="L597" s="421"/>
      <c r="M597" s="421"/>
      <c r="N597" s="421"/>
      <c r="O597" s="421"/>
      <c r="P597" s="421"/>
      <c r="Q597" s="421"/>
    </row>
    <row r="598" spans="1:17" ht="15.75" customHeight="1" x14ac:dyDescent="0.2">
      <c r="A598" s="420"/>
      <c r="B598" s="421"/>
      <c r="C598" s="421"/>
      <c r="G598" s="421"/>
      <c r="H598" s="421"/>
      <c r="I598" s="421"/>
      <c r="J598" s="421"/>
      <c r="K598" s="421"/>
      <c r="L598" s="421"/>
      <c r="M598" s="421"/>
      <c r="N598" s="421"/>
      <c r="O598" s="421"/>
      <c r="P598" s="421"/>
      <c r="Q598" s="421"/>
    </row>
    <row r="599" spans="1:17" ht="15.75" customHeight="1" x14ac:dyDescent="0.2">
      <c r="A599" s="420"/>
      <c r="B599" s="421"/>
      <c r="C599" s="421"/>
      <c r="G599" s="421"/>
      <c r="H599" s="421"/>
      <c r="I599" s="421"/>
      <c r="J599" s="421"/>
      <c r="K599" s="421"/>
      <c r="L599" s="421"/>
      <c r="M599" s="421"/>
      <c r="N599" s="421"/>
      <c r="O599" s="421"/>
      <c r="P599" s="421"/>
      <c r="Q599" s="421"/>
    </row>
    <row r="600" spans="1:17" ht="15.75" customHeight="1" x14ac:dyDescent="0.2">
      <c r="A600" s="420"/>
      <c r="B600" s="421"/>
      <c r="C600" s="421"/>
      <c r="G600" s="421"/>
      <c r="H600" s="421"/>
      <c r="I600" s="421"/>
      <c r="J600" s="421"/>
      <c r="K600" s="421"/>
      <c r="L600" s="421"/>
      <c r="M600" s="421"/>
      <c r="N600" s="421"/>
      <c r="O600" s="421"/>
      <c r="P600" s="421"/>
      <c r="Q600" s="421"/>
    </row>
    <row r="601" spans="1:17" ht="15.75" customHeight="1" x14ac:dyDescent="0.2">
      <c r="A601" s="420"/>
      <c r="B601" s="421"/>
      <c r="C601" s="421"/>
      <c r="G601" s="421"/>
      <c r="H601" s="421"/>
      <c r="I601" s="421"/>
      <c r="J601" s="421"/>
      <c r="K601" s="421"/>
      <c r="L601" s="421"/>
      <c r="M601" s="421"/>
      <c r="N601" s="421"/>
      <c r="O601" s="421"/>
      <c r="P601" s="421"/>
      <c r="Q601" s="421"/>
    </row>
    <row r="602" spans="1:17" ht="15.75" customHeight="1" x14ac:dyDescent="0.2">
      <c r="A602" s="420"/>
      <c r="B602" s="421"/>
      <c r="C602" s="421"/>
      <c r="G602" s="421"/>
      <c r="H602" s="421"/>
      <c r="I602" s="421"/>
      <c r="J602" s="421"/>
      <c r="K602" s="421"/>
      <c r="L602" s="421"/>
      <c r="M602" s="421"/>
      <c r="N602" s="421"/>
      <c r="O602" s="421"/>
      <c r="P602" s="421"/>
      <c r="Q602" s="421"/>
    </row>
    <row r="603" spans="1:17" ht="15.75" customHeight="1" x14ac:dyDescent="0.2">
      <c r="A603" s="420"/>
      <c r="B603" s="421"/>
      <c r="C603" s="421"/>
      <c r="G603" s="421"/>
      <c r="H603" s="421"/>
      <c r="I603" s="421"/>
      <c r="J603" s="421"/>
      <c r="K603" s="421"/>
      <c r="L603" s="421"/>
      <c r="M603" s="421"/>
      <c r="N603" s="421"/>
      <c r="O603" s="421"/>
      <c r="P603" s="421"/>
      <c r="Q603" s="421"/>
    </row>
    <row r="604" spans="1:17" ht="15.75" customHeight="1" x14ac:dyDescent="0.2">
      <c r="A604" s="420"/>
      <c r="B604" s="421"/>
      <c r="C604" s="421"/>
      <c r="G604" s="421"/>
      <c r="H604" s="421"/>
      <c r="I604" s="421"/>
      <c r="J604" s="421"/>
      <c r="K604" s="421"/>
      <c r="L604" s="421"/>
      <c r="M604" s="421"/>
      <c r="N604" s="421"/>
      <c r="O604" s="421"/>
      <c r="P604" s="421"/>
      <c r="Q604" s="421"/>
    </row>
    <row r="605" spans="1:17" ht="15.75" customHeight="1" x14ac:dyDescent="0.2">
      <c r="A605" s="420"/>
      <c r="B605" s="421"/>
      <c r="C605" s="421"/>
      <c r="G605" s="421"/>
      <c r="H605" s="421"/>
      <c r="I605" s="421"/>
      <c r="J605" s="421"/>
      <c r="K605" s="421"/>
      <c r="L605" s="421"/>
      <c r="M605" s="421"/>
      <c r="N605" s="421"/>
      <c r="O605" s="421"/>
      <c r="P605" s="421"/>
      <c r="Q605" s="421"/>
    </row>
    <row r="606" spans="1:17" ht="15.75" customHeight="1" x14ac:dyDescent="0.2">
      <c r="A606" s="420"/>
      <c r="B606" s="421"/>
      <c r="C606" s="421"/>
      <c r="G606" s="421"/>
      <c r="H606" s="421"/>
      <c r="I606" s="421"/>
      <c r="J606" s="421"/>
      <c r="K606" s="421"/>
      <c r="L606" s="421"/>
      <c r="M606" s="421"/>
      <c r="N606" s="421"/>
      <c r="O606" s="421"/>
      <c r="P606" s="421"/>
      <c r="Q606" s="421"/>
    </row>
    <row r="607" spans="1:17" ht="15.75" customHeight="1" x14ac:dyDescent="0.2">
      <c r="A607" s="420"/>
      <c r="B607" s="421"/>
      <c r="C607" s="421"/>
      <c r="G607" s="421"/>
      <c r="H607" s="421"/>
      <c r="I607" s="421"/>
      <c r="J607" s="421"/>
      <c r="K607" s="421"/>
      <c r="L607" s="421"/>
      <c r="M607" s="421"/>
      <c r="N607" s="421"/>
      <c r="O607" s="421"/>
      <c r="P607" s="421"/>
      <c r="Q607" s="421"/>
    </row>
    <row r="608" spans="1:17" ht="15.75" customHeight="1" x14ac:dyDescent="0.2">
      <c r="A608" s="420"/>
      <c r="B608" s="421"/>
      <c r="C608" s="421"/>
      <c r="G608" s="421"/>
      <c r="H608" s="421"/>
      <c r="I608" s="421"/>
      <c r="J608" s="421"/>
      <c r="K608" s="421"/>
      <c r="L608" s="421"/>
      <c r="M608" s="421"/>
      <c r="N608" s="421"/>
      <c r="O608" s="421"/>
      <c r="P608" s="421"/>
      <c r="Q608" s="421"/>
    </row>
    <row r="609" spans="1:17" ht="15.75" customHeight="1" x14ac:dyDescent="0.2">
      <c r="A609" s="420"/>
      <c r="B609" s="421"/>
      <c r="C609" s="421"/>
      <c r="G609" s="421"/>
      <c r="H609" s="421"/>
      <c r="I609" s="421"/>
      <c r="J609" s="421"/>
      <c r="K609" s="421"/>
      <c r="L609" s="421"/>
      <c r="M609" s="421"/>
      <c r="N609" s="421"/>
      <c r="O609" s="421"/>
      <c r="P609" s="421"/>
      <c r="Q609" s="421"/>
    </row>
    <row r="610" spans="1:17" ht="15.75" customHeight="1" x14ac:dyDescent="0.2">
      <c r="A610" s="420"/>
      <c r="B610" s="421"/>
      <c r="C610" s="421"/>
      <c r="G610" s="421"/>
      <c r="H610" s="421"/>
      <c r="I610" s="421"/>
      <c r="J610" s="421"/>
      <c r="K610" s="421"/>
      <c r="L610" s="421"/>
      <c r="M610" s="421"/>
      <c r="N610" s="421"/>
      <c r="O610" s="421"/>
      <c r="P610" s="421"/>
      <c r="Q610" s="421"/>
    </row>
    <row r="611" spans="1:17" ht="15.75" customHeight="1" x14ac:dyDescent="0.2">
      <c r="A611" s="420"/>
      <c r="B611" s="421"/>
      <c r="C611" s="421"/>
      <c r="G611" s="421"/>
      <c r="H611" s="421"/>
      <c r="I611" s="421"/>
      <c r="J611" s="421"/>
      <c r="K611" s="421"/>
      <c r="L611" s="421"/>
      <c r="M611" s="421"/>
      <c r="N611" s="421"/>
      <c r="O611" s="421"/>
      <c r="P611" s="421"/>
      <c r="Q611" s="421"/>
    </row>
    <row r="612" spans="1:17" ht="15.75" customHeight="1" x14ac:dyDescent="0.2">
      <c r="A612" s="420"/>
      <c r="B612" s="421"/>
      <c r="C612" s="421"/>
      <c r="G612" s="421"/>
      <c r="H612" s="421"/>
      <c r="I612" s="421"/>
      <c r="J612" s="421"/>
      <c r="K612" s="421"/>
      <c r="L612" s="421"/>
      <c r="M612" s="421"/>
      <c r="N612" s="421"/>
      <c r="O612" s="421"/>
      <c r="P612" s="421"/>
      <c r="Q612" s="421"/>
    </row>
    <row r="613" spans="1:17" ht="15.75" customHeight="1" x14ac:dyDescent="0.2">
      <c r="A613" s="420"/>
      <c r="B613" s="421"/>
      <c r="C613" s="421"/>
      <c r="G613" s="421"/>
      <c r="H613" s="421"/>
      <c r="I613" s="421"/>
      <c r="J613" s="421"/>
      <c r="K613" s="421"/>
      <c r="L613" s="421"/>
      <c r="M613" s="421"/>
      <c r="N613" s="421"/>
      <c r="O613" s="421"/>
      <c r="P613" s="421"/>
      <c r="Q613" s="421"/>
    </row>
    <row r="614" spans="1:17" ht="15.75" customHeight="1" x14ac:dyDescent="0.2">
      <c r="A614" s="420"/>
      <c r="B614" s="421"/>
      <c r="C614" s="421"/>
      <c r="G614" s="421"/>
      <c r="H614" s="421"/>
      <c r="I614" s="421"/>
      <c r="J614" s="421"/>
      <c r="K614" s="421"/>
      <c r="L614" s="421"/>
      <c r="M614" s="421"/>
      <c r="N614" s="421"/>
      <c r="O614" s="421"/>
      <c r="P614" s="421"/>
      <c r="Q614" s="421"/>
    </row>
    <row r="615" spans="1:17" ht="15.75" customHeight="1" x14ac:dyDescent="0.2">
      <c r="A615" s="420"/>
      <c r="B615" s="421"/>
      <c r="C615" s="421"/>
      <c r="G615" s="421"/>
      <c r="H615" s="421"/>
      <c r="I615" s="421"/>
      <c r="J615" s="421"/>
      <c r="K615" s="421"/>
      <c r="L615" s="421"/>
      <c r="M615" s="421"/>
      <c r="N615" s="421"/>
      <c r="O615" s="421"/>
      <c r="P615" s="421"/>
      <c r="Q615" s="421"/>
    </row>
    <row r="616" spans="1:17" ht="15.75" customHeight="1" x14ac:dyDescent="0.2">
      <c r="A616" s="420"/>
      <c r="B616" s="421"/>
      <c r="C616" s="421"/>
      <c r="G616" s="421"/>
      <c r="H616" s="421"/>
      <c r="I616" s="421"/>
      <c r="J616" s="421"/>
      <c r="K616" s="421"/>
      <c r="L616" s="421"/>
      <c r="M616" s="421"/>
      <c r="N616" s="421"/>
      <c r="O616" s="421"/>
      <c r="P616" s="421"/>
      <c r="Q616" s="421"/>
    </row>
    <row r="617" spans="1:17" ht="15.75" customHeight="1" x14ac:dyDescent="0.2">
      <c r="A617" s="420"/>
      <c r="B617" s="421"/>
      <c r="C617" s="421"/>
      <c r="G617" s="421"/>
      <c r="H617" s="421"/>
      <c r="I617" s="421"/>
      <c r="J617" s="421"/>
      <c r="K617" s="421"/>
      <c r="L617" s="421"/>
      <c r="M617" s="421"/>
      <c r="N617" s="421"/>
      <c r="O617" s="421"/>
      <c r="P617" s="421"/>
      <c r="Q617" s="421"/>
    </row>
    <row r="618" spans="1:17" ht="15.75" customHeight="1" x14ac:dyDescent="0.2">
      <c r="A618" s="420"/>
      <c r="B618" s="421"/>
      <c r="C618" s="421"/>
      <c r="G618" s="421"/>
      <c r="H618" s="421"/>
      <c r="I618" s="421"/>
      <c r="J618" s="421"/>
      <c r="K618" s="421"/>
      <c r="L618" s="421"/>
      <c r="M618" s="421"/>
      <c r="N618" s="421"/>
      <c r="O618" s="421"/>
      <c r="P618" s="421"/>
      <c r="Q618" s="421"/>
    </row>
    <row r="619" spans="1:17" ht="15.75" customHeight="1" x14ac:dyDescent="0.2">
      <c r="A619" s="420"/>
      <c r="B619" s="421"/>
      <c r="C619" s="421"/>
      <c r="G619" s="421"/>
      <c r="H619" s="421"/>
      <c r="I619" s="421"/>
      <c r="J619" s="421"/>
      <c r="K619" s="421"/>
      <c r="L619" s="421"/>
      <c r="M619" s="421"/>
      <c r="N619" s="421"/>
      <c r="O619" s="421"/>
      <c r="P619" s="421"/>
      <c r="Q619" s="421"/>
    </row>
    <row r="620" spans="1:17" ht="15.75" customHeight="1" x14ac:dyDescent="0.2">
      <c r="A620" s="420"/>
      <c r="B620" s="421"/>
      <c r="C620" s="421"/>
      <c r="G620" s="421"/>
      <c r="H620" s="421"/>
      <c r="I620" s="421"/>
      <c r="J620" s="421"/>
      <c r="K620" s="421"/>
      <c r="L620" s="421"/>
      <c r="M620" s="421"/>
      <c r="N620" s="421"/>
      <c r="O620" s="421"/>
      <c r="P620" s="421"/>
      <c r="Q620" s="421"/>
    </row>
    <row r="621" spans="1:17" ht="15.75" customHeight="1" x14ac:dyDescent="0.2">
      <c r="A621" s="420"/>
      <c r="B621" s="421"/>
      <c r="C621" s="421"/>
      <c r="G621" s="421"/>
      <c r="H621" s="421"/>
      <c r="I621" s="421"/>
      <c r="J621" s="421"/>
      <c r="K621" s="421"/>
      <c r="L621" s="421"/>
      <c r="M621" s="421"/>
      <c r="N621" s="421"/>
      <c r="O621" s="421"/>
      <c r="P621" s="421"/>
      <c r="Q621" s="421"/>
    </row>
    <row r="622" spans="1:17" ht="15.75" customHeight="1" x14ac:dyDescent="0.2">
      <c r="A622" s="420"/>
      <c r="B622" s="421"/>
      <c r="C622" s="421"/>
      <c r="G622" s="421"/>
      <c r="H622" s="421"/>
      <c r="I622" s="421"/>
      <c r="J622" s="421"/>
      <c r="K622" s="421"/>
      <c r="L622" s="421"/>
      <c r="M622" s="421"/>
      <c r="N622" s="421"/>
      <c r="O622" s="421"/>
      <c r="P622" s="421"/>
      <c r="Q622" s="421"/>
    </row>
    <row r="623" spans="1:17" ht="15.75" customHeight="1" x14ac:dyDescent="0.2">
      <c r="A623" s="420"/>
      <c r="B623" s="421"/>
      <c r="C623" s="421"/>
      <c r="G623" s="421"/>
      <c r="H623" s="421"/>
      <c r="I623" s="421"/>
      <c r="J623" s="421"/>
      <c r="K623" s="421"/>
      <c r="L623" s="421"/>
      <c r="M623" s="421"/>
      <c r="N623" s="421"/>
      <c r="O623" s="421"/>
      <c r="P623" s="421"/>
      <c r="Q623" s="421"/>
    </row>
    <row r="624" spans="1:17" ht="15.75" customHeight="1" x14ac:dyDescent="0.2">
      <c r="A624" s="420"/>
      <c r="B624" s="421"/>
      <c r="C624" s="421"/>
      <c r="G624" s="421"/>
      <c r="H624" s="421"/>
      <c r="I624" s="421"/>
      <c r="J624" s="421"/>
      <c r="K624" s="421"/>
      <c r="L624" s="421"/>
      <c r="M624" s="421"/>
      <c r="N624" s="421"/>
      <c r="O624" s="421"/>
      <c r="P624" s="421"/>
      <c r="Q624" s="421"/>
    </row>
    <row r="625" spans="1:17" ht="15.75" customHeight="1" x14ac:dyDescent="0.2">
      <c r="A625" s="420"/>
      <c r="B625" s="421"/>
      <c r="C625" s="421"/>
      <c r="G625" s="421"/>
      <c r="H625" s="421"/>
      <c r="I625" s="421"/>
      <c r="J625" s="421"/>
      <c r="K625" s="421"/>
      <c r="L625" s="421"/>
      <c r="M625" s="421"/>
      <c r="N625" s="421"/>
      <c r="O625" s="421"/>
      <c r="P625" s="421"/>
      <c r="Q625" s="421"/>
    </row>
    <row r="626" spans="1:17" ht="15.75" customHeight="1" x14ac:dyDescent="0.2">
      <c r="A626" s="420"/>
      <c r="B626" s="421"/>
      <c r="C626" s="421"/>
      <c r="G626" s="421"/>
      <c r="H626" s="421"/>
      <c r="I626" s="421"/>
      <c r="J626" s="421"/>
      <c r="K626" s="421"/>
      <c r="L626" s="421"/>
      <c r="M626" s="421"/>
      <c r="N626" s="421"/>
      <c r="O626" s="421"/>
      <c r="P626" s="421"/>
      <c r="Q626" s="421"/>
    </row>
    <row r="627" spans="1:17" ht="15.75" customHeight="1" x14ac:dyDescent="0.2">
      <c r="A627" s="420"/>
      <c r="B627" s="421"/>
      <c r="C627" s="421"/>
      <c r="G627" s="421"/>
      <c r="H627" s="421"/>
      <c r="I627" s="421"/>
      <c r="J627" s="421"/>
      <c r="K627" s="421"/>
      <c r="L627" s="421"/>
      <c r="M627" s="421"/>
      <c r="N627" s="421"/>
      <c r="O627" s="421"/>
      <c r="P627" s="421"/>
      <c r="Q627" s="421"/>
    </row>
    <row r="628" spans="1:17" ht="15.75" customHeight="1" x14ac:dyDescent="0.2">
      <c r="A628" s="420"/>
      <c r="B628" s="421"/>
      <c r="C628" s="421"/>
      <c r="G628" s="421"/>
      <c r="H628" s="421"/>
      <c r="I628" s="421"/>
      <c r="J628" s="421"/>
      <c r="K628" s="421"/>
      <c r="L628" s="421"/>
      <c r="M628" s="421"/>
      <c r="N628" s="421"/>
      <c r="O628" s="421"/>
      <c r="P628" s="421"/>
      <c r="Q628" s="421"/>
    </row>
    <row r="629" spans="1:17" ht="15.75" customHeight="1" x14ac:dyDescent="0.2">
      <c r="A629" s="420"/>
      <c r="B629" s="421"/>
      <c r="C629" s="421"/>
      <c r="G629" s="421"/>
      <c r="H629" s="421"/>
      <c r="I629" s="421"/>
      <c r="J629" s="421"/>
      <c r="K629" s="421"/>
      <c r="L629" s="421"/>
      <c r="M629" s="421"/>
      <c r="N629" s="421"/>
      <c r="O629" s="421"/>
      <c r="P629" s="421"/>
      <c r="Q629" s="421"/>
    </row>
    <row r="630" spans="1:17" ht="15.75" customHeight="1" x14ac:dyDescent="0.2">
      <c r="A630" s="420"/>
      <c r="B630" s="421"/>
      <c r="C630" s="421"/>
      <c r="G630" s="421"/>
      <c r="H630" s="421"/>
      <c r="I630" s="421"/>
      <c r="J630" s="421"/>
      <c r="K630" s="421"/>
      <c r="L630" s="421"/>
      <c r="M630" s="421"/>
      <c r="N630" s="421"/>
      <c r="O630" s="421"/>
      <c r="P630" s="421"/>
      <c r="Q630" s="421"/>
    </row>
    <row r="631" spans="1:17" ht="15.75" customHeight="1" x14ac:dyDescent="0.2">
      <c r="A631" s="420"/>
      <c r="B631" s="421"/>
      <c r="C631" s="421"/>
      <c r="G631" s="421"/>
      <c r="H631" s="421"/>
      <c r="I631" s="421"/>
      <c r="J631" s="421"/>
      <c r="K631" s="421"/>
      <c r="L631" s="421"/>
      <c r="M631" s="421"/>
      <c r="N631" s="421"/>
      <c r="O631" s="421"/>
      <c r="P631" s="421"/>
      <c r="Q631" s="421"/>
    </row>
    <row r="632" spans="1:17" ht="15.75" customHeight="1" x14ac:dyDescent="0.2">
      <c r="A632" s="420"/>
      <c r="B632" s="421"/>
      <c r="C632" s="421"/>
      <c r="G632" s="421"/>
      <c r="H632" s="421"/>
      <c r="I632" s="421"/>
      <c r="J632" s="421"/>
      <c r="K632" s="421"/>
      <c r="L632" s="421"/>
      <c r="M632" s="421"/>
      <c r="N632" s="421"/>
      <c r="O632" s="421"/>
      <c r="P632" s="421"/>
      <c r="Q632" s="421"/>
    </row>
    <row r="633" spans="1:17" ht="15.75" customHeight="1" x14ac:dyDescent="0.2">
      <c r="A633" s="420"/>
      <c r="B633" s="421"/>
      <c r="C633" s="421"/>
      <c r="G633" s="421"/>
      <c r="H633" s="421"/>
      <c r="I633" s="421"/>
      <c r="J633" s="421"/>
      <c r="K633" s="421"/>
      <c r="L633" s="421"/>
      <c r="M633" s="421"/>
      <c r="N633" s="421"/>
      <c r="O633" s="421"/>
      <c r="P633" s="421"/>
      <c r="Q633" s="421"/>
    </row>
    <row r="634" spans="1:17" ht="15.75" customHeight="1" x14ac:dyDescent="0.2">
      <c r="A634" s="420"/>
      <c r="B634" s="421"/>
      <c r="C634" s="421"/>
      <c r="G634" s="421"/>
      <c r="H634" s="421"/>
      <c r="I634" s="421"/>
      <c r="J634" s="421"/>
      <c r="K634" s="421"/>
      <c r="L634" s="421"/>
      <c r="M634" s="421"/>
      <c r="N634" s="421"/>
      <c r="O634" s="421"/>
      <c r="P634" s="421"/>
      <c r="Q634" s="421"/>
    </row>
    <row r="635" spans="1:17" ht="15.75" customHeight="1" x14ac:dyDescent="0.2">
      <c r="A635" s="420"/>
      <c r="B635" s="421"/>
      <c r="C635" s="421"/>
      <c r="G635" s="421"/>
      <c r="H635" s="421"/>
      <c r="I635" s="421"/>
      <c r="J635" s="421"/>
      <c r="K635" s="421"/>
      <c r="L635" s="421"/>
      <c r="M635" s="421"/>
      <c r="N635" s="421"/>
      <c r="O635" s="421"/>
      <c r="P635" s="421"/>
      <c r="Q635" s="421"/>
    </row>
    <row r="636" spans="1:17" ht="15.75" customHeight="1" x14ac:dyDescent="0.2">
      <c r="A636" s="420"/>
      <c r="B636" s="421"/>
      <c r="C636" s="421"/>
      <c r="G636" s="421"/>
      <c r="H636" s="421"/>
      <c r="I636" s="421"/>
      <c r="J636" s="421"/>
      <c r="K636" s="421"/>
      <c r="L636" s="421"/>
      <c r="M636" s="421"/>
      <c r="N636" s="421"/>
      <c r="O636" s="421"/>
      <c r="P636" s="421"/>
      <c r="Q636" s="421"/>
    </row>
    <row r="637" spans="1:17" ht="15.75" customHeight="1" x14ac:dyDescent="0.2">
      <c r="A637" s="420"/>
      <c r="B637" s="421"/>
      <c r="C637" s="421"/>
      <c r="G637" s="421"/>
      <c r="H637" s="421"/>
      <c r="I637" s="421"/>
      <c r="J637" s="421"/>
      <c r="K637" s="421"/>
      <c r="L637" s="421"/>
      <c r="M637" s="421"/>
      <c r="N637" s="421"/>
      <c r="O637" s="421"/>
      <c r="P637" s="421"/>
      <c r="Q637" s="421"/>
    </row>
    <row r="638" spans="1:17" ht="15.75" customHeight="1" x14ac:dyDescent="0.2">
      <c r="A638" s="420"/>
      <c r="B638" s="421"/>
      <c r="C638" s="421"/>
      <c r="G638" s="421"/>
      <c r="H638" s="421"/>
      <c r="I638" s="421"/>
      <c r="J638" s="421"/>
      <c r="K638" s="421"/>
      <c r="L638" s="421"/>
      <c r="M638" s="421"/>
      <c r="N638" s="421"/>
      <c r="O638" s="421"/>
      <c r="P638" s="421"/>
      <c r="Q638" s="421"/>
    </row>
    <row r="639" spans="1:17" ht="15.75" customHeight="1" x14ac:dyDescent="0.2">
      <c r="A639" s="420"/>
      <c r="B639" s="421"/>
      <c r="C639" s="421"/>
      <c r="G639" s="421"/>
      <c r="H639" s="421"/>
      <c r="I639" s="421"/>
      <c r="J639" s="421"/>
      <c r="K639" s="421"/>
      <c r="L639" s="421"/>
      <c r="M639" s="421"/>
      <c r="N639" s="421"/>
      <c r="O639" s="421"/>
      <c r="P639" s="421"/>
      <c r="Q639" s="421"/>
    </row>
    <row r="640" spans="1:17" ht="15.75" customHeight="1" x14ac:dyDescent="0.2">
      <c r="A640" s="420"/>
      <c r="B640" s="421"/>
      <c r="C640" s="421"/>
      <c r="G640" s="421"/>
      <c r="H640" s="421"/>
      <c r="I640" s="421"/>
      <c r="J640" s="421"/>
      <c r="K640" s="421"/>
      <c r="L640" s="421"/>
      <c r="M640" s="421"/>
      <c r="N640" s="421"/>
      <c r="O640" s="421"/>
      <c r="P640" s="421"/>
      <c r="Q640" s="421"/>
    </row>
    <row r="641" spans="1:17" ht="15.75" customHeight="1" x14ac:dyDescent="0.2">
      <c r="A641" s="420"/>
      <c r="B641" s="421"/>
      <c r="C641" s="421"/>
      <c r="G641" s="421"/>
      <c r="H641" s="421"/>
      <c r="I641" s="421"/>
      <c r="J641" s="421"/>
      <c r="K641" s="421"/>
      <c r="L641" s="421"/>
      <c r="M641" s="421"/>
      <c r="N641" s="421"/>
      <c r="O641" s="421"/>
      <c r="P641" s="421"/>
      <c r="Q641" s="421"/>
    </row>
    <row r="642" spans="1:17" ht="15.75" customHeight="1" x14ac:dyDescent="0.2">
      <c r="A642" s="420"/>
      <c r="B642" s="421"/>
      <c r="C642" s="421"/>
      <c r="G642" s="421"/>
      <c r="H642" s="421"/>
      <c r="I642" s="421"/>
      <c r="J642" s="421"/>
      <c r="K642" s="421"/>
      <c r="L642" s="421"/>
      <c r="M642" s="421"/>
      <c r="N642" s="421"/>
      <c r="O642" s="421"/>
      <c r="P642" s="421"/>
      <c r="Q642" s="421"/>
    </row>
    <row r="643" spans="1:17" ht="15.75" customHeight="1" x14ac:dyDescent="0.2">
      <c r="A643" s="420"/>
      <c r="B643" s="421"/>
      <c r="C643" s="421"/>
      <c r="G643" s="421"/>
      <c r="H643" s="421"/>
      <c r="I643" s="421"/>
      <c r="J643" s="421"/>
      <c r="K643" s="421"/>
      <c r="L643" s="421"/>
      <c r="M643" s="421"/>
      <c r="N643" s="421"/>
      <c r="O643" s="421"/>
      <c r="P643" s="421"/>
      <c r="Q643" s="421"/>
    </row>
    <row r="644" spans="1:17" ht="15.75" customHeight="1" x14ac:dyDescent="0.2">
      <c r="A644" s="420"/>
      <c r="B644" s="421"/>
      <c r="C644" s="421"/>
      <c r="G644" s="421"/>
      <c r="H644" s="421"/>
      <c r="I644" s="421"/>
      <c r="J644" s="421"/>
      <c r="K644" s="421"/>
      <c r="L644" s="421"/>
      <c r="M644" s="421"/>
      <c r="N644" s="421"/>
      <c r="O644" s="421"/>
      <c r="P644" s="421"/>
      <c r="Q644" s="421"/>
    </row>
    <row r="645" spans="1:17" ht="15.75" customHeight="1" x14ac:dyDescent="0.2">
      <c r="A645" s="420"/>
      <c r="B645" s="421"/>
      <c r="C645" s="421"/>
      <c r="G645" s="421"/>
      <c r="H645" s="421"/>
      <c r="I645" s="421"/>
      <c r="J645" s="421"/>
      <c r="K645" s="421"/>
      <c r="L645" s="421"/>
      <c r="M645" s="421"/>
      <c r="N645" s="421"/>
      <c r="O645" s="421"/>
      <c r="P645" s="421"/>
      <c r="Q645" s="421"/>
    </row>
    <row r="646" spans="1:17" ht="15.75" customHeight="1" x14ac:dyDescent="0.2">
      <c r="A646" s="420"/>
      <c r="B646" s="421"/>
      <c r="C646" s="421"/>
      <c r="G646" s="421"/>
      <c r="H646" s="421"/>
      <c r="I646" s="421"/>
      <c r="J646" s="421"/>
      <c r="K646" s="421"/>
      <c r="L646" s="421"/>
      <c r="M646" s="421"/>
      <c r="N646" s="421"/>
      <c r="O646" s="421"/>
      <c r="P646" s="421"/>
      <c r="Q646" s="421"/>
    </row>
    <row r="647" spans="1:17" ht="15.75" customHeight="1" x14ac:dyDescent="0.2">
      <c r="A647" s="420"/>
      <c r="B647" s="421"/>
      <c r="C647" s="421"/>
      <c r="G647" s="421"/>
      <c r="H647" s="421"/>
      <c r="I647" s="421"/>
      <c r="J647" s="421"/>
      <c r="K647" s="421"/>
      <c r="L647" s="421"/>
      <c r="M647" s="421"/>
      <c r="N647" s="421"/>
      <c r="O647" s="421"/>
      <c r="P647" s="421"/>
      <c r="Q647" s="421"/>
    </row>
    <row r="648" spans="1:17" ht="15.75" customHeight="1" x14ac:dyDescent="0.2">
      <c r="A648" s="420"/>
      <c r="B648" s="421"/>
      <c r="C648" s="421"/>
      <c r="G648" s="421"/>
      <c r="H648" s="421"/>
      <c r="I648" s="421"/>
      <c r="J648" s="421"/>
      <c r="K648" s="421"/>
      <c r="L648" s="421"/>
      <c r="M648" s="421"/>
      <c r="N648" s="421"/>
      <c r="O648" s="421"/>
      <c r="P648" s="421"/>
      <c r="Q648" s="421"/>
    </row>
    <row r="649" spans="1:17" ht="15.75" customHeight="1" x14ac:dyDescent="0.2">
      <c r="A649" s="420"/>
      <c r="B649" s="421"/>
      <c r="C649" s="421"/>
      <c r="G649" s="421"/>
      <c r="H649" s="421"/>
      <c r="I649" s="421"/>
      <c r="J649" s="421"/>
      <c r="K649" s="421"/>
      <c r="L649" s="421"/>
      <c r="M649" s="421"/>
      <c r="N649" s="421"/>
      <c r="O649" s="421"/>
      <c r="P649" s="421"/>
      <c r="Q649" s="421"/>
    </row>
    <row r="650" spans="1:17" ht="15.75" customHeight="1" x14ac:dyDescent="0.2">
      <c r="A650" s="420"/>
      <c r="B650" s="421"/>
      <c r="C650" s="421"/>
      <c r="G650" s="421"/>
      <c r="H650" s="421"/>
      <c r="I650" s="421"/>
      <c r="J650" s="421"/>
      <c r="K650" s="421"/>
      <c r="L650" s="421"/>
      <c r="M650" s="421"/>
      <c r="N650" s="421"/>
      <c r="O650" s="421"/>
      <c r="P650" s="421"/>
      <c r="Q650" s="421"/>
    </row>
    <row r="651" spans="1:17" ht="15.75" customHeight="1" x14ac:dyDescent="0.2">
      <c r="A651" s="420"/>
      <c r="B651" s="421"/>
      <c r="C651" s="421"/>
      <c r="G651" s="421"/>
      <c r="H651" s="421"/>
      <c r="I651" s="421"/>
      <c r="J651" s="421"/>
      <c r="K651" s="421"/>
      <c r="L651" s="421"/>
      <c r="M651" s="421"/>
      <c r="N651" s="421"/>
      <c r="O651" s="421"/>
      <c r="P651" s="421"/>
      <c r="Q651" s="421"/>
    </row>
    <row r="652" spans="1:17" ht="15.75" customHeight="1" x14ac:dyDescent="0.2">
      <c r="A652" s="420"/>
      <c r="B652" s="421"/>
      <c r="C652" s="421"/>
      <c r="G652" s="421"/>
      <c r="H652" s="421"/>
      <c r="I652" s="421"/>
      <c r="J652" s="421"/>
      <c r="K652" s="421"/>
      <c r="L652" s="421"/>
      <c r="M652" s="421"/>
      <c r="N652" s="421"/>
      <c r="O652" s="421"/>
      <c r="P652" s="421"/>
      <c r="Q652" s="421"/>
    </row>
    <row r="653" spans="1:17" ht="15.75" customHeight="1" x14ac:dyDescent="0.2">
      <c r="A653" s="420"/>
      <c r="B653" s="421"/>
      <c r="C653" s="421"/>
      <c r="G653" s="421"/>
      <c r="H653" s="421"/>
      <c r="I653" s="421"/>
      <c r="J653" s="421"/>
      <c r="K653" s="421"/>
      <c r="L653" s="421"/>
      <c r="M653" s="421"/>
      <c r="N653" s="421"/>
      <c r="O653" s="421"/>
      <c r="P653" s="421"/>
      <c r="Q653" s="421"/>
    </row>
    <row r="654" spans="1:17" ht="15.75" customHeight="1" x14ac:dyDescent="0.2">
      <c r="A654" s="420"/>
      <c r="B654" s="421"/>
      <c r="C654" s="421"/>
      <c r="G654" s="421"/>
      <c r="H654" s="421"/>
      <c r="I654" s="421"/>
      <c r="J654" s="421"/>
      <c r="K654" s="421"/>
      <c r="L654" s="421"/>
      <c r="M654" s="421"/>
      <c r="N654" s="421"/>
      <c r="O654" s="421"/>
      <c r="P654" s="421"/>
      <c r="Q654" s="421"/>
    </row>
    <row r="655" spans="1:17" ht="15.75" customHeight="1" x14ac:dyDescent="0.2">
      <c r="A655" s="420"/>
      <c r="B655" s="421"/>
      <c r="C655" s="421"/>
      <c r="G655" s="421"/>
      <c r="H655" s="421"/>
      <c r="I655" s="421"/>
      <c r="J655" s="421"/>
      <c r="K655" s="421"/>
      <c r="L655" s="421"/>
      <c r="M655" s="421"/>
      <c r="N655" s="421"/>
      <c r="O655" s="421"/>
      <c r="P655" s="421"/>
      <c r="Q655" s="421"/>
    </row>
    <row r="656" spans="1:17" ht="15.75" customHeight="1" x14ac:dyDescent="0.2">
      <c r="A656" s="420"/>
      <c r="B656" s="421"/>
      <c r="C656" s="421"/>
      <c r="G656" s="421"/>
      <c r="H656" s="421"/>
      <c r="I656" s="421"/>
      <c r="J656" s="421"/>
      <c r="K656" s="421"/>
      <c r="L656" s="421"/>
      <c r="M656" s="421"/>
      <c r="N656" s="421"/>
      <c r="O656" s="421"/>
      <c r="P656" s="421"/>
      <c r="Q656" s="421"/>
    </row>
    <row r="657" spans="1:17" ht="15.75" customHeight="1" x14ac:dyDescent="0.2">
      <c r="A657" s="420"/>
      <c r="B657" s="421"/>
      <c r="C657" s="421"/>
      <c r="G657" s="421"/>
      <c r="H657" s="421"/>
      <c r="I657" s="421"/>
      <c r="J657" s="421"/>
      <c r="K657" s="421"/>
      <c r="L657" s="421"/>
      <c r="M657" s="421"/>
      <c r="N657" s="421"/>
      <c r="O657" s="421"/>
      <c r="P657" s="421"/>
      <c r="Q657" s="421"/>
    </row>
    <row r="658" spans="1:17" ht="15.75" customHeight="1" x14ac:dyDescent="0.2">
      <c r="A658" s="420"/>
      <c r="B658" s="421"/>
      <c r="C658" s="421"/>
      <c r="G658" s="421"/>
      <c r="H658" s="421"/>
      <c r="I658" s="421"/>
      <c r="J658" s="421"/>
      <c r="K658" s="421"/>
      <c r="L658" s="421"/>
      <c r="M658" s="421"/>
      <c r="N658" s="421"/>
      <c r="O658" s="421"/>
      <c r="P658" s="421"/>
      <c r="Q658" s="421"/>
    </row>
    <row r="659" spans="1:17" ht="15.75" customHeight="1" x14ac:dyDescent="0.2">
      <c r="A659" s="420"/>
      <c r="B659" s="421"/>
      <c r="C659" s="421"/>
      <c r="G659" s="421"/>
      <c r="H659" s="421"/>
      <c r="I659" s="421"/>
      <c r="J659" s="421"/>
      <c r="K659" s="421"/>
      <c r="L659" s="421"/>
      <c r="M659" s="421"/>
      <c r="N659" s="421"/>
      <c r="O659" s="421"/>
      <c r="P659" s="421"/>
      <c r="Q659" s="421"/>
    </row>
    <row r="660" spans="1:17" ht="15.75" customHeight="1" x14ac:dyDescent="0.2">
      <c r="A660" s="420"/>
      <c r="B660" s="421"/>
      <c r="C660" s="421"/>
      <c r="G660" s="421"/>
      <c r="H660" s="421"/>
      <c r="I660" s="421"/>
      <c r="J660" s="421"/>
      <c r="K660" s="421"/>
      <c r="L660" s="421"/>
      <c r="M660" s="421"/>
      <c r="N660" s="421"/>
      <c r="O660" s="421"/>
      <c r="P660" s="421"/>
      <c r="Q660" s="421"/>
    </row>
    <row r="661" spans="1:17" ht="15.75" customHeight="1" x14ac:dyDescent="0.2">
      <c r="A661" s="420"/>
      <c r="B661" s="421"/>
      <c r="C661" s="421"/>
      <c r="G661" s="421"/>
      <c r="H661" s="421"/>
      <c r="I661" s="421"/>
      <c r="J661" s="421"/>
      <c r="K661" s="421"/>
      <c r="L661" s="421"/>
      <c r="M661" s="421"/>
      <c r="N661" s="421"/>
      <c r="O661" s="421"/>
      <c r="P661" s="421"/>
      <c r="Q661" s="421"/>
    </row>
    <row r="662" spans="1:17" ht="15.75" customHeight="1" x14ac:dyDescent="0.2">
      <c r="A662" s="420"/>
      <c r="B662" s="421"/>
      <c r="C662" s="421"/>
      <c r="G662" s="421"/>
      <c r="H662" s="421"/>
      <c r="I662" s="421"/>
      <c r="J662" s="421"/>
      <c r="K662" s="421"/>
      <c r="L662" s="421"/>
      <c r="M662" s="421"/>
      <c r="N662" s="421"/>
      <c r="O662" s="421"/>
      <c r="P662" s="421"/>
      <c r="Q662" s="421"/>
    </row>
    <row r="663" spans="1:17" ht="15.75" customHeight="1" x14ac:dyDescent="0.2">
      <c r="A663" s="420"/>
      <c r="B663" s="421"/>
      <c r="C663" s="421"/>
      <c r="G663" s="421"/>
      <c r="H663" s="421"/>
      <c r="I663" s="421"/>
      <c r="J663" s="421"/>
      <c r="K663" s="421"/>
      <c r="L663" s="421"/>
      <c r="M663" s="421"/>
      <c r="N663" s="421"/>
      <c r="O663" s="421"/>
      <c r="P663" s="421"/>
      <c r="Q663" s="421"/>
    </row>
    <row r="664" spans="1:17" ht="15.75" customHeight="1" x14ac:dyDescent="0.2">
      <c r="A664" s="420"/>
      <c r="B664" s="421"/>
      <c r="C664" s="421"/>
      <c r="G664" s="421"/>
      <c r="H664" s="421"/>
      <c r="I664" s="421"/>
      <c r="J664" s="421"/>
      <c r="K664" s="421"/>
      <c r="L664" s="421"/>
      <c r="M664" s="421"/>
      <c r="N664" s="421"/>
      <c r="O664" s="421"/>
      <c r="P664" s="421"/>
      <c r="Q664" s="421"/>
    </row>
    <row r="665" spans="1:17" ht="15.75" customHeight="1" x14ac:dyDescent="0.2">
      <c r="A665" s="420"/>
      <c r="B665" s="421"/>
      <c r="C665" s="421"/>
      <c r="G665" s="421"/>
      <c r="H665" s="421"/>
      <c r="I665" s="421"/>
      <c r="J665" s="421"/>
      <c r="K665" s="421"/>
      <c r="L665" s="421"/>
      <c r="M665" s="421"/>
      <c r="N665" s="421"/>
      <c r="O665" s="421"/>
      <c r="P665" s="421"/>
      <c r="Q665" s="421"/>
    </row>
    <row r="666" spans="1:17" ht="15.75" customHeight="1" x14ac:dyDescent="0.2">
      <c r="A666" s="420"/>
      <c r="B666" s="421"/>
      <c r="C666" s="421"/>
      <c r="G666" s="421"/>
      <c r="H666" s="421"/>
      <c r="I666" s="421"/>
      <c r="J666" s="421"/>
      <c r="K666" s="421"/>
      <c r="L666" s="421"/>
      <c r="M666" s="421"/>
      <c r="N666" s="421"/>
      <c r="O666" s="421"/>
      <c r="P666" s="421"/>
      <c r="Q666" s="421"/>
    </row>
    <row r="667" spans="1:17" ht="15.75" customHeight="1" x14ac:dyDescent="0.2">
      <c r="A667" s="420"/>
      <c r="B667" s="421"/>
      <c r="C667" s="421"/>
      <c r="G667" s="421"/>
      <c r="H667" s="421"/>
      <c r="I667" s="421"/>
      <c r="J667" s="421"/>
      <c r="K667" s="421"/>
      <c r="L667" s="421"/>
      <c r="M667" s="421"/>
      <c r="N667" s="421"/>
      <c r="O667" s="421"/>
      <c r="P667" s="421"/>
      <c r="Q667" s="421"/>
    </row>
    <row r="668" spans="1:17" ht="15.75" customHeight="1" x14ac:dyDescent="0.2">
      <c r="A668" s="420"/>
      <c r="B668" s="421"/>
      <c r="C668" s="421"/>
      <c r="G668" s="421"/>
      <c r="H668" s="421"/>
      <c r="I668" s="421"/>
      <c r="J668" s="421"/>
      <c r="K668" s="421"/>
      <c r="L668" s="421"/>
      <c r="M668" s="421"/>
      <c r="N668" s="421"/>
      <c r="O668" s="421"/>
      <c r="P668" s="421"/>
      <c r="Q668" s="421"/>
    </row>
    <row r="669" spans="1:17" ht="15.75" customHeight="1" x14ac:dyDescent="0.2">
      <c r="A669" s="420"/>
      <c r="B669" s="421"/>
      <c r="C669" s="421"/>
      <c r="G669" s="421"/>
      <c r="H669" s="421"/>
      <c r="I669" s="421"/>
      <c r="J669" s="421"/>
      <c r="K669" s="421"/>
      <c r="L669" s="421"/>
      <c r="M669" s="421"/>
      <c r="N669" s="421"/>
      <c r="O669" s="421"/>
      <c r="P669" s="421"/>
      <c r="Q669" s="421"/>
    </row>
    <row r="670" spans="1:17" ht="15.75" customHeight="1" x14ac:dyDescent="0.2">
      <c r="A670" s="420"/>
      <c r="B670" s="421"/>
      <c r="C670" s="421"/>
      <c r="G670" s="421"/>
      <c r="H670" s="421"/>
      <c r="I670" s="421"/>
      <c r="J670" s="421"/>
      <c r="K670" s="421"/>
      <c r="L670" s="421"/>
      <c r="M670" s="421"/>
      <c r="N670" s="421"/>
      <c r="O670" s="421"/>
      <c r="P670" s="421"/>
      <c r="Q670" s="421"/>
    </row>
    <row r="671" spans="1:17" ht="15.75" customHeight="1" x14ac:dyDescent="0.2">
      <c r="A671" s="420"/>
      <c r="B671" s="421"/>
      <c r="C671" s="421"/>
      <c r="G671" s="421"/>
      <c r="H671" s="421"/>
      <c r="I671" s="421"/>
      <c r="J671" s="421"/>
      <c r="K671" s="421"/>
      <c r="L671" s="421"/>
      <c r="M671" s="421"/>
      <c r="N671" s="421"/>
      <c r="O671" s="421"/>
      <c r="P671" s="421"/>
      <c r="Q671" s="421"/>
    </row>
    <row r="672" spans="1:17" ht="15.75" customHeight="1" x14ac:dyDescent="0.2">
      <c r="A672" s="420"/>
      <c r="B672" s="421"/>
      <c r="C672" s="421"/>
      <c r="G672" s="421"/>
      <c r="H672" s="421"/>
      <c r="I672" s="421"/>
      <c r="J672" s="421"/>
      <c r="K672" s="421"/>
      <c r="L672" s="421"/>
      <c r="M672" s="421"/>
      <c r="N672" s="421"/>
      <c r="O672" s="421"/>
      <c r="P672" s="421"/>
      <c r="Q672" s="421"/>
    </row>
    <row r="673" spans="1:17" ht="15.75" customHeight="1" x14ac:dyDescent="0.2">
      <c r="A673" s="420"/>
      <c r="B673" s="421"/>
      <c r="C673" s="421"/>
      <c r="G673" s="421"/>
      <c r="H673" s="421"/>
      <c r="I673" s="421"/>
      <c r="J673" s="421"/>
      <c r="K673" s="421"/>
      <c r="L673" s="421"/>
      <c r="M673" s="421"/>
      <c r="N673" s="421"/>
      <c r="O673" s="421"/>
      <c r="P673" s="421"/>
      <c r="Q673" s="421"/>
    </row>
    <row r="674" spans="1:17" ht="15.75" customHeight="1" x14ac:dyDescent="0.2">
      <c r="A674" s="420"/>
      <c r="B674" s="421"/>
      <c r="C674" s="421"/>
      <c r="G674" s="421"/>
      <c r="H674" s="421"/>
      <c r="I674" s="421"/>
      <c r="J674" s="421"/>
      <c r="K674" s="421"/>
      <c r="L674" s="421"/>
      <c r="M674" s="421"/>
      <c r="N674" s="421"/>
      <c r="O674" s="421"/>
      <c r="P674" s="421"/>
      <c r="Q674" s="421"/>
    </row>
    <row r="675" spans="1:17" ht="15.75" customHeight="1" x14ac:dyDescent="0.2">
      <c r="A675" s="420"/>
      <c r="B675" s="421"/>
      <c r="C675" s="421"/>
      <c r="G675" s="421"/>
      <c r="H675" s="421"/>
      <c r="I675" s="421"/>
      <c r="J675" s="421"/>
      <c r="K675" s="421"/>
      <c r="L675" s="421"/>
      <c r="M675" s="421"/>
      <c r="N675" s="421"/>
      <c r="O675" s="421"/>
      <c r="P675" s="421"/>
      <c r="Q675" s="421"/>
    </row>
    <row r="676" spans="1:17" ht="15.75" customHeight="1" x14ac:dyDescent="0.2">
      <c r="A676" s="420"/>
      <c r="B676" s="421"/>
      <c r="C676" s="421"/>
      <c r="G676" s="421"/>
      <c r="H676" s="421"/>
      <c r="I676" s="421"/>
      <c r="J676" s="421"/>
      <c r="K676" s="421"/>
      <c r="L676" s="421"/>
      <c r="M676" s="421"/>
      <c r="N676" s="421"/>
      <c r="O676" s="421"/>
      <c r="P676" s="421"/>
      <c r="Q676" s="421"/>
    </row>
    <row r="677" spans="1:17" ht="15.75" customHeight="1" x14ac:dyDescent="0.2">
      <c r="A677" s="420"/>
      <c r="B677" s="421"/>
      <c r="C677" s="421"/>
      <c r="G677" s="421"/>
      <c r="H677" s="421"/>
      <c r="I677" s="421"/>
      <c r="J677" s="421"/>
      <c r="K677" s="421"/>
      <c r="L677" s="421"/>
      <c r="M677" s="421"/>
      <c r="N677" s="421"/>
      <c r="O677" s="421"/>
      <c r="P677" s="421"/>
      <c r="Q677" s="421"/>
    </row>
    <row r="678" spans="1:17" ht="15.75" customHeight="1" x14ac:dyDescent="0.2">
      <c r="A678" s="420"/>
      <c r="B678" s="421"/>
      <c r="C678" s="421"/>
      <c r="G678" s="421"/>
      <c r="H678" s="421"/>
      <c r="I678" s="421"/>
      <c r="J678" s="421"/>
      <c r="K678" s="421"/>
      <c r="L678" s="421"/>
      <c r="M678" s="421"/>
      <c r="N678" s="421"/>
      <c r="O678" s="421"/>
      <c r="P678" s="421"/>
      <c r="Q678" s="421"/>
    </row>
    <row r="679" spans="1:17" ht="15.75" customHeight="1" x14ac:dyDescent="0.2">
      <c r="A679" s="420"/>
      <c r="B679" s="421"/>
      <c r="C679" s="421"/>
      <c r="G679" s="421"/>
      <c r="H679" s="421"/>
      <c r="I679" s="421"/>
      <c r="J679" s="421"/>
      <c r="K679" s="421"/>
      <c r="L679" s="421"/>
      <c r="M679" s="421"/>
      <c r="N679" s="421"/>
      <c r="O679" s="421"/>
      <c r="P679" s="421"/>
      <c r="Q679" s="421"/>
    </row>
    <row r="680" spans="1:17" ht="15.75" customHeight="1" x14ac:dyDescent="0.2">
      <c r="A680" s="420"/>
      <c r="B680" s="421"/>
      <c r="C680" s="421"/>
      <c r="G680" s="421"/>
      <c r="H680" s="421"/>
      <c r="I680" s="421"/>
      <c r="J680" s="421"/>
      <c r="K680" s="421"/>
      <c r="L680" s="421"/>
      <c r="M680" s="421"/>
      <c r="N680" s="421"/>
      <c r="O680" s="421"/>
      <c r="P680" s="421"/>
      <c r="Q680" s="421"/>
    </row>
    <row r="681" spans="1:17" ht="15.75" customHeight="1" x14ac:dyDescent="0.2">
      <c r="A681" s="420"/>
      <c r="B681" s="421"/>
      <c r="C681" s="421"/>
      <c r="G681" s="421"/>
      <c r="H681" s="421"/>
      <c r="I681" s="421"/>
      <c r="J681" s="421"/>
      <c r="K681" s="421"/>
      <c r="L681" s="421"/>
      <c r="M681" s="421"/>
      <c r="N681" s="421"/>
      <c r="O681" s="421"/>
      <c r="P681" s="421"/>
      <c r="Q681" s="421"/>
    </row>
    <row r="682" spans="1:17" ht="15.75" customHeight="1" x14ac:dyDescent="0.2">
      <c r="A682" s="420"/>
      <c r="B682" s="421"/>
      <c r="C682" s="421"/>
      <c r="G682" s="421"/>
      <c r="H682" s="421"/>
      <c r="I682" s="421"/>
      <c r="J682" s="421"/>
      <c r="K682" s="421"/>
      <c r="L682" s="421"/>
      <c r="M682" s="421"/>
      <c r="N682" s="421"/>
      <c r="O682" s="421"/>
      <c r="P682" s="421"/>
      <c r="Q682" s="421"/>
    </row>
    <row r="683" spans="1:17" ht="15.75" customHeight="1" x14ac:dyDescent="0.2">
      <c r="A683" s="420"/>
      <c r="B683" s="421"/>
      <c r="C683" s="421"/>
      <c r="G683" s="421"/>
      <c r="H683" s="421"/>
      <c r="I683" s="421"/>
      <c r="J683" s="421"/>
      <c r="K683" s="421"/>
      <c r="L683" s="421"/>
      <c r="M683" s="421"/>
      <c r="N683" s="421"/>
      <c r="O683" s="421"/>
      <c r="P683" s="421"/>
      <c r="Q683" s="421"/>
    </row>
    <row r="684" spans="1:17" ht="15.75" customHeight="1" x14ac:dyDescent="0.2">
      <c r="A684" s="420"/>
      <c r="B684" s="421"/>
      <c r="C684" s="421"/>
      <c r="G684" s="421"/>
      <c r="H684" s="421"/>
      <c r="I684" s="421"/>
      <c r="J684" s="421"/>
      <c r="K684" s="421"/>
      <c r="L684" s="421"/>
      <c r="M684" s="421"/>
      <c r="N684" s="421"/>
      <c r="O684" s="421"/>
      <c r="P684" s="421"/>
      <c r="Q684" s="421"/>
    </row>
    <row r="685" spans="1:17" ht="15.75" customHeight="1" x14ac:dyDescent="0.2">
      <c r="A685" s="420"/>
      <c r="B685" s="421"/>
      <c r="C685" s="421"/>
      <c r="G685" s="421"/>
      <c r="H685" s="421"/>
      <c r="I685" s="421"/>
      <c r="J685" s="421"/>
      <c r="K685" s="421"/>
      <c r="L685" s="421"/>
      <c r="M685" s="421"/>
      <c r="N685" s="421"/>
      <c r="O685" s="421"/>
      <c r="P685" s="421"/>
      <c r="Q685" s="421"/>
    </row>
    <row r="686" spans="1:17" ht="15.75" customHeight="1" x14ac:dyDescent="0.2">
      <c r="A686" s="420"/>
      <c r="B686" s="421"/>
      <c r="C686" s="421"/>
      <c r="G686" s="421"/>
      <c r="H686" s="421"/>
      <c r="I686" s="421"/>
      <c r="J686" s="421"/>
      <c r="K686" s="421"/>
      <c r="L686" s="421"/>
      <c r="M686" s="421"/>
      <c r="N686" s="421"/>
      <c r="O686" s="421"/>
      <c r="P686" s="421"/>
      <c r="Q686" s="421"/>
    </row>
    <row r="687" spans="1:17" ht="15.75" customHeight="1" x14ac:dyDescent="0.2">
      <c r="A687" s="420"/>
      <c r="B687" s="421"/>
      <c r="C687" s="421"/>
      <c r="G687" s="421"/>
      <c r="H687" s="421"/>
      <c r="I687" s="421"/>
      <c r="J687" s="421"/>
      <c r="K687" s="421"/>
      <c r="L687" s="421"/>
      <c r="M687" s="421"/>
      <c r="N687" s="421"/>
      <c r="O687" s="421"/>
      <c r="P687" s="421"/>
      <c r="Q687" s="421"/>
    </row>
    <row r="688" spans="1:17" ht="15.75" customHeight="1" x14ac:dyDescent="0.2">
      <c r="A688" s="420"/>
      <c r="B688" s="421"/>
      <c r="C688" s="421"/>
      <c r="G688" s="421"/>
      <c r="H688" s="421"/>
      <c r="I688" s="421"/>
      <c r="J688" s="421"/>
      <c r="K688" s="421"/>
      <c r="L688" s="421"/>
      <c r="M688" s="421"/>
      <c r="N688" s="421"/>
      <c r="O688" s="421"/>
      <c r="P688" s="421"/>
      <c r="Q688" s="421"/>
    </row>
    <row r="689" spans="1:17" ht="15.75" customHeight="1" x14ac:dyDescent="0.2">
      <c r="A689" s="420"/>
      <c r="B689" s="421"/>
      <c r="C689" s="421"/>
      <c r="G689" s="421"/>
      <c r="H689" s="421"/>
      <c r="I689" s="421"/>
      <c r="J689" s="421"/>
      <c r="K689" s="421"/>
      <c r="L689" s="421"/>
      <c r="M689" s="421"/>
      <c r="N689" s="421"/>
      <c r="O689" s="421"/>
      <c r="P689" s="421"/>
      <c r="Q689" s="421"/>
    </row>
    <row r="690" spans="1:17" ht="15.75" customHeight="1" x14ac:dyDescent="0.2">
      <c r="A690" s="420"/>
      <c r="B690" s="421"/>
      <c r="C690" s="421"/>
      <c r="G690" s="421"/>
      <c r="H690" s="421"/>
      <c r="I690" s="421"/>
      <c r="J690" s="421"/>
      <c r="K690" s="421"/>
      <c r="L690" s="421"/>
      <c r="M690" s="421"/>
      <c r="N690" s="421"/>
      <c r="O690" s="421"/>
      <c r="P690" s="421"/>
      <c r="Q690" s="421"/>
    </row>
    <row r="691" spans="1:17" ht="15.75" customHeight="1" x14ac:dyDescent="0.2">
      <c r="A691" s="420"/>
      <c r="B691" s="421"/>
      <c r="C691" s="421"/>
      <c r="G691" s="421"/>
      <c r="H691" s="421"/>
      <c r="I691" s="421"/>
      <c r="J691" s="421"/>
      <c r="K691" s="421"/>
      <c r="L691" s="421"/>
      <c r="M691" s="421"/>
      <c r="N691" s="421"/>
      <c r="O691" s="421"/>
      <c r="P691" s="421"/>
      <c r="Q691" s="421"/>
    </row>
    <row r="692" spans="1:17" ht="15.75" customHeight="1" x14ac:dyDescent="0.2">
      <c r="A692" s="420"/>
      <c r="B692" s="421"/>
      <c r="C692" s="421"/>
      <c r="G692" s="421"/>
      <c r="H692" s="421"/>
      <c r="I692" s="421"/>
      <c r="J692" s="421"/>
      <c r="K692" s="421"/>
      <c r="L692" s="421"/>
      <c r="M692" s="421"/>
      <c r="N692" s="421"/>
      <c r="O692" s="421"/>
      <c r="P692" s="421"/>
      <c r="Q692" s="421"/>
    </row>
    <row r="693" spans="1:17" ht="15.75" customHeight="1" x14ac:dyDescent="0.2">
      <c r="A693" s="420"/>
      <c r="B693" s="421"/>
      <c r="C693" s="421"/>
      <c r="G693" s="421"/>
      <c r="H693" s="421"/>
      <c r="I693" s="421"/>
      <c r="J693" s="421"/>
      <c r="K693" s="421"/>
      <c r="L693" s="421"/>
      <c r="M693" s="421"/>
      <c r="N693" s="421"/>
      <c r="O693" s="421"/>
      <c r="P693" s="421"/>
      <c r="Q693" s="421"/>
    </row>
    <row r="694" spans="1:17" ht="15.75" customHeight="1" x14ac:dyDescent="0.2">
      <c r="A694" s="420"/>
      <c r="B694" s="421"/>
      <c r="C694" s="421"/>
      <c r="G694" s="421"/>
      <c r="H694" s="421"/>
      <c r="I694" s="421"/>
      <c r="J694" s="421"/>
      <c r="K694" s="421"/>
      <c r="L694" s="421"/>
      <c r="M694" s="421"/>
      <c r="N694" s="421"/>
      <c r="O694" s="421"/>
      <c r="P694" s="421"/>
      <c r="Q694" s="421"/>
    </row>
    <row r="695" spans="1:17" ht="15.75" customHeight="1" x14ac:dyDescent="0.2">
      <c r="A695" s="420"/>
      <c r="B695" s="421"/>
      <c r="C695" s="421"/>
      <c r="G695" s="421"/>
      <c r="H695" s="421"/>
      <c r="I695" s="421"/>
      <c r="J695" s="421"/>
      <c r="K695" s="421"/>
      <c r="L695" s="421"/>
      <c r="M695" s="421"/>
      <c r="N695" s="421"/>
      <c r="O695" s="421"/>
      <c r="P695" s="421"/>
      <c r="Q695" s="421"/>
    </row>
    <row r="696" spans="1:17" ht="15.75" customHeight="1" x14ac:dyDescent="0.2">
      <c r="A696" s="420"/>
      <c r="B696" s="421"/>
      <c r="C696" s="421"/>
      <c r="G696" s="421"/>
      <c r="H696" s="421"/>
      <c r="I696" s="421"/>
      <c r="J696" s="421"/>
      <c r="K696" s="421"/>
      <c r="L696" s="421"/>
      <c r="M696" s="421"/>
      <c r="N696" s="421"/>
      <c r="O696" s="421"/>
      <c r="P696" s="421"/>
      <c r="Q696" s="421"/>
    </row>
    <row r="697" spans="1:17" ht="15.75" customHeight="1" x14ac:dyDescent="0.2">
      <c r="A697" s="420"/>
      <c r="B697" s="421"/>
      <c r="C697" s="421"/>
      <c r="G697" s="421"/>
      <c r="H697" s="421"/>
      <c r="I697" s="421"/>
      <c r="J697" s="421"/>
      <c r="K697" s="421"/>
      <c r="L697" s="421"/>
      <c r="M697" s="421"/>
      <c r="N697" s="421"/>
      <c r="O697" s="421"/>
      <c r="P697" s="421"/>
      <c r="Q697" s="421"/>
    </row>
    <row r="698" spans="1:17" ht="15.75" customHeight="1" x14ac:dyDescent="0.2">
      <c r="A698" s="420"/>
      <c r="B698" s="421"/>
      <c r="C698" s="421"/>
      <c r="G698" s="421"/>
      <c r="H698" s="421"/>
      <c r="I698" s="421"/>
      <c r="J698" s="421"/>
      <c r="K698" s="421"/>
      <c r="L698" s="421"/>
      <c r="M698" s="421"/>
      <c r="N698" s="421"/>
      <c r="O698" s="421"/>
      <c r="P698" s="421"/>
      <c r="Q698" s="421"/>
    </row>
    <row r="699" spans="1:17" ht="15.75" customHeight="1" x14ac:dyDescent="0.2">
      <c r="A699" s="420"/>
      <c r="B699" s="421"/>
      <c r="C699" s="421"/>
      <c r="G699" s="421"/>
      <c r="H699" s="421"/>
      <c r="I699" s="421"/>
      <c r="J699" s="421"/>
      <c r="K699" s="421"/>
      <c r="L699" s="421"/>
      <c r="M699" s="421"/>
      <c r="N699" s="421"/>
      <c r="O699" s="421"/>
      <c r="P699" s="421"/>
      <c r="Q699" s="421"/>
    </row>
    <row r="700" spans="1:17" ht="15.75" customHeight="1" x14ac:dyDescent="0.2">
      <c r="A700" s="420"/>
      <c r="B700" s="421"/>
      <c r="C700" s="421"/>
      <c r="G700" s="421"/>
      <c r="H700" s="421"/>
      <c r="I700" s="421"/>
      <c r="J700" s="421"/>
      <c r="K700" s="421"/>
      <c r="L700" s="421"/>
      <c r="M700" s="421"/>
      <c r="N700" s="421"/>
      <c r="O700" s="421"/>
      <c r="P700" s="421"/>
      <c r="Q700" s="421"/>
    </row>
    <row r="701" spans="1:17" ht="15.75" customHeight="1" x14ac:dyDescent="0.2">
      <c r="A701" s="420"/>
      <c r="B701" s="421"/>
      <c r="C701" s="421"/>
      <c r="G701" s="421"/>
      <c r="H701" s="421"/>
      <c r="I701" s="421"/>
      <c r="J701" s="421"/>
      <c r="K701" s="421"/>
      <c r="L701" s="421"/>
      <c r="M701" s="421"/>
      <c r="N701" s="421"/>
      <c r="O701" s="421"/>
      <c r="P701" s="421"/>
      <c r="Q701" s="421"/>
    </row>
    <row r="702" spans="1:17" ht="15.75" customHeight="1" x14ac:dyDescent="0.2">
      <c r="A702" s="420"/>
      <c r="B702" s="421"/>
      <c r="C702" s="421"/>
      <c r="G702" s="421"/>
      <c r="H702" s="421"/>
      <c r="I702" s="421"/>
      <c r="J702" s="421"/>
      <c r="K702" s="421"/>
      <c r="L702" s="421"/>
      <c r="M702" s="421"/>
      <c r="N702" s="421"/>
      <c r="O702" s="421"/>
      <c r="P702" s="421"/>
      <c r="Q702" s="421"/>
    </row>
    <row r="703" spans="1:17" ht="15.75" customHeight="1" x14ac:dyDescent="0.2">
      <c r="A703" s="420"/>
      <c r="B703" s="421"/>
      <c r="C703" s="421"/>
      <c r="G703" s="421"/>
      <c r="H703" s="421"/>
      <c r="I703" s="421"/>
      <c r="J703" s="421"/>
      <c r="K703" s="421"/>
      <c r="L703" s="421"/>
      <c r="M703" s="421"/>
      <c r="N703" s="421"/>
      <c r="O703" s="421"/>
      <c r="P703" s="421"/>
      <c r="Q703" s="421"/>
    </row>
    <row r="704" spans="1:17" ht="15.75" customHeight="1" x14ac:dyDescent="0.2">
      <c r="A704" s="420"/>
      <c r="B704" s="421"/>
      <c r="C704" s="421"/>
      <c r="G704" s="421"/>
      <c r="H704" s="421"/>
      <c r="I704" s="421"/>
      <c r="J704" s="421"/>
      <c r="K704" s="421"/>
      <c r="L704" s="421"/>
      <c r="M704" s="421"/>
      <c r="N704" s="421"/>
      <c r="O704" s="421"/>
      <c r="P704" s="421"/>
      <c r="Q704" s="421"/>
    </row>
    <row r="705" spans="1:17" ht="15.75" customHeight="1" x14ac:dyDescent="0.2">
      <c r="A705" s="420"/>
      <c r="B705" s="421"/>
      <c r="C705" s="421"/>
      <c r="G705" s="421"/>
      <c r="H705" s="421"/>
      <c r="I705" s="421"/>
      <c r="J705" s="421"/>
      <c r="K705" s="421"/>
      <c r="L705" s="421"/>
      <c r="M705" s="421"/>
      <c r="N705" s="421"/>
      <c r="O705" s="421"/>
      <c r="P705" s="421"/>
      <c r="Q705" s="421"/>
    </row>
    <row r="706" spans="1:17" ht="15.75" customHeight="1" x14ac:dyDescent="0.2">
      <c r="A706" s="420"/>
      <c r="B706" s="421"/>
      <c r="C706" s="421"/>
      <c r="G706" s="421"/>
      <c r="H706" s="421"/>
      <c r="I706" s="421"/>
      <c r="J706" s="421"/>
      <c r="K706" s="421"/>
      <c r="L706" s="421"/>
      <c r="M706" s="421"/>
      <c r="N706" s="421"/>
      <c r="O706" s="421"/>
      <c r="P706" s="421"/>
      <c r="Q706" s="421"/>
    </row>
    <row r="707" spans="1:17" ht="15.75" customHeight="1" x14ac:dyDescent="0.2">
      <c r="A707" s="420"/>
      <c r="B707" s="421"/>
      <c r="C707" s="421"/>
      <c r="G707" s="421"/>
      <c r="H707" s="421"/>
      <c r="I707" s="421"/>
      <c r="J707" s="421"/>
      <c r="K707" s="421"/>
      <c r="L707" s="421"/>
      <c r="M707" s="421"/>
      <c r="N707" s="421"/>
      <c r="O707" s="421"/>
      <c r="P707" s="421"/>
      <c r="Q707" s="421"/>
    </row>
    <row r="708" spans="1:17" ht="15.75" customHeight="1" x14ac:dyDescent="0.2">
      <c r="A708" s="420"/>
      <c r="B708" s="421"/>
      <c r="C708" s="421"/>
      <c r="G708" s="421"/>
      <c r="H708" s="421"/>
      <c r="I708" s="421"/>
      <c r="J708" s="421"/>
      <c r="K708" s="421"/>
      <c r="L708" s="421"/>
      <c r="M708" s="421"/>
      <c r="N708" s="421"/>
      <c r="O708" s="421"/>
      <c r="P708" s="421"/>
      <c r="Q708" s="421"/>
    </row>
    <row r="709" spans="1:17" ht="15.75" customHeight="1" x14ac:dyDescent="0.2">
      <c r="A709" s="420"/>
      <c r="B709" s="421"/>
      <c r="C709" s="421"/>
      <c r="G709" s="421"/>
      <c r="H709" s="421"/>
      <c r="I709" s="421"/>
      <c r="J709" s="421"/>
      <c r="K709" s="421"/>
      <c r="L709" s="421"/>
      <c r="M709" s="421"/>
      <c r="N709" s="421"/>
      <c r="O709" s="421"/>
      <c r="P709" s="421"/>
      <c r="Q709" s="421"/>
    </row>
    <row r="710" spans="1:17" ht="15.75" customHeight="1" x14ac:dyDescent="0.2">
      <c r="A710" s="420"/>
      <c r="B710" s="421"/>
      <c r="C710" s="421"/>
      <c r="G710" s="421"/>
      <c r="H710" s="421"/>
      <c r="I710" s="421"/>
      <c r="J710" s="421"/>
      <c r="K710" s="421"/>
      <c r="L710" s="421"/>
      <c r="M710" s="421"/>
      <c r="N710" s="421"/>
      <c r="O710" s="421"/>
      <c r="P710" s="421"/>
      <c r="Q710" s="421"/>
    </row>
    <row r="711" spans="1:17" ht="15.75" customHeight="1" x14ac:dyDescent="0.2">
      <c r="A711" s="420"/>
      <c r="B711" s="421"/>
      <c r="C711" s="421"/>
      <c r="G711" s="421"/>
      <c r="H711" s="421"/>
      <c r="I711" s="421"/>
      <c r="J711" s="421"/>
      <c r="K711" s="421"/>
      <c r="L711" s="421"/>
      <c r="M711" s="421"/>
      <c r="N711" s="421"/>
      <c r="O711" s="421"/>
      <c r="P711" s="421"/>
      <c r="Q711" s="421"/>
    </row>
    <row r="712" spans="1:17" ht="15.75" customHeight="1" x14ac:dyDescent="0.2">
      <c r="A712" s="420"/>
      <c r="B712" s="421"/>
      <c r="C712" s="421"/>
      <c r="G712" s="421"/>
      <c r="H712" s="421"/>
      <c r="I712" s="421"/>
      <c r="J712" s="421"/>
      <c r="K712" s="421"/>
      <c r="L712" s="421"/>
      <c r="M712" s="421"/>
      <c r="N712" s="421"/>
      <c r="O712" s="421"/>
      <c r="P712" s="421"/>
      <c r="Q712" s="421"/>
    </row>
    <row r="713" spans="1:17" ht="15.75" customHeight="1" x14ac:dyDescent="0.2">
      <c r="A713" s="420"/>
      <c r="B713" s="421"/>
      <c r="C713" s="421"/>
      <c r="G713" s="421"/>
      <c r="H713" s="421"/>
      <c r="I713" s="421"/>
      <c r="J713" s="421"/>
      <c r="K713" s="421"/>
      <c r="L713" s="421"/>
      <c r="M713" s="421"/>
      <c r="N713" s="421"/>
      <c r="O713" s="421"/>
      <c r="P713" s="421"/>
      <c r="Q713" s="421"/>
    </row>
    <row r="714" spans="1:17" ht="15.75" customHeight="1" x14ac:dyDescent="0.2">
      <c r="A714" s="420"/>
      <c r="B714" s="421"/>
      <c r="C714" s="421"/>
      <c r="G714" s="421"/>
      <c r="H714" s="421"/>
      <c r="I714" s="421"/>
      <c r="J714" s="421"/>
      <c r="K714" s="421"/>
      <c r="L714" s="421"/>
      <c r="M714" s="421"/>
      <c r="N714" s="421"/>
      <c r="O714" s="421"/>
      <c r="P714" s="421"/>
      <c r="Q714" s="421"/>
    </row>
    <row r="715" spans="1:17" ht="15.75" customHeight="1" x14ac:dyDescent="0.2">
      <c r="A715" s="420"/>
      <c r="B715" s="421"/>
      <c r="C715" s="421"/>
      <c r="G715" s="421"/>
      <c r="H715" s="421"/>
      <c r="I715" s="421"/>
      <c r="J715" s="421"/>
      <c r="K715" s="421"/>
      <c r="L715" s="421"/>
      <c r="M715" s="421"/>
      <c r="N715" s="421"/>
      <c r="O715" s="421"/>
      <c r="P715" s="421"/>
      <c r="Q715" s="421"/>
    </row>
    <row r="716" spans="1:17" ht="15.75" customHeight="1" x14ac:dyDescent="0.2">
      <c r="A716" s="420"/>
      <c r="B716" s="421"/>
      <c r="C716" s="421"/>
      <c r="G716" s="421"/>
      <c r="H716" s="421"/>
      <c r="I716" s="421"/>
      <c r="J716" s="421"/>
      <c r="K716" s="421"/>
      <c r="L716" s="421"/>
      <c r="M716" s="421"/>
      <c r="N716" s="421"/>
      <c r="O716" s="421"/>
      <c r="P716" s="421"/>
      <c r="Q716" s="421"/>
    </row>
    <row r="717" spans="1:17" ht="15.75" customHeight="1" x14ac:dyDescent="0.2">
      <c r="A717" s="420"/>
      <c r="B717" s="421"/>
      <c r="C717" s="421"/>
      <c r="G717" s="421"/>
      <c r="H717" s="421"/>
      <c r="I717" s="421"/>
      <c r="J717" s="421"/>
      <c r="K717" s="421"/>
      <c r="L717" s="421"/>
      <c r="M717" s="421"/>
      <c r="N717" s="421"/>
      <c r="O717" s="421"/>
      <c r="P717" s="421"/>
      <c r="Q717" s="421"/>
    </row>
    <row r="718" spans="1:17" ht="15.75" customHeight="1" x14ac:dyDescent="0.2">
      <c r="A718" s="420"/>
      <c r="B718" s="421"/>
      <c r="C718" s="421"/>
      <c r="G718" s="421"/>
      <c r="H718" s="421"/>
      <c r="I718" s="421"/>
      <c r="J718" s="421"/>
      <c r="K718" s="421"/>
      <c r="L718" s="421"/>
      <c r="M718" s="421"/>
      <c r="N718" s="421"/>
      <c r="O718" s="421"/>
      <c r="P718" s="421"/>
      <c r="Q718" s="421"/>
    </row>
    <row r="719" spans="1:17" ht="15.75" customHeight="1" x14ac:dyDescent="0.2">
      <c r="A719" s="420"/>
      <c r="B719" s="421"/>
      <c r="C719" s="421"/>
      <c r="G719" s="421"/>
      <c r="H719" s="421"/>
      <c r="I719" s="421"/>
      <c r="J719" s="421"/>
      <c r="K719" s="421"/>
      <c r="L719" s="421"/>
      <c r="M719" s="421"/>
      <c r="N719" s="421"/>
      <c r="O719" s="421"/>
      <c r="P719" s="421"/>
      <c r="Q719" s="421"/>
    </row>
    <row r="720" spans="1:17" ht="15.75" customHeight="1" x14ac:dyDescent="0.2">
      <c r="A720" s="420"/>
      <c r="B720" s="421"/>
      <c r="C720" s="421"/>
      <c r="G720" s="421"/>
      <c r="H720" s="421"/>
      <c r="I720" s="421"/>
      <c r="J720" s="421"/>
      <c r="K720" s="421"/>
      <c r="L720" s="421"/>
      <c r="M720" s="421"/>
      <c r="N720" s="421"/>
      <c r="O720" s="421"/>
      <c r="P720" s="421"/>
      <c r="Q720" s="421"/>
    </row>
    <row r="721" spans="1:17" ht="15.75" customHeight="1" x14ac:dyDescent="0.2">
      <c r="A721" s="420"/>
      <c r="B721" s="421"/>
      <c r="C721" s="421"/>
      <c r="G721" s="421"/>
      <c r="H721" s="421"/>
      <c r="I721" s="421"/>
      <c r="J721" s="421"/>
      <c r="K721" s="421"/>
      <c r="L721" s="421"/>
      <c r="M721" s="421"/>
      <c r="N721" s="421"/>
      <c r="O721" s="421"/>
      <c r="P721" s="421"/>
      <c r="Q721" s="421"/>
    </row>
    <row r="722" spans="1:17" ht="15.75" customHeight="1" x14ac:dyDescent="0.2">
      <c r="A722" s="420"/>
      <c r="B722" s="421"/>
      <c r="C722" s="421"/>
      <c r="G722" s="421"/>
      <c r="H722" s="421"/>
      <c r="I722" s="421"/>
      <c r="J722" s="421"/>
      <c r="K722" s="421"/>
      <c r="L722" s="421"/>
      <c r="M722" s="421"/>
      <c r="N722" s="421"/>
      <c r="O722" s="421"/>
      <c r="P722" s="421"/>
      <c r="Q722" s="421"/>
    </row>
    <row r="723" spans="1:17" ht="15.75" customHeight="1" x14ac:dyDescent="0.2">
      <c r="A723" s="420"/>
      <c r="B723" s="421"/>
      <c r="C723" s="421"/>
      <c r="G723" s="421"/>
      <c r="H723" s="421"/>
      <c r="I723" s="421"/>
      <c r="J723" s="421"/>
      <c r="K723" s="421"/>
      <c r="L723" s="421"/>
      <c r="M723" s="421"/>
      <c r="N723" s="421"/>
      <c r="O723" s="421"/>
      <c r="P723" s="421"/>
      <c r="Q723" s="421"/>
    </row>
    <row r="724" spans="1:17" ht="15.75" customHeight="1" x14ac:dyDescent="0.2">
      <c r="A724" s="420"/>
      <c r="B724" s="421"/>
      <c r="C724" s="421"/>
      <c r="G724" s="421"/>
      <c r="H724" s="421"/>
      <c r="I724" s="421"/>
      <c r="J724" s="421"/>
      <c r="K724" s="421"/>
      <c r="L724" s="421"/>
      <c r="M724" s="421"/>
      <c r="N724" s="421"/>
      <c r="O724" s="421"/>
      <c r="P724" s="421"/>
      <c r="Q724" s="421"/>
    </row>
    <row r="725" spans="1:17" ht="15.75" customHeight="1" x14ac:dyDescent="0.2">
      <c r="A725" s="420"/>
      <c r="B725" s="421"/>
      <c r="C725" s="421"/>
      <c r="G725" s="421"/>
      <c r="H725" s="421"/>
      <c r="I725" s="421"/>
      <c r="J725" s="421"/>
      <c r="K725" s="421"/>
      <c r="L725" s="421"/>
      <c r="M725" s="421"/>
      <c r="N725" s="421"/>
      <c r="O725" s="421"/>
      <c r="P725" s="421"/>
      <c r="Q725" s="421"/>
    </row>
    <row r="726" spans="1:17" ht="15.75" customHeight="1" x14ac:dyDescent="0.2">
      <c r="A726" s="420"/>
      <c r="B726" s="421"/>
      <c r="C726" s="421"/>
      <c r="G726" s="421"/>
      <c r="H726" s="421"/>
      <c r="I726" s="421"/>
      <c r="J726" s="421"/>
      <c r="K726" s="421"/>
      <c r="L726" s="421"/>
      <c r="M726" s="421"/>
      <c r="N726" s="421"/>
      <c r="O726" s="421"/>
      <c r="P726" s="421"/>
      <c r="Q726" s="421"/>
    </row>
    <row r="727" spans="1:17" ht="15.75" customHeight="1" x14ac:dyDescent="0.2">
      <c r="A727" s="420"/>
      <c r="B727" s="421"/>
      <c r="C727" s="421"/>
      <c r="G727" s="421"/>
      <c r="H727" s="421"/>
      <c r="I727" s="421"/>
      <c r="J727" s="421"/>
      <c r="K727" s="421"/>
      <c r="L727" s="421"/>
      <c r="M727" s="421"/>
      <c r="N727" s="421"/>
      <c r="O727" s="421"/>
      <c r="P727" s="421"/>
      <c r="Q727" s="421"/>
    </row>
    <row r="728" spans="1:17" ht="15.75" customHeight="1" x14ac:dyDescent="0.2">
      <c r="A728" s="420"/>
      <c r="B728" s="421"/>
      <c r="C728" s="421"/>
      <c r="G728" s="421"/>
      <c r="H728" s="421"/>
      <c r="I728" s="421"/>
      <c r="J728" s="421"/>
      <c r="K728" s="421"/>
      <c r="L728" s="421"/>
      <c r="M728" s="421"/>
      <c r="N728" s="421"/>
      <c r="O728" s="421"/>
      <c r="P728" s="421"/>
      <c r="Q728" s="421"/>
    </row>
    <row r="729" spans="1:17" ht="15.75" customHeight="1" x14ac:dyDescent="0.2">
      <c r="A729" s="420"/>
      <c r="B729" s="421"/>
      <c r="C729" s="421"/>
      <c r="G729" s="421"/>
      <c r="H729" s="421"/>
      <c r="I729" s="421"/>
      <c r="J729" s="421"/>
      <c r="K729" s="421"/>
      <c r="L729" s="421"/>
      <c r="M729" s="421"/>
      <c r="N729" s="421"/>
      <c r="O729" s="421"/>
      <c r="P729" s="421"/>
      <c r="Q729" s="421"/>
    </row>
    <row r="730" spans="1:17" ht="15.75" customHeight="1" x14ac:dyDescent="0.2">
      <c r="A730" s="420"/>
      <c r="B730" s="421"/>
      <c r="C730" s="421"/>
      <c r="G730" s="421"/>
      <c r="H730" s="421"/>
      <c r="I730" s="421"/>
      <c r="J730" s="421"/>
      <c r="K730" s="421"/>
      <c r="L730" s="421"/>
      <c r="M730" s="421"/>
      <c r="N730" s="421"/>
      <c r="O730" s="421"/>
      <c r="P730" s="421"/>
      <c r="Q730" s="421"/>
    </row>
    <row r="731" spans="1:17" ht="15.75" customHeight="1" x14ac:dyDescent="0.2">
      <c r="A731" s="420"/>
      <c r="B731" s="421"/>
      <c r="C731" s="421"/>
      <c r="G731" s="421"/>
      <c r="H731" s="421"/>
      <c r="I731" s="421"/>
      <c r="J731" s="421"/>
      <c r="K731" s="421"/>
      <c r="L731" s="421"/>
      <c r="M731" s="421"/>
      <c r="N731" s="421"/>
      <c r="O731" s="421"/>
      <c r="P731" s="421"/>
      <c r="Q731" s="421"/>
    </row>
    <row r="732" spans="1:17" ht="15.75" customHeight="1" x14ac:dyDescent="0.2">
      <c r="A732" s="420"/>
      <c r="B732" s="421"/>
      <c r="C732" s="421"/>
      <c r="G732" s="421"/>
      <c r="H732" s="421"/>
      <c r="I732" s="421"/>
      <c r="J732" s="421"/>
      <c r="K732" s="421"/>
      <c r="L732" s="421"/>
      <c r="M732" s="421"/>
      <c r="N732" s="421"/>
      <c r="O732" s="421"/>
      <c r="P732" s="421"/>
      <c r="Q732" s="421"/>
    </row>
    <row r="733" spans="1:17" ht="15.75" customHeight="1" x14ac:dyDescent="0.2">
      <c r="A733" s="420"/>
      <c r="B733" s="421"/>
      <c r="C733" s="421"/>
      <c r="G733" s="421"/>
      <c r="H733" s="421"/>
      <c r="I733" s="421"/>
      <c r="J733" s="421"/>
      <c r="K733" s="421"/>
      <c r="L733" s="421"/>
      <c r="M733" s="421"/>
      <c r="N733" s="421"/>
      <c r="O733" s="421"/>
      <c r="P733" s="421"/>
      <c r="Q733" s="421"/>
    </row>
    <row r="734" spans="1:17" ht="15.75" customHeight="1" x14ac:dyDescent="0.2">
      <c r="A734" s="420"/>
      <c r="B734" s="421"/>
      <c r="C734" s="421"/>
      <c r="G734" s="421"/>
      <c r="H734" s="421"/>
      <c r="I734" s="421"/>
      <c r="J734" s="421"/>
      <c r="K734" s="421"/>
      <c r="L734" s="421"/>
      <c r="M734" s="421"/>
      <c r="N734" s="421"/>
      <c r="O734" s="421"/>
      <c r="P734" s="421"/>
      <c r="Q734" s="421"/>
    </row>
    <row r="735" spans="1:17" ht="15.75" customHeight="1" x14ac:dyDescent="0.2">
      <c r="A735" s="420"/>
      <c r="B735" s="421"/>
      <c r="C735" s="421"/>
      <c r="G735" s="421"/>
      <c r="H735" s="421"/>
      <c r="I735" s="421"/>
      <c r="J735" s="421"/>
      <c r="K735" s="421"/>
      <c r="L735" s="421"/>
      <c r="M735" s="421"/>
      <c r="N735" s="421"/>
      <c r="O735" s="421"/>
      <c r="P735" s="421"/>
      <c r="Q735" s="421"/>
    </row>
    <row r="736" spans="1:17" ht="15.75" customHeight="1" x14ac:dyDescent="0.2">
      <c r="A736" s="420"/>
      <c r="B736" s="421"/>
      <c r="C736" s="421"/>
      <c r="G736" s="421"/>
      <c r="H736" s="421"/>
      <c r="I736" s="421"/>
      <c r="J736" s="421"/>
      <c r="K736" s="421"/>
      <c r="L736" s="421"/>
      <c r="M736" s="421"/>
      <c r="N736" s="421"/>
      <c r="O736" s="421"/>
      <c r="P736" s="421"/>
      <c r="Q736" s="421"/>
    </row>
    <row r="737" spans="1:17" ht="15.75" customHeight="1" x14ac:dyDescent="0.2">
      <c r="A737" s="420"/>
      <c r="B737" s="421"/>
      <c r="C737" s="421"/>
      <c r="G737" s="421"/>
      <c r="H737" s="421"/>
      <c r="I737" s="421"/>
      <c r="J737" s="421"/>
      <c r="K737" s="421"/>
      <c r="L737" s="421"/>
      <c r="M737" s="421"/>
      <c r="N737" s="421"/>
      <c r="O737" s="421"/>
      <c r="P737" s="421"/>
      <c r="Q737" s="421"/>
    </row>
    <row r="738" spans="1:17" ht="15.75" customHeight="1" x14ac:dyDescent="0.2">
      <c r="A738" s="420"/>
      <c r="B738" s="421"/>
      <c r="C738" s="421"/>
      <c r="G738" s="421"/>
      <c r="H738" s="421"/>
      <c r="I738" s="421"/>
      <c r="J738" s="421"/>
      <c r="K738" s="421"/>
      <c r="L738" s="421"/>
      <c r="M738" s="421"/>
      <c r="N738" s="421"/>
      <c r="O738" s="421"/>
      <c r="P738" s="421"/>
      <c r="Q738" s="421"/>
    </row>
    <row r="739" spans="1:17" ht="15.75" customHeight="1" x14ac:dyDescent="0.2">
      <c r="A739" s="420"/>
      <c r="B739" s="421"/>
      <c r="C739" s="421"/>
      <c r="G739" s="421"/>
      <c r="H739" s="421"/>
      <c r="I739" s="421"/>
      <c r="J739" s="421"/>
      <c r="K739" s="421"/>
      <c r="L739" s="421"/>
      <c r="M739" s="421"/>
      <c r="N739" s="421"/>
      <c r="O739" s="421"/>
      <c r="P739" s="421"/>
      <c r="Q739" s="421"/>
    </row>
    <row r="740" spans="1:17" ht="15.75" customHeight="1" x14ac:dyDescent="0.2">
      <c r="A740" s="420"/>
      <c r="B740" s="421"/>
      <c r="C740" s="421"/>
      <c r="G740" s="421"/>
      <c r="H740" s="421"/>
      <c r="I740" s="421"/>
      <c r="J740" s="421"/>
      <c r="K740" s="421"/>
      <c r="L740" s="421"/>
      <c r="M740" s="421"/>
      <c r="N740" s="421"/>
      <c r="O740" s="421"/>
      <c r="P740" s="421"/>
      <c r="Q740" s="421"/>
    </row>
    <row r="741" spans="1:17" ht="15.75" customHeight="1" x14ac:dyDescent="0.2">
      <c r="A741" s="420"/>
      <c r="B741" s="421"/>
      <c r="C741" s="421"/>
      <c r="G741" s="421"/>
      <c r="H741" s="421"/>
      <c r="I741" s="421"/>
      <c r="J741" s="421"/>
      <c r="K741" s="421"/>
      <c r="L741" s="421"/>
      <c r="M741" s="421"/>
      <c r="N741" s="421"/>
      <c r="O741" s="421"/>
      <c r="P741" s="421"/>
      <c r="Q741" s="421"/>
    </row>
    <row r="742" spans="1:17" ht="15.75" customHeight="1" x14ac:dyDescent="0.2">
      <c r="A742" s="420"/>
      <c r="B742" s="421"/>
      <c r="C742" s="421"/>
      <c r="G742" s="421"/>
      <c r="H742" s="421"/>
      <c r="I742" s="421"/>
      <c r="J742" s="421"/>
      <c r="K742" s="421"/>
      <c r="L742" s="421"/>
      <c r="M742" s="421"/>
      <c r="N742" s="421"/>
      <c r="O742" s="421"/>
      <c r="P742" s="421"/>
      <c r="Q742" s="421"/>
    </row>
    <row r="743" spans="1:17" ht="15.75" customHeight="1" x14ac:dyDescent="0.2">
      <c r="A743" s="420"/>
      <c r="B743" s="421"/>
      <c r="C743" s="421"/>
      <c r="G743" s="421"/>
      <c r="H743" s="421"/>
      <c r="I743" s="421"/>
      <c r="J743" s="421"/>
      <c r="K743" s="421"/>
      <c r="L743" s="421"/>
      <c r="M743" s="421"/>
      <c r="N743" s="421"/>
      <c r="O743" s="421"/>
      <c r="P743" s="421"/>
      <c r="Q743" s="421"/>
    </row>
    <row r="744" spans="1:17" ht="15.75" customHeight="1" x14ac:dyDescent="0.2">
      <c r="A744" s="420"/>
      <c r="B744" s="421"/>
      <c r="C744" s="421"/>
      <c r="G744" s="421"/>
      <c r="H744" s="421"/>
      <c r="I744" s="421"/>
      <c r="J744" s="421"/>
      <c r="K744" s="421"/>
      <c r="L744" s="421"/>
      <c r="M744" s="421"/>
      <c r="N744" s="421"/>
      <c r="O744" s="421"/>
      <c r="P744" s="421"/>
      <c r="Q744" s="421"/>
    </row>
    <row r="745" spans="1:17" ht="15.75" customHeight="1" x14ac:dyDescent="0.2">
      <c r="A745" s="420"/>
      <c r="B745" s="421"/>
      <c r="C745" s="421"/>
      <c r="G745" s="421"/>
      <c r="H745" s="421"/>
      <c r="I745" s="421"/>
      <c r="J745" s="421"/>
      <c r="K745" s="421"/>
      <c r="L745" s="421"/>
      <c r="M745" s="421"/>
      <c r="N745" s="421"/>
      <c r="O745" s="421"/>
      <c r="P745" s="421"/>
      <c r="Q745" s="421"/>
    </row>
    <row r="746" spans="1:17" ht="15.75" customHeight="1" x14ac:dyDescent="0.2">
      <c r="A746" s="420"/>
      <c r="B746" s="421"/>
      <c r="C746" s="421"/>
      <c r="G746" s="421"/>
      <c r="H746" s="421"/>
      <c r="I746" s="421"/>
      <c r="J746" s="421"/>
      <c r="K746" s="421"/>
      <c r="L746" s="421"/>
      <c r="M746" s="421"/>
      <c r="N746" s="421"/>
      <c r="O746" s="421"/>
      <c r="P746" s="421"/>
      <c r="Q746" s="421"/>
    </row>
    <row r="747" spans="1:17" ht="15.75" customHeight="1" x14ac:dyDescent="0.2">
      <c r="A747" s="420"/>
      <c r="B747" s="421"/>
      <c r="C747" s="421"/>
      <c r="G747" s="421"/>
      <c r="H747" s="421"/>
      <c r="I747" s="421"/>
      <c r="J747" s="421"/>
      <c r="K747" s="421"/>
      <c r="L747" s="421"/>
      <c r="M747" s="421"/>
      <c r="N747" s="421"/>
      <c r="O747" s="421"/>
      <c r="P747" s="421"/>
      <c r="Q747" s="421"/>
    </row>
    <row r="748" spans="1:17" ht="15.75" customHeight="1" x14ac:dyDescent="0.2">
      <c r="A748" s="420"/>
      <c r="B748" s="421"/>
      <c r="C748" s="421"/>
      <c r="G748" s="421"/>
      <c r="H748" s="421"/>
      <c r="I748" s="421"/>
      <c r="J748" s="421"/>
      <c r="K748" s="421"/>
      <c r="L748" s="421"/>
      <c r="M748" s="421"/>
      <c r="N748" s="421"/>
      <c r="O748" s="421"/>
      <c r="P748" s="421"/>
      <c r="Q748" s="421"/>
    </row>
    <row r="749" spans="1:17" ht="15.75" customHeight="1" x14ac:dyDescent="0.2">
      <c r="A749" s="420"/>
      <c r="B749" s="421"/>
      <c r="C749" s="421"/>
      <c r="G749" s="421"/>
      <c r="H749" s="421"/>
      <c r="I749" s="421"/>
      <c r="J749" s="421"/>
      <c r="K749" s="421"/>
      <c r="L749" s="421"/>
      <c r="M749" s="421"/>
      <c r="N749" s="421"/>
      <c r="O749" s="421"/>
      <c r="P749" s="421"/>
      <c r="Q749" s="421"/>
    </row>
    <row r="750" spans="1:17" ht="15.75" customHeight="1" x14ac:dyDescent="0.2">
      <c r="A750" s="420"/>
      <c r="B750" s="421"/>
      <c r="C750" s="421"/>
      <c r="G750" s="421"/>
      <c r="H750" s="421"/>
      <c r="I750" s="421"/>
      <c r="J750" s="421"/>
      <c r="K750" s="421"/>
      <c r="L750" s="421"/>
      <c r="M750" s="421"/>
      <c r="N750" s="421"/>
      <c r="O750" s="421"/>
      <c r="P750" s="421"/>
      <c r="Q750" s="421"/>
    </row>
    <row r="751" spans="1:17" ht="15.75" customHeight="1" x14ac:dyDescent="0.2">
      <c r="A751" s="420"/>
      <c r="B751" s="421"/>
      <c r="C751" s="421"/>
      <c r="G751" s="421"/>
      <c r="H751" s="421"/>
      <c r="I751" s="421"/>
      <c r="J751" s="421"/>
      <c r="K751" s="421"/>
      <c r="L751" s="421"/>
      <c r="M751" s="421"/>
      <c r="N751" s="421"/>
      <c r="O751" s="421"/>
      <c r="P751" s="421"/>
      <c r="Q751" s="421"/>
    </row>
    <row r="752" spans="1:17" ht="15.75" customHeight="1" x14ac:dyDescent="0.2">
      <c r="A752" s="420"/>
      <c r="B752" s="421"/>
      <c r="C752" s="421"/>
      <c r="G752" s="421"/>
      <c r="H752" s="421"/>
      <c r="I752" s="421"/>
      <c r="J752" s="421"/>
      <c r="K752" s="421"/>
      <c r="L752" s="421"/>
      <c r="M752" s="421"/>
      <c r="N752" s="421"/>
      <c r="O752" s="421"/>
      <c r="P752" s="421"/>
      <c r="Q752" s="421"/>
    </row>
    <row r="753" spans="1:17" ht="15.75" customHeight="1" x14ac:dyDescent="0.2">
      <c r="A753" s="420"/>
      <c r="B753" s="421"/>
      <c r="C753" s="421"/>
      <c r="G753" s="421"/>
      <c r="H753" s="421"/>
      <c r="I753" s="421"/>
      <c r="J753" s="421"/>
      <c r="K753" s="421"/>
      <c r="L753" s="421"/>
      <c r="M753" s="421"/>
      <c r="N753" s="421"/>
      <c r="O753" s="421"/>
      <c r="P753" s="421"/>
      <c r="Q753" s="421"/>
    </row>
    <row r="754" spans="1:17" ht="15.75" customHeight="1" x14ac:dyDescent="0.2">
      <c r="A754" s="420"/>
      <c r="B754" s="421"/>
      <c r="C754" s="421"/>
      <c r="G754" s="421"/>
      <c r="H754" s="421"/>
      <c r="I754" s="421"/>
      <c r="J754" s="421"/>
      <c r="K754" s="421"/>
      <c r="L754" s="421"/>
      <c r="M754" s="421"/>
      <c r="N754" s="421"/>
      <c r="O754" s="421"/>
      <c r="P754" s="421"/>
      <c r="Q754" s="421"/>
    </row>
    <row r="755" spans="1:17" ht="15.75" customHeight="1" x14ac:dyDescent="0.2">
      <c r="A755" s="420"/>
      <c r="B755" s="421"/>
      <c r="C755" s="421"/>
      <c r="G755" s="421"/>
      <c r="H755" s="421"/>
      <c r="I755" s="421"/>
      <c r="J755" s="421"/>
      <c r="K755" s="421"/>
      <c r="L755" s="421"/>
      <c r="M755" s="421"/>
      <c r="N755" s="421"/>
      <c r="O755" s="421"/>
      <c r="P755" s="421"/>
      <c r="Q755" s="421"/>
    </row>
    <row r="756" spans="1:17" ht="15.75" customHeight="1" x14ac:dyDescent="0.2">
      <c r="A756" s="420"/>
      <c r="B756" s="421"/>
      <c r="C756" s="421"/>
      <c r="G756" s="421"/>
      <c r="H756" s="421"/>
      <c r="I756" s="421"/>
      <c r="J756" s="421"/>
      <c r="K756" s="421"/>
      <c r="L756" s="421"/>
      <c r="M756" s="421"/>
      <c r="N756" s="421"/>
      <c r="O756" s="421"/>
      <c r="P756" s="421"/>
      <c r="Q756" s="421"/>
    </row>
    <row r="757" spans="1:17" ht="15.75" customHeight="1" x14ac:dyDescent="0.2">
      <c r="A757" s="420"/>
      <c r="B757" s="421"/>
      <c r="C757" s="421"/>
      <c r="G757" s="421"/>
      <c r="H757" s="421"/>
      <c r="I757" s="421"/>
      <c r="J757" s="421"/>
      <c r="K757" s="421"/>
      <c r="L757" s="421"/>
      <c r="M757" s="421"/>
      <c r="N757" s="421"/>
      <c r="O757" s="421"/>
      <c r="P757" s="421"/>
      <c r="Q757" s="421"/>
    </row>
    <row r="758" spans="1:17" ht="15.75" customHeight="1" x14ac:dyDescent="0.2">
      <c r="A758" s="420"/>
      <c r="B758" s="421"/>
      <c r="C758" s="421"/>
      <c r="G758" s="421"/>
      <c r="H758" s="421"/>
      <c r="I758" s="421"/>
      <c r="J758" s="421"/>
      <c r="K758" s="421"/>
      <c r="L758" s="421"/>
      <c r="M758" s="421"/>
      <c r="N758" s="421"/>
      <c r="O758" s="421"/>
      <c r="P758" s="421"/>
      <c r="Q758" s="421"/>
    </row>
    <row r="759" spans="1:17" ht="15.75" customHeight="1" x14ac:dyDescent="0.2">
      <c r="A759" s="420"/>
      <c r="B759" s="421"/>
      <c r="C759" s="421"/>
      <c r="G759" s="421"/>
      <c r="H759" s="421"/>
      <c r="I759" s="421"/>
      <c r="J759" s="421"/>
      <c r="K759" s="421"/>
      <c r="L759" s="421"/>
      <c r="M759" s="421"/>
      <c r="N759" s="421"/>
      <c r="O759" s="421"/>
      <c r="P759" s="421"/>
      <c r="Q759" s="421"/>
    </row>
    <row r="760" spans="1:17" ht="15.75" customHeight="1" x14ac:dyDescent="0.2">
      <c r="A760" s="420"/>
      <c r="B760" s="421"/>
      <c r="C760" s="421"/>
      <c r="G760" s="421"/>
      <c r="H760" s="421"/>
      <c r="I760" s="421"/>
      <c r="J760" s="421"/>
      <c r="K760" s="421"/>
      <c r="L760" s="421"/>
      <c r="M760" s="421"/>
      <c r="N760" s="421"/>
      <c r="O760" s="421"/>
      <c r="P760" s="421"/>
      <c r="Q760" s="421"/>
    </row>
    <row r="761" spans="1:17" ht="15.75" customHeight="1" x14ac:dyDescent="0.2">
      <c r="A761" s="420"/>
      <c r="B761" s="421"/>
      <c r="C761" s="421"/>
      <c r="G761" s="421"/>
      <c r="H761" s="421"/>
      <c r="I761" s="421"/>
      <c r="J761" s="421"/>
      <c r="K761" s="421"/>
      <c r="L761" s="421"/>
      <c r="M761" s="421"/>
      <c r="N761" s="421"/>
      <c r="O761" s="421"/>
      <c r="P761" s="421"/>
      <c r="Q761" s="421"/>
    </row>
    <row r="762" spans="1:17" ht="15.75" customHeight="1" x14ac:dyDescent="0.2">
      <c r="A762" s="420"/>
      <c r="B762" s="421"/>
      <c r="C762" s="421"/>
      <c r="G762" s="421"/>
      <c r="H762" s="421"/>
      <c r="I762" s="421"/>
      <c r="J762" s="421"/>
      <c r="K762" s="421"/>
      <c r="L762" s="421"/>
      <c r="M762" s="421"/>
      <c r="N762" s="421"/>
      <c r="O762" s="421"/>
      <c r="P762" s="421"/>
      <c r="Q762" s="421"/>
    </row>
    <row r="763" spans="1:17" ht="15.75" customHeight="1" x14ac:dyDescent="0.2">
      <c r="A763" s="420"/>
      <c r="B763" s="421"/>
      <c r="C763" s="421"/>
      <c r="G763" s="421"/>
      <c r="H763" s="421"/>
      <c r="I763" s="421"/>
      <c r="J763" s="421"/>
      <c r="K763" s="421"/>
      <c r="L763" s="421"/>
      <c r="M763" s="421"/>
      <c r="N763" s="421"/>
      <c r="O763" s="421"/>
      <c r="P763" s="421"/>
      <c r="Q763" s="421"/>
    </row>
    <row r="764" spans="1:17" ht="15.75" customHeight="1" x14ac:dyDescent="0.2">
      <c r="A764" s="420"/>
      <c r="B764" s="421"/>
      <c r="C764" s="421"/>
      <c r="G764" s="421"/>
      <c r="H764" s="421"/>
      <c r="I764" s="421"/>
      <c r="J764" s="421"/>
      <c r="K764" s="421"/>
      <c r="L764" s="421"/>
      <c r="M764" s="421"/>
      <c r="N764" s="421"/>
      <c r="O764" s="421"/>
      <c r="P764" s="421"/>
      <c r="Q764" s="421"/>
    </row>
    <row r="765" spans="1:17" ht="15.75" customHeight="1" x14ac:dyDescent="0.2">
      <c r="A765" s="420"/>
      <c r="B765" s="421"/>
      <c r="C765" s="421"/>
      <c r="G765" s="421"/>
      <c r="H765" s="421"/>
      <c r="I765" s="421"/>
      <c r="J765" s="421"/>
      <c r="K765" s="421"/>
      <c r="L765" s="421"/>
      <c r="M765" s="421"/>
      <c r="N765" s="421"/>
      <c r="O765" s="421"/>
      <c r="P765" s="421"/>
      <c r="Q765" s="421"/>
    </row>
    <row r="766" spans="1:17" ht="15.75" customHeight="1" x14ac:dyDescent="0.2">
      <c r="A766" s="420"/>
      <c r="B766" s="421"/>
      <c r="C766" s="421"/>
      <c r="G766" s="421"/>
      <c r="H766" s="421"/>
      <c r="I766" s="421"/>
      <c r="J766" s="421"/>
      <c r="K766" s="421"/>
      <c r="L766" s="421"/>
      <c r="M766" s="421"/>
      <c r="N766" s="421"/>
      <c r="O766" s="421"/>
      <c r="P766" s="421"/>
      <c r="Q766" s="421"/>
    </row>
    <row r="767" spans="1:17" ht="15.75" customHeight="1" x14ac:dyDescent="0.2">
      <c r="A767" s="420"/>
      <c r="B767" s="421"/>
      <c r="C767" s="421"/>
      <c r="G767" s="421"/>
      <c r="H767" s="421"/>
      <c r="I767" s="421"/>
      <c r="J767" s="421"/>
      <c r="K767" s="421"/>
      <c r="L767" s="421"/>
      <c r="M767" s="421"/>
      <c r="N767" s="421"/>
      <c r="O767" s="421"/>
      <c r="P767" s="421"/>
      <c r="Q767" s="421"/>
    </row>
    <row r="768" spans="1:17" ht="15.75" customHeight="1" x14ac:dyDescent="0.2">
      <c r="A768" s="420"/>
      <c r="B768" s="421"/>
      <c r="C768" s="421"/>
      <c r="G768" s="421"/>
      <c r="H768" s="421"/>
      <c r="I768" s="421"/>
      <c r="J768" s="421"/>
      <c r="K768" s="421"/>
      <c r="L768" s="421"/>
      <c r="M768" s="421"/>
      <c r="N768" s="421"/>
      <c r="O768" s="421"/>
      <c r="P768" s="421"/>
      <c r="Q768" s="421"/>
    </row>
    <row r="769" spans="1:17" ht="15.75" customHeight="1" x14ac:dyDescent="0.2">
      <c r="A769" s="420"/>
      <c r="B769" s="421"/>
      <c r="C769" s="421"/>
      <c r="G769" s="421"/>
      <c r="H769" s="421"/>
      <c r="I769" s="421"/>
      <c r="J769" s="421"/>
      <c r="K769" s="421"/>
      <c r="L769" s="421"/>
      <c r="M769" s="421"/>
      <c r="N769" s="421"/>
      <c r="O769" s="421"/>
      <c r="P769" s="421"/>
      <c r="Q769" s="421"/>
    </row>
    <row r="770" spans="1:17" ht="15.75" customHeight="1" x14ac:dyDescent="0.2">
      <c r="A770" s="420"/>
      <c r="B770" s="421"/>
      <c r="C770" s="421"/>
      <c r="G770" s="421"/>
      <c r="H770" s="421"/>
      <c r="I770" s="421"/>
      <c r="J770" s="421"/>
      <c r="K770" s="421"/>
      <c r="L770" s="421"/>
      <c r="M770" s="421"/>
      <c r="N770" s="421"/>
      <c r="O770" s="421"/>
      <c r="P770" s="421"/>
      <c r="Q770" s="421"/>
    </row>
    <row r="771" spans="1:17" ht="15.75" customHeight="1" x14ac:dyDescent="0.2">
      <c r="A771" s="420"/>
      <c r="B771" s="421"/>
      <c r="C771" s="421"/>
      <c r="G771" s="421"/>
      <c r="H771" s="421"/>
      <c r="I771" s="421"/>
      <c r="J771" s="421"/>
      <c r="K771" s="421"/>
      <c r="L771" s="421"/>
      <c r="M771" s="421"/>
      <c r="N771" s="421"/>
      <c r="O771" s="421"/>
      <c r="P771" s="421"/>
      <c r="Q771" s="421"/>
    </row>
    <row r="772" spans="1:17" ht="15.75" customHeight="1" x14ac:dyDescent="0.2">
      <c r="A772" s="420"/>
      <c r="B772" s="421"/>
      <c r="C772" s="421"/>
      <c r="G772" s="421"/>
      <c r="H772" s="421"/>
      <c r="I772" s="421"/>
      <c r="J772" s="421"/>
      <c r="K772" s="421"/>
      <c r="L772" s="421"/>
      <c r="M772" s="421"/>
      <c r="N772" s="421"/>
      <c r="O772" s="421"/>
      <c r="P772" s="421"/>
      <c r="Q772" s="421"/>
    </row>
    <row r="773" spans="1:17" ht="15.75" customHeight="1" x14ac:dyDescent="0.2">
      <c r="A773" s="420"/>
      <c r="B773" s="421"/>
      <c r="C773" s="421"/>
      <c r="G773" s="421"/>
      <c r="H773" s="421"/>
      <c r="I773" s="421"/>
      <c r="J773" s="421"/>
      <c r="K773" s="421"/>
      <c r="L773" s="421"/>
      <c r="M773" s="421"/>
      <c r="N773" s="421"/>
      <c r="O773" s="421"/>
      <c r="P773" s="421"/>
      <c r="Q773" s="421"/>
    </row>
    <row r="774" spans="1:17" ht="15.75" customHeight="1" x14ac:dyDescent="0.2">
      <c r="A774" s="420"/>
      <c r="B774" s="421"/>
      <c r="C774" s="421"/>
      <c r="G774" s="421"/>
      <c r="H774" s="421"/>
      <c r="I774" s="421"/>
      <c r="J774" s="421"/>
      <c r="K774" s="421"/>
      <c r="L774" s="421"/>
      <c r="M774" s="421"/>
      <c r="N774" s="421"/>
      <c r="O774" s="421"/>
      <c r="P774" s="421"/>
      <c r="Q774" s="421"/>
    </row>
    <row r="775" spans="1:17" ht="15.75" customHeight="1" x14ac:dyDescent="0.2">
      <c r="A775" s="420"/>
      <c r="B775" s="421"/>
      <c r="C775" s="421"/>
      <c r="G775" s="421"/>
      <c r="H775" s="421"/>
      <c r="I775" s="421"/>
      <c r="J775" s="421"/>
      <c r="K775" s="421"/>
      <c r="L775" s="421"/>
      <c r="M775" s="421"/>
      <c r="N775" s="421"/>
      <c r="O775" s="421"/>
      <c r="P775" s="421"/>
      <c r="Q775" s="421"/>
    </row>
    <row r="776" spans="1:17" ht="15.75" customHeight="1" x14ac:dyDescent="0.2">
      <c r="A776" s="420"/>
      <c r="B776" s="421"/>
      <c r="C776" s="421"/>
      <c r="G776" s="421"/>
      <c r="H776" s="421"/>
      <c r="I776" s="421"/>
      <c r="J776" s="421"/>
      <c r="K776" s="421"/>
      <c r="L776" s="421"/>
      <c r="M776" s="421"/>
      <c r="N776" s="421"/>
      <c r="O776" s="421"/>
      <c r="P776" s="421"/>
      <c r="Q776" s="421"/>
    </row>
    <row r="777" spans="1:17" ht="15.75" customHeight="1" x14ac:dyDescent="0.2">
      <c r="A777" s="420"/>
      <c r="B777" s="421"/>
      <c r="C777" s="421"/>
      <c r="G777" s="421"/>
      <c r="H777" s="421"/>
      <c r="I777" s="421"/>
      <c r="J777" s="421"/>
      <c r="K777" s="421"/>
      <c r="L777" s="421"/>
      <c r="M777" s="421"/>
      <c r="N777" s="421"/>
      <c r="O777" s="421"/>
      <c r="P777" s="421"/>
      <c r="Q777" s="421"/>
    </row>
    <row r="778" spans="1:17" ht="15.75" customHeight="1" x14ac:dyDescent="0.2">
      <c r="A778" s="420"/>
      <c r="B778" s="421"/>
      <c r="C778" s="421"/>
      <c r="G778" s="421"/>
      <c r="H778" s="421"/>
      <c r="I778" s="421"/>
      <c r="J778" s="421"/>
      <c r="K778" s="421"/>
      <c r="L778" s="421"/>
      <c r="M778" s="421"/>
      <c r="N778" s="421"/>
      <c r="O778" s="421"/>
      <c r="P778" s="421"/>
      <c r="Q778" s="421"/>
    </row>
    <row r="779" spans="1:17" ht="15.75" customHeight="1" x14ac:dyDescent="0.2">
      <c r="A779" s="420"/>
      <c r="B779" s="421"/>
      <c r="C779" s="421"/>
      <c r="G779" s="421"/>
      <c r="H779" s="421"/>
      <c r="I779" s="421"/>
      <c r="J779" s="421"/>
      <c r="K779" s="421"/>
      <c r="L779" s="421"/>
      <c r="M779" s="421"/>
      <c r="N779" s="421"/>
      <c r="O779" s="421"/>
      <c r="P779" s="421"/>
      <c r="Q779" s="421"/>
    </row>
    <row r="780" spans="1:17" ht="15.75" customHeight="1" x14ac:dyDescent="0.2">
      <c r="A780" s="420"/>
      <c r="B780" s="421"/>
      <c r="C780" s="421"/>
      <c r="G780" s="421"/>
      <c r="H780" s="421"/>
      <c r="I780" s="421"/>
      <c r="J780" s="421"/>
      <c r="K780" s="421"/>
      <c r="L780" s="421"/>
      <c r="M780" s="421"/>
      <c r="N780" s="421"/>
      <c r="O780" s="421"/>
      <c r="P780" s="421"/>
      <c r="Q780" s="421"/>
    </row>
    <row r="781" spans="1:17" ht="15.75" customHeight="1" x14ac:dyDescent="0.2">
      <c r="A781" s="420"/>
      <c r="B781" s="421"/>
      <c r="C781" s="421"/>
      <c r="G781" s="421"/>
      <c r="H781" s="421"/>
      <c r="I781" s="421"/>
      <c r="J781" s="421"/>
      <c r="K781" s="421"/>
      <c r="L781" s="421"/>
      <c r="M781" s="421"/>
      <c r="N781" s="421"/>
      <c r="O781" s="421"/>
      <c r="P781" s="421"/>
      <c r="Q781" s="421"/>
    </row>
    <row r="782" spans="1:17" ht="15.75" customHeight="1" x14ac:dyDescent="0.2">
      <c r="A782" s="420"/>
      <c r="B782" s="421"/>
      <c r="C782" s="421"/>
      <c r="G782" s="421"/>
      <c r="H782" s="421"/>
      <c r="I782" s="421"/>
      <c r="J782" s="421"/>
      <c r="K782" s="421"/>
      <c r="L782" s="421"/>
      <c r="M782" s="421"/>
      <c r="N782" s="421"/>
      <c r="O782" s="421"/>
      <c r="P782" s="421"/>
      <c r="Q782" s="421"/>
    </row>
    <row r="783" spans="1:17" ht="15.75" customHeight="1" x14ac:dyDescent="0.2">
      <c r="A783" s="420"/>
      <c r="B783" s="421"/>
      <c r="C783" s="421"/>
      <c r="G783" s="421"/>
      <c r="H783" s="421"/>
      <c r="I783" s="421"/>
      <c r="J783" s="421"/>
      <c r="K783" s="421"/>
      <c r="L783" s="421"/>
      <c r="M783" s="421"/>
      <c r="N783" s="421"/>
      <c r="O783" s="421"/>
      <c r="P783" s="421"/>
      <c r="Q783" s="421"/>
    </row>
    <row r="784" spans="1:17" ht="15.75" customHeight="1" x14ac:dyDescent="0.2">
      <c r="A784" s="420"/>
      <c r="B784" s="421"/>
      <c r="C784" s="421"/>
      <c r="G784" s="421"/>
      <c r="H784" s="421"/>
      <c r="I784" s="421"/>
      <c r="J784" s="421"/>
      <c r="K784" s="421"/>
      <c r="L784" s="421"/>
      <c r="M784" s="421"/>
      <c r="N784" s="421"/>
      <c r="O784" s="421"/>
      <c r="P784" s="421"/>
      <c r="Q784" s="421"/>
    </row>
    <row r="785" spans="1:17" ht="15.75" customHeight="1" x14ac:dyDescent="0.2">
      <c r="A785" s="420"/>
      <c r="B785" s="421"/>
      <c r="C785" s="421"/>
      <c r="G785" s="421"/>
      <c r="H785" s="421"/>
      <c r="I785" s="421"/>
      <c r="J785" s="421"/>
      <c r="K785" s="421"/>
      <c r="L785" s="421"/>
      <c r="M785" s="421"/>
      <c r="N785" s="421"/>
      <c r="O785" s="421"/>
      <c r="P785" s="421"/>
      <c r="Q785" s="421"/>
    </row>
    <row r="786" spans="1:17" ht="15.75" customHeight="1" x14ac:dyDescent="0.2">
      <c r="A786" s="420"/>
      <c r="B786" s="421"/>
      <c r="C786" s="421"/>
      <c r="G786" s="421"/>
      <c r="H786" s="421"/>
      <c r="I786" s="421"/>
      <c r="J786" s="421"/>
      <c r="K786" s="421"/>
      <c r="L786" s="421"/>
      <c r="M786" s="421"/>
      <c r="N786" s="421"/>
      <c r="O786" s="421"/>
      <c r="P786" s="421"/>
      <c r="Q786" s="421"/>
    </row>
    <row r="787" spans="1:17" ht="15.75" customHeight="1" x14ac:dyDescent="0.2">
      <c r="A787" s="420"/>
      <c r="B787" s="421"/>
      <c r="C787" s="421"/>
      <c r="G787" s="421"/>
      <c r="H787" s="421"/>
      <c r="I787" s="421"/>
      <c r="J787" s="421"/>
      <c r="K787" s="421"/>
      <c r="L787" s="421"/>
      <c r="M787" s="421"/>
      <c r="N787" s="421"/>
      <c r="O787" s="421"/>
      <c r="P787" s="421"/>
      <c r="Q787" s="421"/>
    </row>
    <row r="788" spans="1:17" ht="15.75" customHeight="1" x14ac:dyDescent="0.2">
      <c r="A788" s="420"/>
      <c r="B788" s="421"/>
      <c r="C788" s="421"/>
      <c r="G788" s="421"/>
      <c r="H788" s="421"/>
      <c r="I788" s="421"/>
      <c r="J788" s="421"/>
      <c r="K788" s="421"/>
      <c r="L788" s="421"/>
      <c r="M788" s="421"/>
      <c r="N788" s="421"/>
      <c r="O788" s="421"/>
      <c r="P788" s="421"/>
      <c r="Q788" s="421"/>
    </row>
    <row r="789" spans="1:17" ht="15.75" customHeight="1" x14ac:dyDescent="0.2">
      <c r="A789" s="420"/>
      <c r="B789" s="421"/>
      <c r="C789" s="421"/>
      <c r="G789" s="421"/>
      <c r="H789" s="421"/>
      <c r="I789" s="421"/>
      <c r="J789" s="421"/>
      <c r="K789" s="421"/>
      <c r="L789" s="421"/>
      <c r="M789" s="421"/>
      <c r="N789" s="421"/>
      <c r="O789" s="421"/>
      <c r="P789" s="421"/>
      <c r="Q789" s="421"/>
    </row>
    <row r="790" spans="1:17" ht="15.75" customHeight="1" x14ac:dyDescent="0.2">
      <c r="A790" s="420"/>
      <c r="B790" s="421"/>
      <c r="C790" s="421"/>
      <c r="G790" s="421"/>
      <c r="H790" s="421"/>
      <c r="I790" s="421"/>
      <c r="J790" s="421"/>
      <c r="K790" s="421"/>
      <c r="L790" s="421"/>
      <c r="M790" s="421"/>
      <c r="N790" s="421"/>
      <c r="O790" s="421"/>
      <c r="P790" s="421"/>
      <c r="Q790" s="421"/>
    </row>
    <row r="791" spans="1:17" ht="15.75" customHeight="1" x14ac:dyDescent="0.2">
      <c r="A791" s="420"/>
      <c r="B791" s="421"/>
      <c r="C791" s="421"/>
      <c r="G791" s="421"/>
      <c r="H791" s="421"/>
      <c r="I791" s="421"/>
      <c r="J791" s="421"/>
      <c r="K791" s="421"/>
      <c r="L791" s="421"/>
      <c r="M791" s="421"/>
      <c r="N791" s="421"/>
      <c r="O791" s="421"/>
      <c r="P791" s="421"/>
      <c r="Q791" s="421"/>
    </row>
    <row r="792" spans="1:17" ht="15.75" customHeight="1" x14ac:dyDescent="0.2">
      <c r="A792" s="420"/>
      <c r="B792" s="421"/>
      <c r="C792" s="421"/>
      <c r="G792" s="421"/>
      <c r="H792" s="421"/>
      <c r="I792" s="421"/>
      <c r="J792" s="421"/>
      <c r="K792" s="421"/>
      <c r="L792" s="421"/>
      <c r="M792" s="421"/>
      <c r="N792" s="421"/>
      <c r="O792" s="421"/>
      <c r="P792" s="421"/>
      <c r="Q792" s="421"/>
    </row>
    <row r="793" spans="1:17" ht="15.75" customHeight="1" x14ac:dyDescent="0.2">
      <c r="A793" s="420"/>
      <c r="B793" s="421"/>
      <c r="C793" s="421"/>
      <c r="G793" s="421"/>
      <c r="H793" s="421"/>
      <c r="I793" s="421"/>
      <c r="J793" s="421"/>
      <c r="K793" s="421"/>
      <c r="L793" s="421"/>
      <c r="M793" s="421"/>
      <c r="N793" s="421"/>
      <c r="O793" s="421"/>
      <c r="P793" s="421"/>
      <c r="Q793" s="421"/>
    </row>
    <row r="794" spans="1:17" ht="15.75" customHeight="1" x14ac:dyDescent="0.2">
      <c r="A794" s="420"/>
      <c r="B794" s="421"/>
      <c r="C794" s="421"/>
      <c r="G794" s="421"/>
      <c r="H794" s="421"/>
      <c r="I794" s="421"/>
      <c r="J794" s="421"/>
      <c r="K794" s="421"/>
      <c r="L794" s="421"/>
      <c r="M794" s="421"/>
      <c r="N794" s="421"/>
      <c r="O794" s="421"/>
      <c r="P794" s="421"/>
      <c r="Q794" s="421"/>
    </row>
    <row r="795" spans="1:17" ht="15.75" customHeight="1" x14ac:dyDescent="0.2">
      <c r="A795" s="420"/>
      <c r="B795" s="421"/>
      <c r="C795" s="421"/>
      <c r="G795" s="421"/>
      <c r="H795" s="421"/>
      <c r="I795" s="421"/>
      <c r="J795" s="421"/>
      <c r="K795" s="421"/>
      <c r="L795" s="421"/>
      <c r="M795" s="421"/>
      <c r="N795" s="421"/>
      <c r="O795" s="421"/>
      <c r="P795" s="421"/>
      <c r="Q795" s="421"/>
    </row>
    <row r="796" spans="1:17" ht="15.75" customHeight="1" x14ac:dyDescent="0.2">
      <c r="A796" s="420"/>
      <c r="B796" s="421"/>
      <c r="C796" s="421"/>
      <c r="G796" s="421"/>
      <c r="H796" s="421"/>
      <c r="I796" s="421"/>
      <c r="J796" s="421"/>
      <c r="K796" s="421"/>
      <c r="L796" s="421"/>
      <c r="M796" s="421"/>
      <c r="N796" s="421"/>
      <c r="O796" s="421"/>
      <c r="P796" s="421"/>
      <c r="Q796" s="421"/>
    </row>
    <row r="797" spans="1:17" ht="15.75" customHeight="1" x14ac:dyDescent="0.2">
      <c r="A797" s="420"/>
      <c r="B797" s="421"/>
      <c r="C797" s="421"/>
      <c r="G797" s="421"/>
      <c r="H797" s="421"/>
      <c r="I797" s="421"/>
      <c r="J797" s="421"/>
      <c r="K797" s="421"/>
      <c r="L797" s="421"/>
      <c r="M797" s="421"/>
      <c r="N797" s="421"/>
      <c r="O797" s="421"/>
      <c r="P797" s="421"/>
      <c r="Q797" s="421"/>
    </row>
    <row r="798" spans="1:17" ht="15.75" customHeight="1" x14ac:dyDescent="0.2">
      <c r="A798" s="420"/>
      <c r="B798" s="421"/>
      <c r="C798" s="421"/>
      <c r="G798" s="421"/>
      <c r="H798" s="421"/>
      <c r="I798" s="421"/>
      <c r="J798" s="421"/>
      <c r="K798" s="421"/>
      <c r="L798" s="421"/>
      <c r="M798" s="421"/>
      <c r="N798" s="421"/>
      <c r="O798" s="421"/>
      <c r="P798" s="421"/>
      <c r="Q798" s="421"/>
    </row>
    <row r="799" spans="1:17" ht="15.75" customHeight="1" x14ac:dyDescent="0.2">
      <c r="A799" s="420"/>
      <c r="B799" s="421"/>
      <c r="C799" s="421"/>
      <c r="G799" s="421"/>
      <c r="H799" s="421"/>
      <c r="I799" s="421"/>
      <c r="J799" s="421"/>
      <c r="K799" s="421"/>
      <c r="L799" s="421"/>
      <c r="M799" s="421"/>
      <c r="N799" s="421"/>
      <c r="O799" s="421"/>
      <c r="P799" s="421"/>
      <c r="Q799" s="421"/>
    </row>
    <row r="800" spans="1:17" ht="15.75" customHeight="1" x14ac:dyDescent="0.2">
      <c r="A800" s="420"/>
      <c r="B800" s="421"/>
      <c r="C800" s="421"/>
      <c r="G800" s="421"/>
      <c r="H800" s="421"/>
      <c r="I800" s="421"/>
      <c r="J800" s="421"/>
      <c r="K800" s="421"/>
      <c r="L800" s="421"/>
      <c r="M800" s="421"/>
      <c r="N800" s="421"/>
      <c r="O800" s="421"/>
      <c r="P800" s="421"/>
      <c r="Q800" s="421"/>
    </row>
    <row r="801" spans="1:17" ht="15.75" customHeight="1" x14ac:dyDescent="0.2">
      <c r="A801" s="420"/>
      <c r="B801" s="421"/>
      <c r="C801" s="421"/>
      <c r="G801" s="421"/>
      <c r="H801" s="421"/>
      <c r="I801" s="421"/>
      <c r="J801" s="421"/>
      <c r="K801" s="421"/>
      <c r="L801" s="421"/>
      <c r="M801" s="421"/>
      <c r="N801" s="421"/>
      <c r="O801" s="421"/>
      <c r="P801" s="421"/>
      <c r="Q801" s="421"/>
    </row>
    <row r="802" spans="1:17" ht="15.75" customHeight="1" x14ac:dyDescent="0.2">
      <c r="A802" s="420"/>
      <c r="B802" s="421"/>
      <c r="C802" s="421"/>
      <c r="G802" s="421"/>
      <c r="H802" s="421"/>
      <c r="I802" s="421"/>
      <c r="J802" s="421"/>
      <c r="K802" s="421"/>
      <c r="L802" s="421"/>
      <c r="M802" s="421"/>
      <c r="N802" s="421"/>
      <c r="O802" s="421"/>
      <c r="P802" s="421"/>
      <c r="Q802" s="421"/>
    </row>
    <row r="803" spans="1:17" ht="15.75" customHeight="1" x14ac:dyDescent="0.2">
      <c r="A803" s="420"/>
      <c r="B803" s="421"/>
      <c r="C803" s="421"/>
      <c r="G803" s="421"/>
      <c r="H803" s="421"/>
      <c r="I803" s="421"/>
      <c r="J803" s="421"/>
      <c r="K803" s="421"/>
      <c r="L803" s="421"/>
      <c r="M803" s="421"/>
      <c r="N803" s="421"/>
      <c r="O803" s="421"/>
      <c r="P803" s="421"/>
      <c r="Q803" s="421"/>
    </row>
    <row r="804" spans="1:17" ht="15.75" customHeight="1" x14ac:dyDescent="0.2">
      <c r="A804" s="420"/>
      <c r="B804" s="421"/>
      <c r="C804" s="421"/>
      <c r="G804" s="421"/>
      <c r="H804" s="421"/>
      <c r="I804" s="421"/>
      <c r="J804" s="421"/>
      <c r="K804" s="421"/>
      <c r="L804" s="421"/>
      <c r="M804" s="421"/>
      <c r="N804" s="421"/>
      <c r="O804" s="421"/>
      <c r="P804" s="421"/>
      <c r="Q804" s="421"/>
    </row>
    <row r="805" spans="1:17" ht="15.75" customHeight="1" x14ac:dyDescent="0.2">
      <c r="A805" s="420"/>
      <c r="B805" s="421"/>
      <c r="C805" s="421"/>
      <c r="G805" s="421"/>
      <c r="H805" s="421"/>
      <c r="I805" s="421"/>
      <c r="J805" s="421"/>
      <c r="K805" s="421"/>
      <c r="L805" s="421"/>
      <c r="M805" s="421"/>
      <c r="N805" s="421"/>
      <c r="O805" s="421"/>
      <c r="P805" s="421"/>
      <c r="Q805" s="421"/>
    </row>
    <row r="806" spans="1:17" ht="15.75" customHeight="1" x14ac:dyDescent="0.2">
      <c r="A806" s="420"/>
      <c r="B806" s="421"/>
      <c r="C806" s="421"/>
      <c r="G806" s="421"/>
      <c r="H806" s="421"/>
      <c r="I806" s="421"/>
      <c r="J806" s="421"/>
      <c r="K806" s="421"/>
      <c r="L806" s="421"/>
      <c r="M806" s="421"/>
      <c r="N806" s="421"/>
      <c r="O806" s="421"/>
      <c r="P806" s="421"/>
      <c r="Q806" s="421"/>
    </row>
    <row r="807" spans="1:17" ht="15.75" customHeight="1" x14ac:dyDescent="0.2">
      <c r="A807" s="420"/>
      <c r="B807" s="421"/>
      <c r="C807" s="421"/>
      <c r="G807" s="421"/>
      <c r="H807" s="421"/>
      <c r="I807" s="421"/>
      <c r="J807" s="421"/>
      <c r="K807" s="421"/>
      <c r="L807" s="421"/>
      <c r="M807" s="421"/>
      <c r="N807" s="421"/>
      <c r="O807" s="421"/>
      <c r="P807" s="421"/>
      <c r="Q807" s="421"/>
    </row>
    <row r="808" spans="1:17" ht="15.75" customHeight="1" x14ac:dyDescent="0.2">
      <c r="A808" s="420"/>
      <c r="B808" s="421"/>
      <c r="C808" s="421"/>
      <c r="G808" s="421"/>
      <c r="H808" s="421"/>
      <c r="I808" s="421"/>
      <c r="J808" s="421"/>
      <c r="K808" s="421"/>
      <c r="L808" s="421"/>
      <c r="M808" s="421"/>
      <c r="N808" s="421"/>
      <c r="O808" s="421"/>
      <c r="P808" s="421"/>
      <c r="Q808" s="421"/>
    </row>
    <row r="809" spans="1:17" ht="15.75" customHeight="1" x14ac:dyDescent="0.2">
      <c r="A809" s="420"/>
      <c r="B809" s="421"/>
      <c r="C809" s="421"/>
      <c r="G809" s="421"/>
      <c r="H809" s="421"/>
      <c r="I809" s="421"/>
      <c r="J809" s="421"/>
      <c r="K809" s="421"/>
      <c r="L809" s="421"/>
      <c r="M809" s="421"/>
      <c r="N809" s="421"/>
      <c r="O809" s="421"/>
      <c r="P809" s="421"/>
      <c r="Q809" s="421"/>
    </row>
    <row r="810" spans="1:17" ht="15.75" customHeight="1" x14ac:dyDescent="0.2">
      <c r="A810" s="420"/>
      <c r="B810" s="421"/>
      <c r="C810" s="421"/>
      <c r="G810" s="421"/>
      <c r="H810" s="421"/>
      <c r="I810" s="421"/>
      <c r="J810" s="421"/>
      <c r="K810" s="421"/>
      <c r="L810" s="421"/>
      <c r="M810" s="421"/>
      <c r="N810" s="421"/>
      <c r="O810" s="421"/>
      <c r="P810" s="421"/>
      <c r="Q810" s="421"/>
    </row>
    <row r="811" spans="1:17" ht="15.75" customHeight="1" x14ac:dyDescent="0.2">
      <c r="A811" s="420"/>
      <c r="B811" s="421"/>
      <c r="C811" s="421"/>
      <c r="G811" s="421"/>
      <c r="H811" s="421"/>
      <c r="I811" s="421"/>
      <c r="J811" s="421"/>
      <c r="K811" s="421"/>
      <c r="L811" s="421"/>
      <c r="M811" s="421"/>
      <c r="N811" s="421"/>
      <c r="O811" s="421"/>
      <c r="P811" s="421"/>
      <c r="Q811" s="421"/>
    </row>
    <row r="812" spans="1:17" ht="15.75" customHeight="1" x14ac:dyDescent="0.2">
      <c r="A812" s="420"/>
      <c r="B812" s="421"/>
      <c r="C812" s="421"/>
      <c r="G812" s="421"/>
      <c r="H812" s="421"/>
      <c r="I812" s="421"/>
      <c r="J812" s="421"/>
      <c r="K812" s="421"/>
      <c r="L812" s="421"/>
      <c r="M812" s="421"/>
      <c r="N812" s="421"/>
      <c r="O812" s="421"/>
      <c r="P812" s="421"/>
      <c r="Q812" s="421"/>
    </row>
    <row r="813" spans="1:17" ht="15.75" customHeight="1" x14ac:dyDescent="0.2">
      <c r="A813" s="420"/>
      <c r="B813" s="421"/>
      <c r="C813" s="421"/>
      <c r="G813" s="421"/>
      <c r="H813" s="421"/>
      <c r="I813" s="421"/>
      <c r="J813" s="421"/>
      <c r="K813" s="421"/>
      <c r="L813" s="421"/>
      <c r="M813" s="421"/>
      <c r="N813" s="421"/>
      <c r="O813" s="421"/>
      <c r="P813" s="421"/>
      <c r="Q813" s="421"/>
    </row>
    <row r="814" spans="1:17" ht="15.75" customHeight="1" x14ac:dyDescent="0.2">
      <c r="A814" s="420"/>
      <c r="B814" s="421"/>
      <c r="C814" s="421"/>
      <c r="G814" s="421"/>
      <c r="H814" s="421"/>
      <c r="I814" s="421"/>
      <c r="J814" s="421"/>
      <c r="K814" s="421"/>
      <c r="L814" s="421"/>
      <c r="M814" s="421"/>
      <c r="N814" s="421"/>
      <c r="O814" s="421"/>
      <c r="P814" s="421"/>
      <c r="Q814" s="421"/>
    </row>
    <row r="815" spans="1:17" ht="15.75" customHeight="1" x14ac:dyDescent="0.2">
      <c r="A815" s="420"/>
      <c r="B815" s="421"/>
      <c r="C815" s="421"/>
      <c r="G815" s="421"/>
      <c r="H815" s="421"/>
      <c r="I815" s="421"/>
      <c r="J815" s="421"/>
      <c r="K815" s="421"/>
      <c r="L815" s="421"/>
      <c r="M815" s="421"/>
      <c r="N815" s="421"/>
      <c r="O815" s="421"/>
      <c r="P815" s="421"/>
      <c r="Q815" s="421"/>
    </row>
    <row r="816" spans="1:17" ht="15.75" customHeight="1" x14ac:dyDescent="0.2">
      <c r="A816" s="420"/>
      <c r="B816" s="421"/>
      <c r="C816" s="421"/>
      <c r="G816" s="421"/>
      <c r="H816" s="421"/>
      <c r="I816" s="421"/>
      <c r="J816" s="421"/>
      <c r="K816" s="421"/>
      <c r="L816" s="421"/>
      <c r="M816" s="421"/>
      <c r="N816" s="421"/>
      <c r="O816" s="421"/>
      <c r="P816" s="421"/>
      <c r="Q816" s="421"/>
    </row>
    <row r="817" spans="1:17" ht="15.75" customHeight="1" x14ac:dyDescent="0.2">
      <c r="A817" s="420"/>
      <c r="B817" s="421"/>
      <c r="C817" s="421"/>
      <c r="G817" s="421"/>
      <c r="H817" s="421"/>
      <c r="I817" s="421"/>
      <c r="J817" s="421"/>
      <c r="K817" s="421"/>
      <c r="L817" s="421"/>
      <c r="M817" s="421"/>
      <c r="N817" s="421"/>
      <c r="O817" s="421"/>
      <c r="P817" s="421"/>
      <c r="Q817" s="421"/>
    </row>
    <row r="818" spans="1:17" ht="15.75" customHeight="1" x14ac:dyDescent="0.2">
      <c r="A818" s="420"/>
      <c r="B818" s="421"/>
      <c r="C818" s="421"/>
      <c r="G818" s="421"/>
      <c r="H818" s="421"/>
      <c r="I818" s="421"/>
      <c r="J818" s="421"/>
      <c r="K818" s="421"/>
      <c r="L818" s="421"/>
      <c r="M818" s="421"/>
      <c r="N818" s="421"/>
      <c r="O818" s="421"/>
      <c r="P818" s="421"/>
      <c r="Q818" s="421"/>
    </row>
    <row r="819" spans="1:17" ht="15.75" customHeight="1" x14ac:dyDescent="0.2">
      <c r="A819" s="420"/>
      <c r="B819" s="421"/>
      <c r="C819" s="421"/>
      <c r="G819" s="421"/>
      <c r="H819" s="421"/>
      <c r="I819" s="421"/>
      <c r="J819" s="421"/>
      <c r="K819" s="421"/>
      <c r="L819" s="421"/>
      <c r="M819" s="421"/>
      <c r="N819" s="421"/>
      <c r="O819" s="421"/>
      <c r="P819" s="421"/>
      <c r="Q819" s="421"/>
    </row>
    <row r="820" spans="1:17" ht="15.75" customHeight="1" x14ac:dyDescent="0.2">
      <c r="A820" s="420"/>
      <c r="B820" s="421"/>
      <c r="C820" s="421"/>
      <c r="G820" s="421"/>
      <c r="H820" s="421"/>
      <c r="I820" s="421"/>
      <c r="J820" s="421"/>
      <c r="K820" s="421"/>
      <c r="L820" s="421"/>
      <c r="M820" s="421"/>
      <c r="N820" s="421"/>
      <c r="O820" s="421"/>
      <c r="P820" s="421"/>
      <c r="Q820" s="421"/>
    </row>
    <row r="821" spans="1:17" ht="15.75" customHeight="1" x14ac:dyDescent="0.2">
      <c r="A821" s="420"/>
      <c r="B821" s="421"/>
      <c r="C821" s="421"/>
      <c r="G821" s="421"/>
      <c r="H821" s="421"/>
      <c r="I821" s="421"/>
      <c r="J821" s="421"/>
      <c r="K821" s="421"/>
      <c r="L821" s="421"/>
      <c r="M821" s="421"/>
      <c r="N821" s="421"/>
      <c r="O821" s="421"/>
      <c r="P821" s="421"/>
      <c r="Q821" s="421"/>
    </row>
    <row r="822" spans="1:17" ht="15.75" customHeight="1" x14ac:dyDescent="0.2">
      <c r="A822" s="420"/>
      <c r="B822" s="421"/>
      <c r="C822" s="421"/>
      <c r="G822" s="421"/>
      <c r="H822" s="421"/>
      <c r="I822" s="421"/>
      <c r="J822" s="421"/>
      <c r="K822" s="421"/>
      <c r="L822" s="421"/>
      <c r="M822" s="421"/>
      <c r="N822" s="421"/>
      <c r="O822" s="421"/>
      <c r="P822" s="421"/>
      <c r="Q822" s="421"/>
    </row>
    <row r="823" spans="1:17" ht="15.75" customHeight="1" x14ac:dyDescent="0.2">
      <c r="A823" s="420"/>
      <c r="B823" s="421"/>
      <c r="C823" s="421"/>
      <c r="G823" s="421"/>
      <c r="H823" s="421"/>
      <c r="I823" s="421"/>
      <c r="J823" s="421"/>
      <c r="K823" s="421"/>
      <c r="L823" s="421"/>
      <c r="M823" s="421"/>
      <c r="N823" s="421"/>
      <c r="O823" s="421"/>
      <c r="P823" s="421"/>
      <c r="Q823" s="421"/>
    </row>
    <row r="824" spans="1:17" ht="15.75" customHeight="1" x14ac:dyDescent="0.2">
      <c r="A824" s="420"/>
      <c r="B824" s="421"/>
      <c r="C824" s="421"/>
      <c r="G824" s="421"/>
      <c r="H824" s="421"/>
      <c r="I824" s="421"/>
      <c r="J824" s="421"/>
      <c r="K824" s="421"/>
      <c r="L824" s="421"/>
      <c r="M824" s="421"/>
      <c r="N824" s="421"/>
      <c r="O824" s="421"/>
      <c r="P824" s="421"/>
      <c r="Q824" s="421"/>
    </row>
    <row r="825" spans="1:17" ht="15.75" customHeight="1" x14ac:dyDescent="0.2">
      <c r="A825" s="420"/>
      <c r="B825" s="421"/>
      <c r="C825" s="421"/>
      <c r="G825" s="421"/>
      <c r="H825" s="421"/>
      <c r="I825" s="421"/>
      <c r="J825" s="421"/>
      <c r="K825" s="421"/>
      <c r="L825" s="421"/>
      <c r="M825" s="421"/>
      <c r="N825" s="421"/>
      <c r="O825" s="421"/>
      <c r="P825" s="421"/>
      <c r="Q825" s="421"/>
    </row>
    <row r="826" spans="1:17" ht="15.75" customHeight="1" x14ac:dyDescent="0.2">
      <c r="A826" s="420"/>
      <c r="B826" s="421"/>
      <c r="C826" s="421"/>
      <c r="G826" s="421"/>
      <c r="H826" s="421"/>
      <c r="I826" s="421"/>
      <c r="J826" s="421"/>
      <c r="K826" s="421"/>
      <c r="L826" s="421"/>
      <c r="M826" s="421"/>
      <c r="N826" s="421"/>
      <c r="O826" s="421"/>
      <c r="P826" s="421"/>
      <c r="Q826" s="421"/>
    </row>
    <row r="827" spans="1:17" ht="15.75" customHeight="1" x14ac:dyDescent="0.2">
      <c r="A827" s="420"/>
      <c r="B827" s="421"/>
      <c r="C827" s="421"/>
      <c r="G827" s="421"/>
      <c r="H827" s="421"/>
      <c r="I827" s="421"/>
      <c r="J827" s="421"/>
      <c r="K827" s="421"/>
      <c r="L827" s="421"/>
      <c r="M827" s="421"/>
      <c r="N827" s="421"/>
      <c r="O827" s="421"/>
      <c r="P827" s="421"/>
      <c r="Q827" s="421"/>
    </row>
    <row r="828" spans="1:17" ht="15.75" customHeight="1" x14ac:dyDescent="0.2">
      <c r="A828" s="420"/>
      <c r="B828" s="421"/>
      <c r="C828" s="421"/>
      <c r="G828" s="421"/>
      <c r="H828" s="421"/>
      <c r="I828" s="421"/>
      <c r="J828" s="421"/>
      <c r="K828" s="421"/>
      <c r="L828" s="421"/>
      <c r="M828" s="421"/>
      <c r="N828" s="421"/>
      <c r="O828" s="421"/>
      <c r="P828" s="421"/>
      <c r="Q828" s="421"/>
    </row>
    <row r="829" spans="1:17" ht="15.75" customHeight="1" x14ac:dyDescent="0.2">
      <c r="A829" s="420"/>
      <c r="B829" s="421"/>
      <c r="C829" s="421"/>
      <c r="G829" s="421"/>
      <c r="H829" s="421"/>
      <c r="I829" s="421"/>
      <c r="J829" s="421"/>
      <c r="K829" s="421"/>
      <c r="L829" s="421"/>
      <c r="M829" s="421"/>
      <c r="N829" s="421"/>
      <c r="O829" s="421"/>
      <c r="P829" s="421"/>
      <c r="Q829" s="421"/>
    </row>
    <row r="830" spans="1:17" ht="15.75" customHeight="1" x14ac:dyDescent="0.2">
      <c r="A830" s="420"/>
      <c r="B830" s="421"/>
      <c r="C830" s="421"/>
      <c r="G830" s="421"/>
      <c r="H830" s="421"/>
      <c r="I830" s="421"/>
      <c r="J830" s="421"/>
      <c r="K830" s="421"/>
      <c r="L830" s="421"/>
      <c r="M830" s="421"/>
      <c r="N830" s="421"/>
      <c r="O830" s="421"/>
      <c r="P830" s="421"/>
      <c r="Q830" s="421"/>
    </row>
    <row r="831" spans="1:17" ht="15.75" customHeight="1" x14ac:dyDescent="0.2">
      <c r="A831" s="420"/>
      <c r="B831" s="421"/>
      <c r="C831" s="421"/>
      <c r="G831" s="421"/>
      <c r="H831" s="421"/>
      <c r="I831" s="421"/>
      <c r="J831" s="421"/>
      <c r="K831" s="421"/>
      <c r="L831" s="421"/>
      <c r="M831" s="421"/>
      <c r="N831" s="421"/>
      <c r="O831" s="421"/>
      <c r="P831" s="421"/>
      <c r="Q831" s="421"/>
    </row>
    <row r="832" spans="1:17" ht="15.75" customHeight="1" x14ac:dyDescent="0.2">
      <c r="A832" s="420"/>
      <c r="B832" s="421"/>
      <c r="C832" s="421"/>
      <c r="G832" s="421"/>
      <c r="H832" s="421"/>
      <c r="I832" s="421"/>
      <c r="J832" s="421"/>
      <c r="K832" s="421"/>
      <c r="L832" s="421"/>
      <c r="M832" s="421"/>
      <c r="N832" s="421"/>
      <c r="O832" s="421"/>
      <c r="P832" s="421"/>
      <c r="Q832" s="421"/>
    </row>
    <row r="833" spans="1:17" ht="15.75" customHeight="1" x14ac:dyDescent="0.2">
      <c r="A833" s="420"/>
      <c r="B833" s="421"/>
      <c r="C833" s="421"/>
      <c r="G833" s="421"/>
      <c r="H833" s="421"/>
      <c r="I833" s="421"/>
      <c r="J833" s="421"/>
      <c r="K833" s="421"/>
      <c r="L833" s="421"/>
      <c r="M833" s="421"/>
      <c r="N833" s="421"/>
      <c r="O833" s="421"/>
      <c r="P833" s="421"/>
      <c r="Q833" s="421"/>
    </row>
    <row r="834" spans="1:17" ht="15.75" customHeight="1" x14ac:dyDescent="0.2">
      <c r="A834" s="420"/>
      <c r="B834" s="421"/>
      <c r="C834" s="421"/>
      <c r="G834" s="421"/>
      <c r="H834" s="421"/>
      <c r="I834" s="421"/>
      <c r="J834" s="421"/>
      <c r="K834" s="421"/>
      <c r="L834" s="421"/>
      <c r="M834" s="421"/>
      <c r="N834" s="421"/>
      <c r="O834" s="421"/>
      <c r="P834" s="421"/>
      <c r="Q834" s="421"/>
    </row>
    <row r="835" spans="1:17" ht="15.75" customHeight="1" x14ac:dyDescent="0.2">
      <c r="A835" s="420"/>
      <c r="B835" s="421"/>
      <c r="C835" s="421"/>
      <c r="G835" s="421"/>
      <c r="H835" s="421"/>
      <c r="I835" s="421"/>
      <c r="J835" s="421"/>
      <c r="K835" s="421"/>
      <c r="L835" s="421"/>
      <c r="M835" s="421"/>
      <c r="N835" s="421"/>
      <c r="O835" s="421"/>
      <c r="P835" s="421"/>
      <c r="Q835" s="421"/>
    </row>
    <row r="836" spans="1:17" ht="15.75" customHeight="1" x14ac:dyDescent="0.2">
      <c r="A836" s="420"/>
      <c r="B836" s="421"/>
      <c r="C836" s="421"/>
      <c r="G836" s="421"/>
      <c r="H836" s="421"/>
      <c r="I836" s="421"/>
      <c r="J836" s="421"/>
      <c r="K836" s="421"/>
      <c r="L836" s="421"/>
      <c r="M836" s="421"/>
      <c r="N836" s="421"/>
      <c r="O836" s="421"/>
      <c r="P836" s="421"/>
      <c r="Q836" s="421"/>
    </row>
    <row r="837" spans="1:17" ht="15.75" customHeight="1" x14ac:dyDescent="0.2">
      <c r="A837" s="420"/>
      <c r="B837" s="421"/>
      <c r="C837" s="421"/>
      <c r="G837" s="421"/>
      <c r="H837" s="421"/>
      <c r="I837" s="421"/>
      <c r="J837" s="421"/>
      <c r="K837" s="421"/>
      <c r="L837" s="421"/>
      <c r="M837" s="421"/>
      <c r="N837" s="421"/>
      <c r="O837" s="421"/>
      <c r="P837" s="421"/>
      <c r="Q837" s="421"/>
    </row>
    <row r="838" spans="1:17" ht="15.75" customHeight="1" x14ac:dyDescent="0.2">
      <c r="A838" s="420"/>
      <c r="B838" s="421"/>
      <c r="C838" s="421"/>
      <c r="G838" s="421"/>
      <c r="H838" s="421"/>
      <c r="I838" s="421"/>
      <c r="J838" s="421"/>
      <c r="K838" s="421"/>
      <c r="L838" s="421"/>
      <c r="M838" s="421"/>
      <c r="N838" s="421"/>
      <c r="O838" s="421"/>
      <c r="P838" s="421"/>
      <c r="Q838" s="421"/>
    </row>
    <row r="839" spans="1:17" ht="15.75" customHeight="1" x14ac:dyDescent="0.2">
      <c r="A839" s="420"/>
      <c r="B839" s="421"/>
      <c r="C839" s="421"/>
      <c r="G839" s="421"/>
      <c r="H839" s="421"/>
      <c r="I839" s="421"/>
      <c r="J839" s="421"/>
      <c r="K839" s="421"/>
      <c r="L839" s="421"/>
      <c r="M839" s="421"/>
      <c r="N839" s="421"/>
      <c r="O839" s="421"/>
      <c r="P839" s="421"/>
      <c r="Q839" s="421"/>
    </row>
    <row r="840" spans="1:17" ht="15.75" customHeight="1" x14ac:dyDescent="0.2">
      <c r="A840" s="420"/>
      <c r="B840" s="421"/>
      <c r="C840" s="421"/>
      <c r="G840" s="421"/>
      <c r="H840" s="421"/>
      <c r="I840" s="421"/>
      <c r="J840" s="421"/>
      <c r="K840" s="421"/>
      <c r="L840" s="421"/>
      <c r="M840" s="421"/>
      <c r="N840" s="421"/>
      <c r="O840" s="421"/>
      <c r="P840" s="421"/>
      <c r="Q840" s="421"/>
    </row>
    <row r="841" spans="1:17" ht="15.75" customHeight="1" x14ac:dyDescent="0.2">
      <c r="A841" s="420"/>
      <c r="B841" s="421"/>
      <c r="C841" s="421"/>
      <c r="G841" s="421"/>
      <c r="H841" s="421"/>
      <c r="I841" s="421"/>
      <c r="J841" s="421"/>
      <c r="K841" s="421"/>
      <c r="L841" s="421"/>
      <c r="M841" s="421"/>
      <c r="N841" s="421"/>
      <c r="O841" s="421"/>
      <c r="P841" s="421"/>
      <c r="Q841" s="421"/>
    </row>
    <row r="842" spans="1:17" ht="15.75" customHeight="1" x14ac:dyDescent="0.2">
      <c r="A842" s="420"/>
      <c r="B842" s="421"/>
      <c r="C842" s="421"/>
      <c r="G842" s="421"/>
      <c r="H842" s="421"/>
      <c r="I842" s="421"/>
      <c r="J842" s="421"/>
      <c r="K842" s="421"/>
      <c r="L842" s="421"/>
      <c r="M842" s="421"/>
      <c r="N842" s="421"/>
      <c r="O842" s="421"/>
      <c r="P842" s="421"/>
      <c r="Q842" s="421"/>
    </row>
    <row r="843" spans="1:17" ht="15.75" customHeight="1" x14ac:dyDescent="0.2">
      <c r="A843" s="420"/>
      <c r="B843" s="421"/>
      <c r="C843" s="421"/>
      <c r="G843" s="421"/>
      <c r="H843" s="421"/>
      <c r="I843" s="421"/>
      <c r="J843" s="421"/>
      <c r="K843" s="421"/>
      <c r="L843" s="421"/>
      <c r="M843" s="421"/>
      <c r="N843" s="421"/>
      <c r="O843" s="421"/>
      <c r="P843" s="421"/>
      <c r="Q843" s="421"/>
    </row>
    <row r="844" spans="1:17" ht="15.75" customHeight="1" x14ac:dyDescent="0.2">
      <c r="A844" s="420"/>
      <c r="B844" s="421"/>
      <c r="C844" s="421"/>
      <c r="G844" s="421"/>
      <c r="H844" s="421"/>
      <c r="I844" s="421"/>
      <c r="J844" s="421"/>
      <c r="K844" s="421"/>
      <c r="L844" s="421"/>
      <c r="M844" s="421"/>
      <c r="N844" s="421"/>
      <c r="O844" s="421"/>
      <c r="P844" s="421"/>
      <c r="Q844" s="421"/>
    </row>
    <row r="845" spans="1:17" ht="15.75" customHeight="1" x14ac:dyDescent="0.2">
      <c r="A845" s="420"/>
      <c r="B845" s="421"/>
      <c r="C845" s="421"/>
      <c r="G845" s="421"/>
      <c r="H845" s="421"/>
      <c r="I845" s="421"/>
      <c r="J845" s="421"/>
      <c r="K845" s="421"/>
      <c r="L845" s="421"/>
      <c r="M845" s="421"/>
      <c r="N845" s="421"/>
      <c r="O845" s="421"/>
      <c r="P845" s="421"/>
      <c r="Q845" s="421"/>
    </row>
    <row r="846" spans="1:17" ht="15.75" customHeight="1" x14ac:dyDescent="0.2">
      <c r="A846" s="420"/>
      <c r="B846" s="421"/>
      <c r="C846" s="421"/>
      <c r="G846" s="421"/>
      <c r="H846" s="421"/>
      <c r="I846" s="421"/>
      <c r="J846" s="421"/>
      <c r="K846" s="421"/>
      <c r="L846" s="421"/>
      <c r="M846" s="421"/>
      <c r="N846" s="421"/>
      <c r="O846" s="421"/>
      <c r="P846" s="421"/>
      <c r="Q846" s="421"/>
    </row>
    <row r="847" spans="1:17" ht="15.75" customHeight="1" x14ac:dyDescent="0.2">
      <c r="A847" s="420"/>
      <c r="B847" s="421"/>
      <c r="C847" s="421"/>
      <c r="G847" s="421"/>
      <c r="H847" s="421"/>
      <c r="I847" s="421"/>
      <c r="J847" s="421"/>
      <c r="K847" s="421"/>
      <c r="L847" s="421"/>
      <c r="M847" s="421"/>
      <c r="N847" s="421"/>
      <c r="O847" s="421"/>
      <c r="P847" s="421"/>
      <c r="Q847" s="421"/>
    </row>
    <row r="848" spans="1:17" ht="15.75" customHeight="1" x14ac:dyDescent="0.2">
      <c r="A848" s="420"/>
      <c r="B848" s="421"/>
      <c r="C848" s="421"/>
      <c r="G848" s="421"/>
      <c r="H848" s="421"/>
      <c r="I848" s="421"/>
      <c r="J848" s="421"/>
      <c r="K848" s="421"/>
      <c r="L848" s="421"/>
      <c r="M848" s="421"/>
      <c r="N848" s="421"/>
      <c r="O848" s="421"/>
      <c r="P848" s="421"/>
      <c r="Q848" s="421"/>
    </row>
    <row r="849" spans="1:17" ht="15.75" customHeight="1" x14ac:dyDescent="0.2">
      <c r="A849" s="420"/>
      <c r="B849" s="421"/>
      <c r="C849" s="421"/>
      <c r="G849" s="421"/>
      <c r="H849" s="421"/>
      <c r="I849" s="421"/>
      <c r="J849" s="421"/>
      <c r="K849" s="421"/>
      <c r="L849" s="421"/>
      <c r="M849" s="421"/>
      <c r="N849" s="421"/>
      <c r="O849" s="421"/>
      <c r="P849" s="421"/>
      <c r="Q849" s="421"/>
    </row>
    <row r="850" spans="1:17" ht="15.75" customHeight="1" x14ac:dyDescent="0.2">
      <c r="A850" s="420"/>
      <c r="B850" s="421"/>
      <c r="C850" s="421"/>
      <c r="G850" s="421"/>
      <c r="H850" s="421"/>
      <c r="I850" s="421"/>
      <c r="J850" s="421"/>
      <c r="K850" s="421"/>
      <c r="L850" s="421"/>
      <c r="M850" s="421"/>
      <c r="N850" s="421"/>
      <c r="O850" s="421"/>
      <c r="P850" s="421"/>
      <c r="Q850" s="421"/>
    </row>
    <row r="851" spans="1:17" ht="15.75" customHeight="1" x14ac:dyDescent="0.2">
      <c r="A851" s="420"/>
      <c r="B851" s="421"/>
      <c r="C851" s="421"/>
      <c r="G851" s="421"/>
      <c r="H851" s="421"/>
      <c r="I851" s="421"/>
      <c r="J851" s="421"/>
      <c r="K851" s="421"/>
      <c r="L851" s="421"/>
      <c r="M851" s="421"/>
      <c r="N851" s="421"/>
      <c r="O851" s="421"/>
      <c r="P851" s="421"/>
      <c r="Q851" s="421"/>
    </row>
    <row r="852" spans="1:17" ht="15.75" customHeight="1" x14ac:dyDescent="0.2">
      <c r="A852" s="420"/>
      <c r="B852" s="421"/>
      <c r="C852" s="421"/>
      <c r="G852" s="421"/>
      <c r="H852" s="421"/>
      <c r="I852" s="421"/>
      <c r="J852" s="421"/>
      <c r="K852" s="421"/>
      <c r="L852" s="421"/>
      <c r="M852" s="421"/>
      <c r="N852" s="421"/>
      <c r="O852" s="421"/>
      <c r="P852" s="421"/>
      <c r="Q852" s="421"/>
    </row>
    <row r="853" spans="1:17" ht="15.75" customHeight="1" x14ac:dyDescent="0.2">
      <c r="A853" s="420"/>
      <c r="B853" s="421"/>
      <c r="C853" s="421"/>
      <c r="G853" s="421"/>
      <c r="H853" s="421"/>
      <c r="I853" s="421"/>
      <c r="J853" s="421"/>
      <c r="K853" s="421"/>
      <c r="L853" s="421"/>
      <c r="M853" s="421"/>
      <c r="N853" s="421"/>
      <c r="O853" s="421"/>
      <c r="P853" s="421"/>
      <c r="Q853" s="421"/>
    </row>
    <row r="854" spans="1:17" ht="15.75" customHeight="1" x14ac:dyDescent="0.2">
      <c r="A854" s="420"/>
      <c r="B854" s="421"/>
      <c r="C854" s="421"/>
      <c r="G854" s="421"/>
      <c r="H854" s="421"/>
      <c r="I854" s="421"/>
      <c r="J854" s="421"/>
      <c r="K854" s="421"/>
      <c r="L854" s="421"/>
      <c r="M854" s="421"/>
      <c r="N854" s="421"/>
      <c r="O854" s="421"/>
      <c r="P854" s="421"/>
      <c r="Q854" s="421"/>
    </row>
    <row r="855" spans="1:17" ht="15.75" customHeight="1" x14ac:dyDescent="0.2">
      <c r="A855" s="420"/>
      <c r="B855" s="421"/>
      <c r="C855" s="421"/>
      <c r="G855" s="421"/>
      <c r="H855" s="421"/>
      <c r="I855" s="421"/>
      <c r="J855" s="421"/>
      <c r="K855" s="421"/>
      <c r="L855" s="421"/>
      <c r="M855" s="421"/>
      <c r="N855" s="421"/>
      <c r="O855" s="421"/>
      <c r="P855" s="421"/>
      <c r="Q855" s="421"/>
    </row>
    <row r="856" spans="1:17" ht="15.75" customHeight="1" x14ac:dyDescent="0.2">
      <c r="A856" s="420"/>
      <c r="B856" s="421"/>
      <c r="C856" s="421"/>
      <c r="G856" s="421"/>
      <c r="H856" s="421"/>
      <c r="I856" s="421"/>
      <c r="J856" s="421"/>
      <c r="K856" s="421"/>
      <c r="L856" s="421"/>
      <c r="M856" s="421"/>
      <c r="N856" s="421"/>
      <c r="O856" s="421"/>
      <c r="P856" s="421"/>
      <c r="Q856" s="421"/>
    </row>
    <row r="857" spans="1:17" ht="15.75" customHeight="1" x14ac:dyDescent="0.2">
      <c r="A857" s="420"/>
      <c r="B857" s="421"/>
      <c r="C857" s="421"/>
      <c r="G857" s="421"/>
      <c r="H857" s="421"/>
      <c r="I857" s="421"/>
      <c r="J857" s="421"/>
      <c r="K857" s="421"/>
      <c r="L857" s="421"/>
      <c r="M857" s="421"/>
      <c r="N857" s="421"/>
      <c r="O857" s="421"/>
      <c r="P857" s="421"/>
      <c r="Q857" s="421"/>
    </row>
    <row r="858" spans="1:17" ht="15.75" customHeight="1" x14ac:dyDescent="0.2">
      <c r="A858" s="420"/>
      <c r="B858" s="421"/>
      <c r="C858" s="421"/>
      <c r="G858" s="421"/>
      <c r="H858" s="421"/>
      <c r="I858" s="421"/>
      <c r="J858" s="421"/>
      <c r="K858" s="421"/>
      <c r="L858" s="421"/>
      <c r="M858" s="421"/>
      <c r="N858" s="421"/>
      <c r="O858" s="421"/>
      <c r="P858" s="421"/>
      <c r="Q858" s="421"/>
    </row>
    <row r="859" spans="1:17" ht="15.75" customHeight="1" x14ac:dyDescent="0.2">
      <c r="A859" s="420"/>
      <c r="B859" s="421"/>
      <c r="C859" s="421"/>
      <c r="G859" s="421"/>
      <c r="H859" s="421"/>
      <c r="I859" s="421"/>
      <c r="J859" s="421"/>
      <c r="K859" s="421"/>
      <c r="L859" s="421"/>
      <c r="M859" s="421"/>
      <c r="N859" s="421"/>
      <c r="O859" s="421"/>
      <c r="P859" s="421"/>
      <c r="Q859" s="421"/>
    </row>
    <row r="860" spans="1:17" ht="15.75" customHeight="1" x14ac:dyDescent="0.2">
      <c r="A860" s="420"/>
      <c r="B860" s="421"/>
      <c r="C860" s="421"/>
      <c r="G860" s="421"/>
      <c r="H860" s="421"/>
      <c r="I860" s="421"/>
      <c r="J860" s="421"/>
      <c r="K860" s="421"/>
      <c r="L860" s="421"/>
      <c r="M860" s="421"/>
      <c r="N860" s="421"/>
      <c r="O860" s="421"/>
      <c r="P860" s="421"/>
      <c r="Q860" s="421"/>
    </row>
    <row r="861" spans="1:17" ht="15.75" customHeight="1" x14ac:dyDescent="0.2">
      <c r="A861" s="420"/>
      <c r="B861" s="421"/>
      <c r="C861" s="421"/>
      <c r="G861" s="421"/>
      <c r="H861" s="421"/>
      <c r="I861" s="421"/>
      <c r="J861" s="421"/>
      <c r="K861" s="421"/>
      <c r="L861" s="421"/>
      <c r="M861" s="421"/>
      <c r="N861" s="421"/>
      <c r="O861" s="421"/>
      <c r="P861" s="421"/>
      <c r="Q861" s="421"/>
    </row>
    <row r="862" spans="1:17" ht="15.75" customHeight="1" x14ac:dyDescent="0.2">
      <c r="A862" s="420"/>
      <c r="B862" s="421"/>
      <c r="C862" s="421"/>
      <c r="G862" s="421"/>
      <c r="H862" s="421"/>
      <c r="I862" s="421"/>
      <c r="J862" s="421"/>
      <c r="K862" s="421"/>
      <c r="L862" s="421"/>
      <c r="M862" s="421"/>
      <c r="N862" s="421"/>
      <c r="O862" s="421"/>
      <c r="P862" s="421"/>
      <c r="Q862" s="421"/>
    </row>
    <row r="863" spans="1:17" ht="15.75" customHeight="1" x14ac:dyDescent="0.2">
      <c r="A863" s="420"/>
      <c r="B863" s="421"/>
      <c r="C863" s="421"/>
      <c r="G863" s="421"/>
      <c r="H863" s="421"/>
      <c r="I863" s="421"/>
      <c r="J863" s="421"/>
      <c r="K863" s="421"/>
      <c r="L863" s="421"/>
      <c r="M863" s="421"/>
      <c r="N863" s="421"/>
      <c r="O863" s="421"/>
      <c r="P863" s="421"/>
      <c r="Q863" s="421"/>
    </row>
    <row r="864" spans="1:17" ht="15.75" customHeight="1" x14ac:dyDescent="0.2">
      <c r="A864" s="420"/>
      <c r="B864" s="421"/>
      <c r="C864" s="421"/>
      <c r="G864" s="421"/>
      <c r="H864" s="421"/>
      <c r="I864" s="421"/>
      <c r="J864" s="421"/>
      <c r="K864" s="421"/>
      <c r="L864" s="421"/>
      <c r="M864" s="421"/>
      <c r="N864" s="421"/>
      <c r="O864" s="421"/>
      <c r="P864" s="421"/>
      <c r="Q864" s="421"/>
    </row>
    <row r="865" spans="1:17" ht="15.75" customHeight="1" x14ac:dyDescent="0.2">
      <c r="A865" s="420"/>
      <c r="B865" s="421"/>
      <c r="C865" s="421"/>
      <c r="G865" s="421"/>
      <c r="H865" s="421"/>
      <c r="I865" s="421"/>
      <c r="J865" s="421"/>
      <c r="K865" s="421"/>
      <c r="L865" s="421"/>
      <c r="M865" s="421"/>
      <c r="N865" s="421"/>
      <c r="O865" s="421"/>
      <c r="P865" s="421"/>
      <c r="Q865" s="421"/>
    </row>
    <row r="866" spans="1:17" ht="15.75" customHeight="1" x14ac:dyDescent="0.2">
      <c r="A866" s="420"/>
      <c r="B866" s="421"/>
      <c r="C866" s="421"/>
      <c r="G866" s="421"/>
      <c r="H866" s="421"/>
      <c r="I866" s="421"/>
      <c r="J866" s="421"/>
      <c r="K866" s="421"/>
      <c r="L866" s="421"/>
      <c r="M866" s="421"/>
      <c r="N866" s="421"/>
      <c r="O866" s="421"/>
      <c r="P866" s="421"/>
      <c r="Q866" s="421"/>
    </row>
    <row r="867" spans="1:17" ht="15.75" customHeight="1" x14ac:dyDescent="0.2">
      <c r="A867" s="420"/>
      <c r="B867" s="421"/>
      <c r="C867" s="421"/>
      <c r="G867" s="421"/>
      <c r="H867" s="421"/>
      <c r="I867" s="421"/>
      <c r="J867" s="421"/>
      <c r="K867" s="421"/>
      <c r="L867" s="421"/>
      <c r="M867" s="421"/>
      <c r="N867" s="421"/>
      <c r="O867" s="421"/>
      <c r="P867" s="421"/>
      <c r="Q867" s="421"/>
    </row>
    <row r="868" spans="1:17" ht="15.75" customHeight="1" x14ac:dyDescent="0.2">
      <c r="A868" s="420"/>
      <c r="B868" s="421"/>
      <c r="C868" s="421"/>
      <c r="G868" s="421"/>
      <c r="H868" s="421"/>
      <c r="I868" s="421"/>
      <c r="J868" s="421"/>
      <c r="K868" s="421"/>
      <c r="L868" s="421"/>
      <c r="M868" s="421"/>
      <c r="N868" s="421"/>
      <c r="O868" s="421"/>
      <c r="P868" s="421"/>
      <c r="Q868" s="421"/>
    </row>
    <row r="869" spans="1:17" ht="15.75" customHeight="1" x14ac:dyDescent="0.2">
      <c r="A869" s="420"/>
      <c r="B869" s="421"/>
      <c r="C869" s="421"/>
      <c r="G869" s="421"/>
      <c r="H869" s="421"/>
      <c r="I869" s="421"/>
      <c r="J869" s="421"/>
      <c r="K869" s="421"/>
      <c r="L869" s="421"/>
      <c r="M869" s="421"/>
      <c r="N869" s="421"/>
      <c r="O869" s="421"/>
      <c r="P869" s="421"/>
      <c r="Q869" s="421"/>
    </row>
    <row r="870" spans="1:17" ht="15.75" customHeight="1" x14ac:dyDescent="0.2">
      <c r="A870" s="420"/>
      <c r="B870" s="421"/>
      <c r="C870" s="421"/>
      <c r="G870" s="421"/>
      <c r="H870" s="421"/>
      <c r="I870" s="421"/>
      <c r="J870" s="421"/>
      <c r="K870" s="421"/>
      <c r="L870" s="421"/>
      <c r="M870" s="421"/>
      <c r="N870" s="421"/>
      <c r="O870" s="421"/>
      <c r="P870" s="421"/>
      <c r="Q870" s="421"/>
    </row>
    <row r="871" spans="1:17" ht="15.75" customHeight="1" x14ac:dyDescent="0.2">
      <c r="A871" s="420"/>
      <c r="B871" s="421"/>
      <c r="C871" s="421"/>
      <c r="G871" s="421"/>
      <c r="H871" s="421"/>
      <c r="I871" s="421"/>
      <c r="J871" s="421"/>
      <c r="K871" s="421"/>
      <c r="L871" s="421"/>
      <c r="M871" s="421"/>
      <c r="N871" s="421"/>
      <c r="O871" s="421"/>
      <c r="P871" s="421"/>
      <c r="Q871" s="421"/>
    </row>
    <row r="872" spans="1:17" ht="15.75" customHeight="1" x14ac:dyDescent="0.2">
      <c r="A872" s="420"/>
      <c r="B872" s="421"/>
      <c r="C872" s="421"/>
      <c r="G872" s="421"/>
      <c r="H872" s="421"/>
      <c r="I872" s="421"/>
      <c r="J872" s="421"/>
      <c r="K872" s="421"/>
      <c r="L872" s="421"/>
      <c r="M872" s="421"/>
      <c r="N872" s="421"/>
      <c r="O872" s="421"/>
      <c r="P872" s="421"/>
      <c r="Q872" s="421"/>
    </row>
    <row r="873" spans="1:17" ht="15.75" customHeight="1" x14ac:dyDescent="0.2">
      <c r="A873" s="420"/>
      <c r="B873" s="421"/>
      <c r="C873" s="421"/>
      <c r="G873" s="421"/>
      <c r="H873" s="421"/>
      <c r="I873" s="421"/>
      <c r="J873" s="421"/>
      <c r="K873" s="421"/>
      <c r="L873" s="421"/>
      <c r="M873" s="421"/>
      <c r="N873" s="421"/>
      <c r="O873" s="421"/>
      <c r="P873" s="421"/>
      <c r="Q873" s="421"/>
    </row>
    <row r="874" spans="1:17" ht="15.75" customHeight="1" x14ac:dyDescent="0.2">
      <c r="A874" s="420"/>
      <c r="B874" s="421"/>
      <c r="C874" s="421"/>
      <c r="G874" s="421"/>
      <c r="H874" s="421"/>
      <c r="I874" s="421"/>
      <c r="J874" s="421"/>
      <c r="K874" s="421"/>
      <c r="L874" s="421"/>
      <c r="M874" s="421"/>
      <c r="N874" s="421"/>
      <c r="O874" s="421"/>
      <c r="P874" s="421"/>
      <c r="Q874" s="421"/>
    </row>
    <row r="875" spans="1:17" ht="15.75" customHeight="1" x14ac:dyDescent="0.2">
      <c r="A875" s="420"/>
      <c r="B875" s="421"/>
      <c r="C875" s="421"/>
      <c r="G875" s="421"/>
      <c r="H875" s="421"/>
      <c r="I875" s="421"/>
      <c r="J875" s="421"/>
      <c r="K875" s="421"/>
      <c r="L875" s="421"/>
      <c r="M875" s="421"/>
      <c r="N875" s="421"/>
      <c r="O875" s="421"/>
      <c r="P875" s="421"/>
      <c r="Q875" s="421"/>
    </row>
    <row r="876" spans="1:17" ht="15.75" customHeight="1" x14ac:dyDescent="0.2">
      <c r="A876" s="420"/>
      <c r="B876" s="421"/>
      <c r="C876" s="421"/>
      <c r="G876" s="421"/>
      <c r="H876" s="421"/>
      <c r="I876" s="421"/>
      <c r="J876" s="421"/>
      <c r="K876" s="421"/>
      <c r="L876" s="421"/>
      <c r="M876" s="421"/>
      <c r="N876" s="421"/>
      <c r="O876" s="421"/>
      <c r="P876" s="421"/>
      <c r="Q876" s="421"/>
    </row>
    <row r="877" spans="1:17" ht="15.75" customHeight="1" x14ac:dyDescent="0.2">
      <c r="A877" s="420"/>
      <c r="B877" s="421"/>
      <c r="C877" s="421"/>
      <c r="G877" s="421"/>
      <c r="H877" s="421"/>
      <c r="I877" s="421"/>
      <c r="J877" s="421"/>
      <c r="K877" s="421"/>
      <c r="L877" s="421"/>
      <c r="M877" s="421"/>
      <c r="N877" s="421"/>
      <c r="O877" s="421"/>
      <c r="P877" s="421"/>
      <c r="Q877" s="421"/>
    </row>
    <row r="878" spans="1:17" ht="15.75" customHeight="1" x14ac:dyDescent="0.2">
      <c r="A878" s="420"/>
      <c r="B878" s="421"/>
      <c r="C878" s="421"/>
      <c r="G878" s="421"/>
      <c r="H878" s="421"/>
      <c r="I878" s="421"/>
      <c r="J878" s="421"/>
      <c r="K878" s="421"/>
      <c r="L878" s="421"/>
      <c r="M878" s="421"/>
      <c r="N878" s="421"/>
      <c r="O878" s="421"/>
      <c r="P878" s="421"/>
      <c r="Q878" s="421"/>
    </row>
    <row r="879" spans="1:17" ht="15.75" customHeight="1" x14ac:dyDescent="0.2">
      <c r="A879" s="420"/>
      <c r="B879" s="421"/>
      <c r="C879" s="421"/>
      <c r="G879" s="421"/>
      <c r="H879" s="421"/>
      <c r="I879" s="421"/>
      <c r="J879" s="421"/>
      <c r="K879" s="421"/>
      <c r="L879" s="421"/>
      <c r="M879" s="421"/>
      <c r="N879" s="421"/>
      <c r="O879" s="421"/>
      <c r="P879" s="421"/>
      <c r="Q879" s="421"/>
    </row>
    <row r="880" spans="1:17" ht="15.75" customHeight="1" x14ac:dyDescent="0.2">
      <c r="A880" s="420"/>
      <c r="B880" s="421"/>
      <c r="C880" s="421"/>
      <c r="G880" s="421"/>
      <c r="H880" s="421"/>
      <c r="I880" s="421"/>
      <c r="J880" s="421"/>
      <c r="K880" s="421"/>
      <c r="L880" s="421"/>
      <c r="M880" s="421"/>
      <c r="N880" s="421"/>
      <c r="O880" s="421"/>
      <c r="P880" s="421"/>
      <c r="Q880" s="421"/>
    </row>
    <row r="881" spans="1:17" ht="15.75" customHeight="1" x14ac:dyDescent="0.2">
      <c r="A881" s="420"/>
      <c r="B881" s="421"/>
      <c r="C881" s="421"/>
      <c r="G881" s="421"/>
      <c r="H881" s="421"/>
      <c r="I881" s="421"/>
      <c r="J881" s="421"/>
      <c r="K881" s="421"/>
      <c r="L881" s="421"/>
      <c r="M881" s="421"/>
      <c r="N881" s="421"/>
      <c r="O881" s="421"/>
      <c r="P881" s="421"/>
      <c r="Q881" s="421"/>
    </row>
    <row r="882" spans="1:17" ht="15.75" customHeight="1" x14ac:dyDescent="0.2">
      <c r="A882" s="420"/>
      <c r="B882" s="421"/>
      <c r="C882" s="421"/>
      <c r="G882" s="421"/>
      <c r="H882" s="421"/>
      <c r="I882" s="421"/>
      <c r="J882" s="421"/>
      <c r="K882" s="421"/>
      <c r="L882" s="421"/>
      <c r="M882" s="421"/>
      <c r="N882" s="421"/>
      <c r="O882" s="421"/>
      <c r="P882" s="421"/>
      <c r="Q882" s="421"/>
    </row>
    <row r="883" spans="1:17" ht="15.75" customHeight="1" x14ac:dyDescent="0.2">
      <c r="A883" s="420"/>
      <c r="B883" s="421"/>
      <c r="C883" s="421"/>
      <c r="G883" s="421"/>
      <c r="H883" s="421"/>
      <c r="I883" s="421"/>
      <c r="J883" s="421"/>
      <c r="K883" s="421"/>
      <c r="L883" s="421"/>
      <c r="M883" s="421"/>
      <c r="N883" s="421"/>
      <c r="O883" s="421"/>
      <c r="P883" s="421"/>
      <c r="Q883" s="421"/>
    </row>
    <row r="884" spans="1:17" ht="15.75" customHeight="1" x14ac:dyDescent="0.2">
      <c r="A884" s="420"/>
      <c r="B884" s="421"/>
      <c r="C884" s="421"/>
      <c r="G884" s="421"/>
      <c r="H884" s="421"/>
      <c r="I884" s="421"/>
      <c r="J884" s="421"/>
      <c r="K884" s="421"/>
      <c r="L884" s="421"/>
      <c r="M884" s="421"/>
      <c r="N884" s="421"/>
      <c r="O884" s="421"/>
      <c r="P884" s="421"/>
      <c r="Q884" s="421"/>
    </row>
    <row r="885" spans="1:17" ht="15.75" customHeight="1" x14ac:dyDescent="0.2">
      <c r="A885" s="420"/>
      <c r="B885" s="421"/>
      <c r="C885" s="421"/>
      <c r="G885" s="421"/>
      <c r="H885" s="421"/>
      <c r="I885" s="421"/>
      <c r="J885" s="421"/>
      <c r="K885" s="421"/>
      <c r="L885" s="421"/>
      <c r="M885" s="421"/>
      <c r="N885" s="421"/>
      <c r="O885" s="421"/>
      <c r="P885" s="421"/>
      <c r="Q885" s="421"/>
    </row>
    <row r="886" spans="1:17" ht="15.75" customHeight="1" x14ac:dyDescent="0.2">
      <c r="A886" s="420"/>
      <c r="B886" s="421"/>
      <c r="C886" s="421"/>
      <c r="G886" s="421"/>
      <c r="H886" s="421"/>
      <c r="I886" s="421"/>
      <c r="J886" s="421"/>
      <c r="K886" s="421"/>
      <c r="L886" s="421"/>
      <c r="M886" s="421"/>
      <c r="N886" s="421"/>
      <c r="O886" s="421"/>
      <c r="P886" s="421"/>
      <c r="Q886" s="421"/>
    </row>
    <row r="887" spans="1:17" ht="15.75" customHeight="1" x14ac:dyDescent="0.2">
      <c r="A887" s="420"/>
      <c r="B887" s="421"/>
      <c r="C887" s="421"/>
      <c r="G887" s="421"/>
      <c r="H887" s="421"/>
      <c r="I887" s="421"/>
      <c r="J887" s="421"/>
      <c r="K887" s="421"/>
      <c r="L887" s="421"/>
      <c r="M887" s="421"/>
      <c r="N887" s="421"/>
      <c r="O887" s="421"/>
      <c r="P887" s="421"/>
      <c r="Q887" s="421"/>
    </row>
    <row r="888" spans="1:17" ht="15.75" customHeight="1" x14ac:dyDescent="0.2">
      <c r="A888" s="420"/>
      <c r="B888" s="421"/>
      <c r="C888" s="421"/>
      <c r="G888" s="421"/>
      <c r="H888" s="421"/>
      <c r="I888" s="421"/>
      <c r="J888" s="421"/>
      <c r="K888" s="421"/>
      <c r="L888" s="421"/>
      <c r="M888" s="421"/>
      <c r="N888" s="421"/>
      <c r="O888" s="421"/>
      <c r="P888" s="421"/>
      <c r="Q888" s="421"/>
    </row>
    <row r="889" spans="1:17" ht="15.75" customHeight="1" x14ac:dyDescent="0.2">
      <c r="A889" s="420"/>
      <c r="B889" s="421"/>
      <c r="C889" s="421"/>
      <c r="G889" s="421"/>
      <c r="H889" s="421"/>
      <c r="I889" s="421"/>
      <c r="J889" s="421"/>
      <c r="K889" s="421"/>
      <c r="L889" s="421"/>
      <c r="M889" s="421"/>
      <c r="N889" s="421"/>
      <c r="O889" s="421"/>
      <c r="P889" s="421"/>
      <c r="Q889" s="421"/>
    </row>
    <row r="890" spans="1:17" ht="15.75" customHeight="1" x14ac:dyDescent="0.2">
      <c r="A890" s="420"/>
      <c r="B890" s="421"/>
      <c r="C890" s="421"/>
      <c r="G890" s="421"/>
      <c r="H890" s="421"/>
      <c r="I890" s="421"/>
      <c r="J890" s="421"/>
      <c r="K890" s="421"/>
      <c r="L890" s="421"/>
      <c r="M890" s="421"/>
      <c r="N890" s="421"/>
      <c r="O890" s="421"/>
      <c r="P890" s="421"/>
      <c r="Q890" s="421"/>
    </row>
    <row r="891" spans="1:17" ht="15.75" customHeight="1" x14ac:dyDescent="0.2">
      <c r="A891" s="420"/>
      <c r="B891" s="421"/>
      <c r="C891" s="421"/>
      <c r="G891" s="421"/>
      <c r="H891" s="421"/>
      <c r="I891" s="421"/>
      <c r="J891" s="421"/>
      <c r="K891" s="421"/>
      <c r="L891" s="421"/>
      <c r="M891" s="421"/>
      <c r="N891" s="421"/>
      <c r="O891" s="421"/>
      <c r="P891" s="421"/>
      <c r="Q891" s="421"/>
    </row>
    <row r="892" spans="1:17" ht="15.75" customHeight="1" x14ac:dyDescent="0.2">
      <c r="A892" s="420"/>
      <c r="B892" s="421"/>
      <c r="C892" s="421"/>
      <c r="G892" s="421"/>
      <c r="H892" s="421"/>
      <c r="I892" s="421"/>
      <c r="J892" s="421"/>
      <c r="K892" s="421"/>
      <c r="L892" s="421"/>
      <c r="M892" s="421"/>
      <c r="N892" s="421"/>
      <c r="O892" s="421"/>
      <c r="P892" s="421"/>
      <c r="Q892" s="421"/>
    </row>
    <row r="893" spans="1:17" ht="15.75" customHeight="1" x14ac:dyDescent="0.2">
      <c r="A893" s="420"/>
      <c r="B893" s="421"/>
      <c r="C893" s="421"/>
      <c r="G893" s="421"/>
      <c r="H893" s="421"/>
      <c r="I893" s="421"/>
      <c r="J893" s="421"/>
      <c r="K893" s="421"/>
      <c r="L893" s="421"/>
      <c r="M893" s="421"/>
      <c r="N893" s="421"/>
      <c r="O893" s="421"/>
      <c r="P893" s="421"/>
      <c r="Q893" s="421"/>
    </row>
    <row r="894" spans="1:17" ht="15.75" customHeight="1" x14ac:dyDescent="0.2">
      <c r="A894" s="420"/>
      <c r="B894" s="421"/>
      <c r="C894" s="421"/>
      <c r="G894" s="421"/>
      <c r="H894" s="421"/>
      <c r="I894" s="421"/>
      <c r="J894" s="421"/>
      <c r="K894" s="421"/>
      <c r="L894" s="421"/>
      <c r="M894" s="421"/>
      <c r="N894" s="421"/>
      <c r="O894" s="421"/>
      <c r="P894" s="421"/>
      <c r="Q894" s="421"/>
    </row>
    <row r="895" spans="1:17" ht="15.75" customHeight="1" x14ac:dyDescent="0.2">
      <c r="A895" s="420"/>
      <c r="B895" s="421"/>
      <c r="C895" s="421"/>
      <c r="G895" s="421"/>
      <c r="H895" s="421"/>
      <c r="I895" s="421"/>
      <c r="J895" s="421"/>
      <c r="K895" s="421"/>
      <c r="L895" s="421"/>
      <c r="M895" s="421"/>
      <c r="N895" s="421"/>
      <c r="O895" s="421"/>
      <c r="P895" s="421"/>
      <c r="Q895" s="421"/>
    </row>
    <row r="896" spans="1:17" ht="15.75" customHeight="1" x14ac:dyDescent="0.2">
      <c r="A896" s="420"/>
      <c r="B896" s="421"/>
      <c r="C896" s="421"/>
      <c r="G896" s="421"/>
      <c r="H896" s="421"/>
      <c r="I896" s="421"/>
      <c r="J896" s="421"/>
      <c r="K896" s="421"/>
      <c r="L896" s="421"/>
      <c r="M896" s="421"/>
      <c r="N896" s="421"/>
      <c r="O896" s="421"/>
      <c r="P896" s="421"/>
      <c r="Q896" s="421"/>
    </row>
    <row r="897" spans="1:17" ht="15.75" customHeight="1" x14ac:dyDescent="0.2">
      <c r="A897" s="420"/>
      <c r="B897" s="421"/>
      <c r="C897" s="421"/>
      <c r="G897" s="421"/>
      <c r="H897" s="421"/>
      <c r="I897" s="421"/>
      <c r="J897" s="421"/>
      <c r="K897" s="421"/>
      <c r="L897" s="421"/>
      <c r="M897" s="421"/>
      <c r="N897" s="421"/>
      <c r="O897" s="421"/>
      <c r="P897" s="421"/>
      <c r="Q897" s="421"/>
    </row>
    <row r="898" spans="1:17" ht="15.75" customHeight="1" x14ac:dyDescent="0.2">
      <c r="A898" s="420"/>
      <c r="B898" s="421"/>
      <c r="C898" s="421"/>
      <c r="G898" s="421"/>
      <c r="H898" s="421"/>
      <c r="I898" s="421"/>
      <c r="J898" s="421"/>
      <c r="K898" s="421"/>
      <c r="L898" s="421"/>
      <c r="M898" s="421"/>
      <c r="N898" s="421"/>
      <c r="O898" s="421"/>
      <c r="P898" s="421"/>
      <c r="Q898" s="421"/>
    </row>
    <row r="899" spans="1:17" ht="15.75" customHeight="1" x14ac:dyDescent="0.2">
      <c r="A899" s="420"/>
      <c r="B899" s="421"/>
      <c r="C899" s="421"/>
      <c r="G899" s="421"/>
      <c r="H899" s="421"/>
      <c r="I899" s="421"/>
      <c r="J899" s="421"/>
      <c r="K899" s="421"/>
      <c r="L899" s="421"/>
      <c r="M899" s="421"/>
      <c r="N899" s="421"/>
      <c r="O899" s="421"/>
      <c r="P899" s="421"/>
      <c r="Q899" s="421"/>
    </row>
    <row r="900" spans="1:17" ht="15.75" customHeight="1" x14ac:dyDescent="0.2">
      <c r="A900" s="420"/>
      <c r="B900" s="421"/>
      <c r="C900" s="421"/>
      <c r="G900" s="421"/>
      <c r="H900" s="421"/>
      <c r="I900" s="421"/>
      <c r="J900" s="421"/>
      <c r="K900" s="421"/>
      <c r="L900" s="421"/>
      <c r="M900" s="421"/>
      <c r="N900" s="421"/>
      <c r="O900" s="421"/>
      <c r="P900" s="421"/>
      <c r="Q900" s="421"/>
    </row>
    <row r="901" spans="1:17" ht="15.75" customHeight="1" x14ac:dyDescent="0.2">
      <c r="A901" s="420"/>
      <c r="B901" s="421"/>
      <c r="C901" s="421"/>
      <c r="G901" s="421"/>
      <c r="H901" s="421"/>
      <c r="I901" s="421"/>
      <c r="J901" s="421"/>
      <c r="K901" s="421"/>
      <c r="L901" s="421"/>
      <c r="M901" s="421"/>
      <c r="N901" s="421"/>
      <c r="O901" s="421"/>
      <c r="P901" s="421"/>
      <c r="Q901" s="421"/>
    </row>
    <row r="902" spans="1:17" ht="15.75" customHeight="1" x14ac:dyDescent="0.2">
      <c r="A902" s="420"/>
      <c r="B902" s="421"/>
      <c r="C902" s="421"/>
      <c r="G902" s="421"/>
      <c r="H902" s="421"/>
      <c r="I902" s="421"/>
      <c r="J902" s="421"/>
      <c r="K902" s="421"/>
      <c r="L902" s="421"/>
      <c r="M902" s="421"/>
      <c r="N902" s="421"/>
      <c r="O902" s="421"/>
      <c r="P902" s="421"/>
      <c r="Q902" s="421"/>
    </row>
    <row r="903" spans="1:17" ht="15.75" customHeight="1" x14ac:dyDescent="0.2">
      <c r="A903" s="420"/>
      <c r="B903" s="421"/>
      <c r="C903" s="421"/>
      <c r="G903" s="421"/>
      <c r="H903" s="421"/>
      <c r="I903" s="421"/>
      <c r="J903" s="421"/>
      <c r="K903" s="421"/>
      <c r="L903" s="421"/>
      <c r="M903" s="421"/>
      <c r="N903" s="421"/>
      <c r="O903" s="421"/>
      <c r="P903" s="421"/>
      <c r="Q903" s="421"/>
    </row>
    <row r="904" spans="1:17" ht="15.75" customHeight="1" x14ac:dyDescent="0.2">
      <c r="A904" s="420"/>
      <c r="B904" s="421"/>
      <c r="C904" s="421"/>
      <c r="G904" s="421"/>
      <c r="H904" s="421"/>
      <c r="I904" s="421"/>
      <c r="J904" s="421"/>
      <c r="K904" s="421"/>
      <c r="L904" s="421"/>
      <c r="M904" s="421"/>
      <c r="N904" s="421"/>
      <c r="O904" s="421"/>
      <c r="P904" s="421"/>
      <c r="Q904" s="421"/>
    </row>
    <row r="905" spans="1:17" ht="15.75" customHeight="1" x14ac:dyDescent="0.2">
      <c r="A905" s="420"/>
      <c r="B905" s="421"/>
      <c r="C905" s="421"/>
      <c r="G905" s="421"/>
      <c r="H905" s="421"/>
      <c r="I905" s="421"/>
      <c r="J905" s="421"/>
      <c r="K905" s="421"/>
      <c r="L905" s="421"/>
      <c r="M905" s="421"/>
      <c r="N905" s="421"/>
      <c r="O905" s="421"/>
      <c r="P905" s="421"/>
      <c r="Q905" s="421"/>
    </row>
    <row r="906" spans="1:17" ht="15.75" customHeight="1" x14ac:dyDescent="0.2">
      <c r="A906" s="420"/>
      <c r="B906" s="421"/>
      <c r="C906" s="421"/>
      <c r="G906" s="421"/>
      <c r="H906" s="421"/>
      <c r="I906" s="421"/>
      <c r="J906" s="421"/>
      <c r="K906" s="421"/>
      <c r="L906" s="421"/>
      <c r="M906" s="421"/>
      <c r="N906" s="421"/>
      <c r="O906" s="421"/>
      <c r="P906" s="421"/>
      <c r="Q906" s="421"/>
    </row>
    <row r="907" spans="1:17" ht="15.75" customHeight="1" x14ac:dyDescent="0.2">
      <c r="A907" s="420"/>
      <c r="B907" s="421"/>
      <c r="C907" s="421"/>
      <c r="G907" s="421"/>
      <c r="H907" s="421"/>
      <c r="I907" s="421"/>
      <c r="J907" s="421"/>
      <c r="K907" s="421"/>
      <c r="L907" s="421"/>
      <c r="M907" s="421"/>
      <c r="N907" s="421"/>
      <c r="O907" s="421"/>
      <c r="P907" s="421"/>
      <c r="Q907" s="421"/>
    </row>
    <row r="908" spans="1:17" ht="15.75" customHeight="1" x14ac:dyDescent="0.2">
      <c r="A908" s="420"/>
      <c r="B908" s="421"/>
      <c r="C908" s="421"/>
      <c r="G908" s="421"/>
      <c r="H908" s="421"/>
      <c r="I908" s="421"/>
      <c r="J908" s="421"/>
      <c r="K908" s="421"/>
      <c r="L908" s="421"/>
      <c r="M908" s="421"/>
      <c r="N908" s="421"/>
      <c r="O908" s="421"/>
      <c r="P908" s="421"/>
      <c r="Q908" s="421"/>
    </row>
    <row r="909" spans="1:17" ht="15.75" customHeight="1" x14ac:dyDescent="0.2">
      <c r="A909" s="420"/>
      <c r="B909" s="421"/>
      <c r="C909" s="421"/>
      <c r="G909" s="421"/>
      <c r="H909" s="421"/>
      <c r="I909" s="421"/>
      <c r="J909" s="421"/>
      <c r="K909" s="421"/>
      <c r="L909" s="421"/>
      <c r="M909" s="421"/>
      <c r="N909" s="421"/>
      <c r="O909" s="421"/>
      <c r="P909" s="421"/>
      <c r="Q909" s="421"/>
    </row>
    <row r="910" spans="1:17" ht="15.75" customHeight="1" x14ac:dyDescent="0.2">
      <c r="A910" s="420"/>
      <c r="B910" s="421"/>
      <c r="C910" s="421"/>
      <c r="G910" s="421"/>
      <c r="H910" s="421"/>
      <c r="I910" s="421"/>
      <c r="J910" s="421"/>
      <c r="K910" s="421"/>
      <c r="L910" s="421"/>
      <c r="M910" s="421"/>
      <c r="N910" s="421"/>
      <c r="O910" s="421"/>
      <c r="P910" s="421"/>
      <c r="Q910" s="421"/>
    </row>
    <row r="911" spans="1:17" ht="15.75" customHeight="1" x14ac:dyDescent="0.2">
      <c r="A911" s="420"/>
      <c r="B911" s="421"/>
      <c r="C911" s="421"/>
      <c r="G911" s="421"/>
      <c r="H911" s="421"/>
      <c r="I911" s="421"/>
      <c r="J911" s="421"/>
      <c r="K911" s="421"/>
      <c r="L911" s="421"/>
      <c r="M911" s="421"/>
      <c r="N911" s="421"/>
      <c r="O911" s="421"/>
      <c r="P911" s="421"/>
      <c r="Q911" s="421"/>
    </row>
    <row r="912" spans="1:17" ht="15.75" customHeight="1" x14ac:dyDescent="0.2">
      <c r="A912" s="420"/>
      <c r="B912" s="421"/>
      <c r="C912" s="421"/>
      <c r="G912" s="421"/>
      <c r="H912" s="421"/>
      <c r="I912" s="421"/>
      <c r="J912" s="421"/>
      <c r="K912" s="421"/>
      <c r="L912" s="421"/>
      <c r="M912" s="421"/>
      <c r="N912" s="421"/>
      <c r="O912" s="421"/>
      <c r="P912" s="421"/>
      <c r="Q912" s="421"/>
    </row>
    <row r="913" spans="1:17" ht="15.75" customHeight="1" x14ac:dyDescent="0.2">
      <c r="A913" s="420"/>
      <c r="B913" s="421"/>
      <c r="C913" s="421"/>
      <c r="G913" s="421"/>
      <c r="H913" s="421"/>
      <c r="I913" s="421"/>
      <c r="J913" s="421"/>
      <c r="K913" s="421"/>
      <c r="L913" s="421"/>
      <c r="M913" s="421"/>
      <c r="N913" s="421"/>
      <c r="O913" s="421"/>
      <c r="P913" s="421"/>
      <c r="Q913" s="421"/>
    </row>
    <row r="914" spans="1:17" ht="15.75" customHeight="1" x14ac:dyDescent="0.2">
      <c r="A914" s="420"/>
      <c r="B914" s="421"/>
      <c r="C914" s="421"/>
      <c r="G914" s="421"/>
      <c r="H914" s="421"/>
      <c r="I914" s="421"/>
      <c r="J914" s="421"/>
      <c r="K914" s="421"/>
      <c r="L914" s="421"/>
      <c r="M914" s="421"/>
      <c r="N914" s="421"/>
      <c r="O914" s="421"/>
      <c r="P914" s="421"/>
      <c r="Q914" s="421"/>
    </row>
    <row r="915" spans="1:17" ht="15.75" customHeight="1" x14ac:dyDescent="0.2">
      <c r="A915" s="420"/>
      <c r="B915" s="421"/>
      <c r="C915" s="421"/>
      <c r="G915" s="421"/>
      <c r="H915" s="421"/>
      <c r="I915" s="421"/>
      <c r="J915" s="421"/>
      <c r="K915" s="421"/>
      <c r="L915" s="421"/>
      <c r="M915" s="421"/>
      <c r="N915" s="421"/>
      <c r="O915" s="421"/>
      <c r="P915" s="421"/>
      <c r="Q915" s="421"/>
    </row>
    <row r="916" spans="1:17" ht="15.75" customHeight="1" x14ac:dyDescent="0.2">
      <c r="A916" s="420"/>
      <c r="B916" s="421"/>
      <c r="C916" s="421"/>
      <c r="G916" s="421"/>
      <c r="H916" s="421"/>
      <c r="I916" s="421"/>
      <c r="J916" s="421"/>
      <c r="K916" s="421"/>
      <c r="L916" s="421"/>
      <c r="M916" s="421"/>
      <c r="N916" s="421"/>
      <c r="O916" s="421"/>
      <c r="P916" s="421"/>
      <c r="Q916" s="421"/>
    </row>
    <row r="917" spans="1:17" ht="15.75" customHeight="1" x14ac:dyDescent="0.2">
      <c r="A917" s="420"/>
      <c r="B917" s="421"/>
      <c r="C917" s="421"/>
      <c r="G917" s="421"/>
      <c r="H917" s="421"/>
      <c r="I917" s="421"/>
      <c r="J917" s="421"/>
      <c r="K917" s="421"/>
      <c r="L917" s="421"/>
      <c r="M917" s="421"/>
      <c r="N917" s="421"/>
      <c r="O917" s="421"/>
      <c r="P917" s="421"/>
      <c r="Q917" s="421"/>
    </row>
    <row r="918" spans="1:17" ht="15.75" customHeight="1" x14ac:dyDescent="0.2">
      <c r="A918" s="420"/>
      <c r="B918" s="421"/>
      <c r="C918" s="421"/>
      <c r="G918" s="421"/>
      <c r="H918" s="421"/>
      <c r="I918" s="421"/>
      <c r="J918" s="421"/>
      <c r="K918" s="421"/>
      <c r="L918" s="421"/>
      <c r="M918" s="421"/>
      <c r="N918" s="421"/>
      <c r="O918" s="421"/>
      <c r="P918" s="421"/>
      <c r="Q918" s="421"/>
    </row>
    <row r="919" spans="1:17" ht="15.75" customHeight="1" x14ac:dyDescent="0.2">
      <c r="A919" s="420"/>
      <c r="B919" s="421"/>
      <c r="C919" s="421"/>
      <c r="G919" s="421"/>
      <c r="H919" s="421"/>
      <c r="I919" s="421"/>
      <c r="J919" s="421"/>
      <c r="K919" s="421"/>
      <c r="L919" s="421"/>
      <c r="M919" s="421"/>
      <c r="N919" s="421"/>
      <c r="O919" s="421"/>
      <c r="P919" s="421"/>
      <c r="Q919" s="421"/>
    </row>
    <row r="920" spans="1:17" ht="15.75" customHeight="1" x14ac:dyDescent="0.2">
      <c r="A920" s="420"/>
      <c r="B920" s="421"/>
      <c r="C920" s="421"/>
      <c r="G920" s="421"/>
      <c r="H920" s="421"/>
      <c r="I920" s="421"/>
      <c r="J920" s="421"/>
      <c r="K920" s="421"/>
      <c r="L920" s="421"/>
      <c r="M920" s="421"/>
      <c r="N920" s="421"/>
      <c r="O920" s="421"/>
      <c r="P920" s="421"/>
      <c r="Q920" s="421"/>
    </row>
    <row r="921" spans="1:17" ht="15.75" customHeight="1" x14ac:dyDescent="0.2">
      <c r="A921" s="420"/>
      <c r="B921" s="421"/>
      <c r="C921" s="421"/>
      <c r="G921" s="421"/>
      <c r="H921" s="421"/>
      <c r="I921" s="421"/>
      <c r="J921" s="421"/>
      <c r="K921" s="421"/>
      <c r="L921" s="421"/>
      <c r="M921" s="421"/>
      <c r="N921" s="421"/>
      <c r="O921" s="421"/>
      <c r="P921" s="421"/>
      <c r="Q921" s="421"/>
    </row>
    <row r="922" spans="1:17" ht="15.75" customHeight="1" x14ac:dyDescent="0.2">
      <c r="A922" s="420"/>
      <c r="B922" s="421"/>
      <c r="C922" s="421"/>
      <c r="G922" s="421"/>
      <c r="H922" s="421"/>
      <c r="I922" s="421"/>
      <c r="J922" s="421"/>
      <c r="K922" s="421"/>
      <c r="L922" s="421"/>
      <c r="M922" s="421"/>
      <c r="N922" s="421"/>
      <c r="O922" s="421"/>
      <c r="P922" s="421"/>
      <c r="Q922" s="421"/>
    </row>
    <row r="923" spans="1:17" ht="15.75" customHeight="1" x14ac:dyDescent="0.2">
      <c r="A923" s="420"/>
      <c r="B923" s="421"/>
      <c r="C923" s="421"/>
      <c r="G923" s="421"/>
      <c r="H923" s="421"/>
      <c r="I923" s="421"/>
      <c r="J923" s="421"/>
      <c r="K923" s="421"/>
      <c r="L923" s="421"/>
      <c r="M923" s="421"/>
      <c r="N923" s="421"/>
      <c r="O923" s="421"/>
      <c r="P923" s="421"/>
      <c r="Q923" s="421"/>
    </row>
    <row r="924" spans="1:17" ht="15.75" customHeight="1" x14ac:dyDescent="0.2">
      <c r="A924" s="420"/>
      <c r="B924" s="421"/>
      <c r="C924" s="421"/>
      <c r="G924" s="421"/>
      <c r="H924" s="421"/>
      <c r="I924" s="421"/>
      <c r="J924" s="421"/>
      <c r="K924" s="421"/>
      <c r="L924" s="421"/>
      <c r="M924" s="421"/>
      <c r="N924" s="421"/>
      <c r="O924" s="421"/>
      <c r="P924" s="421"/>
      <c r="Q924" s="421"/>
    </row>
    <row r="925" spans="1:17" ht="15.75" customHeight="1" x14ac:dyDescent="0.2">
      <c r="A925" s="420"/>
      <c r="B925" s="421"/>
      <c r="C925" s="421"/>
      <c r="G925" s="421"/>
      <c r="H925" s="421"/>
      <c r="I925" s="421"/>
      <c r="J925" s="421"/>
      <c r="K925" s="421"/>
      <c r="L925" s="421"/>
      <c r="M925" s="421"/>
      <c r="N925" s="421"/>
      <c r="O925" s="421"/>
      <c r="P925" s="421"/>
      <c r="Q925" s="421"/>
    </row>
    <row r="926" spans="1:17" ht="15.75" customHeight="1" x14ac:dyDescent="0.2">
      <c r="A926" s="420"/>
      <c r="B926" s="421"/>
      <c r="C926" s="421"/>
      <c r="G926" s="421"/>
      <c r="H926" s="421"/>
      <c r="I926" s="421"/>
      <c r="J926" s="421"/>
      <c r="K926" s="421"/>
      <c r="L926" s="421"/>
      <c r="M926" s="421"/>
      <c r="N926" s="421"/>
      <c r="O926" s="421"/>
      <c r="P926" s="421"/>
      <c r="Q926" s="421"/>
    </row>
    <row r="927" spans="1:17" ht="15.75" customHeight="1" x14ac:dyDescent="0.2">
      <c r="A927" s="420"/>
      <c r="B927" s="421"/>
      <c r="C927" s="421"/>
      <c r="G927" s="421"/>
      <c r="H927" s="421"/>
      <c r="I927" s="421"/>
      <c r="J927" s="421"/>
      <c r="K927" s="421"/>
      <c r="L927" s="421"/>
      <c r="M927" s="421"/>
      <c r="N927" s="421"/>
      <c r="O927" s="421"/>
      <c r="P927" s="421"/>
      <c r="Q927" s="421"/>
    </row>
    <row r="928" spans="1:17" ht="15.75" customHeight="1" x14ac:dyDescent="0.2">
      <c r="A928" s="420"/>
      <c r="B928" s="421"/>
      <c r="C928" s="421"/>
      <c r="G928" s="421"/>
      <c r="H928" s="421"/>
      <c r="I928" s="421"/>
      <c r="J928" s="421"/>
      <c r="K928" s="421"/>
      <c r="L928" s="421"/>
      <c r="M928" s="421"/>
      <c r="N928" s="421"/>
      <c r="O928" s="421"/>
      <c r="P928" s="421"/>
      <c r="Q928" s="421"/>
    </row>
    <row r="929" spans="1:17" ht="15.75" customHeight="1" x14ac:dyDescent="0.2">
      <c r="A929" s="420"/>
      <c r="B929" s="421"/>
      <c r="C929" s="421"/>
      <c r="G929" s="421"/>
      <c r="H929" s="421"/>
      <c r="I929" s="421"/>
      <c r="J929" s="421"/>
      <c r="K929" s="421"/>
      <c r="L929" s="421"/>
      <c r="M929" s="421"/>
      <c r="N929" s="421"/>
      <c r="O929" s="421"/>
      <c r="P929" s="421"/>
      <c r="Q929" s="421"/>
    </row>
    <row r="930" spans="1:17" ht="15.75" customHeight="1" x14ac:dyDescent="0.2">
      <c r="A930" s="420"/>
      <c r="B930" s="421"/>
      <c r="C930" s="421"/>
      <c r="G930" s="421"/>
      <c r="H930" s="421"/>
      <c r="I930" s="421"/>
      <c r="J930" s="421"/>
      <c r="K930" s="421"/>
      <c r="L930" s="421"/>
      <c r="M930" s="421"/>
      <c r="N930" s="421"/>
      <c r="O930" s="421"/>
      <c r="P930" s="421"/>
      <c r="Q930" s="421"/>
    </row>
    <row r="931" spans="1:17" ht="15.75" customHeight="1" x14ac:dyDescent="0.2">
      <c r="A931" s="420"/>
      <c r="B931" s="421"/>
      <c r="C931" s="421"/>
      <c r="G931" s="421"/>
      <c r="H931" s="421"/>
      <c r="I931" s="421"/>
      <c r="J931" s="421"/>
      <c r="K931" s="421"/>
      <c r="L931" s="421"/>
      <c r="M931" s="421"/>
      <c r="N931" s="421"/>
      <c r="O931" s="421"/>
      <c r="P931" s="421"/>
      <c r="Q931" s="421"/>
    </row>
    <row r="932" spans="1:17" ht="15.75" customHeight="1" x14ac:dyDescent="0.2">
      <c r="A932" s="420"/>
      <c r="B932" s="421"/>
      <c r="C932" s="421"/>
      <c r="G932" s="421"/>
      <c r="H932" s="421"/>
      <c r="I932" s="421"/>
      <c r="J932" s="421"/>
      <c r="K932" s="421"/>
      <c r="L932" s="421"/>
      <c r="M932" s="421"/>
      <c r="N932" s="421"/>
      <c r="O932" s="421"/>
      <c r="P932" s="421"/>
      <c r="Q932" s="421"/>
    </row>
    <row r="933" spans="1:17" ht="15.75" customHeight="1" x14ac:dyDescent="0.2">
      <c r="A933" s="420"/>
      <c r="B933" s="421"/>
      <c r="C933" s="421"/>
      <c r="G933" s="421"/>
      <c r="H933" s="421"/>
      <c r="I933" s="421"/>
      <c r="J933" s="421"/>
      <c r="K933" s="421"/>
      <c r="L933" s="421"/>
      <c r="M933" s="421"/>
      <c r="N933" s="421"/>
      <c r="O933" s="421"/>
      <c r="P933" s="421"/>
      <c r="Q933" s="421"/>
    </row>
    <row r="934" spans="1:17" ht="15.75" customHeight="1" x14ac:dyDescent="0.2">
      <c r="A934" s="420"/>
      <c r="B934" s="421"/>
      <c r="C934" s="421"/>
      <c r="G934" s="421"/>
      <c r="H934" s="421"/>
      <c r="I934" s="421"/>
      <c r="J934" s="421"/>
      <c r="K934" s="421"/>
      <c r="L934" s="421"/>
      <c r="M934" s="421"/>
      <c r="N934" s="421"/>
      <c r="O934" s="421"/>
      <c r="P934" s="421"/>
      <c r="Q934" s="421"/>
    </row>
    <row r="935" spans="1:17" ht="15.75" customHeight="1" x14ac:dyDescent="0.2">
      <c r="A935" s="420"/>
      <c r="B935" s="421"/>
      <c r="C935" s="421"/>
      <c r="G935" s="421"/>
      <c r="H935" s="421"/>
      <c r="I935" s="421"/>
      <c r="J935" s="421"/>
      <c r="K935" s="421"/>
      <c r="L935" s="421"/>
      <c r="M935" s="421"/>
      <c r="N935" s="421"/>
      <c r="O935" s="421"/>
      <c r="P935" s="421"/>
      <c r="Q935" s="421"/>
    </row>
    <row r="936" spans="1:17" ht="15.75" customHeight="1" x14ac:dyDescent="0.2">
      <c r="A936" s="420"/>
      <c r="B936" s="421"/>
      <c r="C936" s="421"/>
      <c r="G936" s="421"/>
      <c r="H936" s="421"/>
      <c r="I936" s="421"/>
      <c r="J936" s="421"/>
      <c r="K936" s="421"/>
      <c r="L936" s="421"/>
      <c r="M936" s="421"/>
      <c r="N936" s="421"/>
      <c r="O936" s="421"/>
      <c r="P936" s="421"/>
      <c r="Q936" s="421"/>
    </row>
    <row r="937" spans="1:17" ht="15.75" customHeight="1" x14ac:dyDescent="0.2">
      <c r="B937" s="421"/>
      <c r="C937" s="421"/>
      <c r="G937" s="421"/>
      <c r="H937" s="421"/>
      <c r="I937" s="421"/>
      <c r="J937" s="421"/>
      <c r="K937" s="421"/>
      <c r="L937" s="421"/>
      <c r="M937" s="421"/>
      <c r="N937" s="421"/>
      <c r="O937" s="421"/>
      <c r="P937" s="421"/>
      <c r="Q937" s="421"/>
    </row>
    <row r="938" spans="1:17" ht="15.75" customHeight="1" x14ac:dyDescent="0.2">
      <c r="B938" s="421"/>
      <c r="C938" s="421"/>
      <c r="G938" s="421"/>
      <c r="H938" s="421"/>
      <c r="I938" s="421"/>
      <c r="J938" s="421"/>
      <c r="K938" s="421"/>
      <c r="L938" s="421"/>
      <c r="M938" s="421"/>
      <c r="N938" s="421"/>
      <c r="O938" s="421"/>
      <c r="P938" s="421"/>
      <c r="Q938" s="421"/>
    </row>
    <row r="939" spans="1:17" ht="15.75" customHeight="1" x14ac:dyDescent="0.2">
      <c r="B939" s="421"/>
      <c r="C939" s="421"/>
      <c r="G939" s="421"/>
      <c r="H939" s="421"/>
      <c r="I939" s="421"/>
      <c r="J939" s="421"/>
      <c r="K939" s="421"/>
      <c r="L939" s="421"/>
      <c r="M939" s="421"/>
      <c r="N939" s="421"/>
      <c r="O939" s="421"/>
      <c r="P939" s="421"/>
      <c r="Q939" s="421"/>
    </row>
    <row r="940" spans="1:17" ht="15.75" customHeight="1" x14ac:dyDescent="0.2">
      <c r="B940" s="421"/>
      <c r="C940" s="421"/>
      <c r="G940" s="421"/>
      <c r="H940" s="421"/>
      <c r="I940" s="421"/>
      <c r="J940" s="421"/>
      <c r="K940" s="421"/>
      <c r="L940" s="421"/>
      <c r="M940" s="421"/>
      <c r="N940" s="421"/>
      <c r="O940" s="421"/>
      <c r="P940" s="421"/>
      <c r="Q940" s="421"/>
    </row>
    <row r="941" spans="1:17" ht="15.75" customHeight="1" x14ac:dyDescent="0.2">
      <c r="B941" s="421"/>
      <c r="C941" s="421"/>
      <c r="G941" s="421"/>
      <c r="H941" s="421"/>
      <c r="I941" s="421"/>
      <c r="J941" s="421"/>
      <c r="K941" s="421"/>
      <c r="L941" s="421"/>
      <c r="M941" s="421"/>
      <c r="N941" s="421"/>
      <c r="O941" s="421"/>
      <c r="P941" s="421"/>
      <c r="Q941" s="421"/>
    </row>
    <row r="942" spans="1:17" ht="15.75" customHeight="1" x14ac:dyDescent="0.2">
      <c r="B942" s="421"/>
      <c r="C942" s="421"/>
      <c r="G942" s="421"/>
      <c r="H942" s="421"/>
      <c r="I942" s="421"/>
      <c r="J942" s="421"/>
      <c r="K942" s="421"/>
      <c r="L942" s="421"/>
      <c r="M942" s="421"/>
      <c r="N942" s="421"/>
      <c r="O942" s="421"/>
      <c r="P942" s="421"/>
      <c r="Q942" s="421"/>
    </row>
    <row r="943" spans="1:17" ht="15.75" customHeight="1" x14ac:dyDescent="0.2">
      <c r="B943" s="421"/>
      <c r="C943" s="421"/>
      <c r="G943" s="421"/>
      <c r="H943" s="421"/>
      <c r="I943" s="421"/>
      <c r="J943" s="421"/>
      <c r="K943" s="421"/>
      <c r="L943" s="421"/>
      <c r="M943" s="421"/>
      <c r="N943" s="421"/>
      <c r="O943" s="421"/>
      <c r="P943" s="421"/>
      <c r="Q943" s="421"/>
    </row>
    <row r="944" spans="1:17" ht="15.75" customHeight="1" x14ac:dyDescent="0.2">
      <c r="B944" s="421"/>
      <c r="C944" s="421"/>
      <c r="G944" s="421"/>
      <c r="H944" s="421"/>
      <c r="I944" s="421"/>
      <c r="J944" s="421"/>
      <c r="K944" s="421"/>
      <c r="L944" s="421"/>
      <c r="M944" s="421"/>
      <c r="N944" s="421"/>
      <c r="O944" s="421"/>
      <c r="P944" s="421"/>
      <c r="Q944" s="421"/>
    </row>
    <row r="945" spans="2:17" ht="15.75" customHeight="1" x14ac:dyDescent="0.2">
      <c r="B945" s="421"/>
      <c r="C945" s="421"/>
      <c r="G945" s="421"/>
      <c r="H945" s="421"/>
      <c r="I945" s="421"/>
      <c r="J945" s="421"/>
      <c r="K945" s="421"/>
      <c r="L945" s="421"/>
      <c r="M945" s="421"/>
      <c r="N945" s="421"/>
      <c r="O945" s="421"/>
      <c r="P945" s="421"/>
      <c r="Q945" s="421"/>
    </row>
    <row r="946" spans="2:17" ht="15.75" customHeight="1" x14ac:dyDescent="0.2">
      <c r="B946" s="421"/>
      <c r="C946" s="421"/>
      <c r="G946" s="421"/>
      <c r="H946" s="421"/>
      <c r="I946" s="421"/>
      <c r="J946" s="421"/>
      <c r="K946" s="421"/>
      <c r="L946" s="421"/>
      <c r="M946" s="421"/>
      <c r="N946" s="421"/>
      <c r="O946" s="421"/>
      <c r="P946" s="421"/>
      <c r="Q946" s="421"/>
    </row>
    <row r="947" spans="2:17" ht="15.75" customHeight="1" x14ac:dyDescent="0.2">
      <c r="B947" s="421"/>
      <c r="C947" s="421"/>
      <c r="G947" s="421"/>
      <c r="H947" s="421"/>
      <c r="I947" s="421"/>
      <c r="J947" s="421"/>
      <c r="K947" s="421"/>
      <c r="L947" s="421"/>
      <c r="M947" s="421"/>
      <c r="N947" s="421"/>
      <c r="O947" s="421"/>
      <c r="P947" s="421"/>
      <c r="Q947" s="421"/>
    </row>
    <row r="948" spans="2:17" ht="15.75" customHeight="1" x14ac:dyDescent="0.2">
      <c r="B948" s="421"/>
      <c r="C948" s="421"/>
      <c r="G948" s="421"/>
      <c r="H948" s="421"/>
      <c r="I948" s="421"/>
      <c r="J948" s="421"/>
      <c r="K948" s="421"/>
      <c r="L948" s="421"/>
      <c r="M948" s="421"/>
      <c r="N948" s="421"/>
      <c r="O948" s="421"/>
      <c r="P948" s="421"/>
      <c r="Q948" s="421"/>
    </row>
    <row r="949" spans="2:17" ht="15.75" customHeight="1" x14ac:dyDescent="0.2">
      <c r="B949" s="421"/>
      <c r="C949" s="421"/>
      <c r="G949" s="421"/>
      <c r="H949" s="421"/>
      <c r="I949" s="421"/>
      <c r="J949" s="421"/>
      <c r="K949" s="421"/>
      <c r="L949" s="421"/>
      <c r="M949" s="421"/>
      <c r="N949" s="421"/>
      <c r="O949" s="421"/>
      <c r="P949" s="421"/>
      <c r="Q949" s="421"/>
    </row>
    <row r="950" spans="2:17" ht="15.75" customHeight="1" x14ac:dyDescent="0.2">
      <c r="B950" s="421"/>
      <c r="C950" s="421"/>
      <c r="G950" s="421"/>
      <c r="H950" s="421"/>
      <c r="I950" s="421"/>
      <c r="J950" s="421"/>
      <c r="K950" s="421"/>
      <c r="L950" s="421"/>
      <c r="M950" s="421"/>
      <c r="N950" s="421"/>
      <c r="O950" s="421"/>
      <c r="P950" s="421"/>
      <c r="Q950" s="421"/>
    </row>
    <row r="951" spans="2:17" ht="15.75" customHeight="1" x14ac:dyDescent="0.2">
      <c r="B951" s="421"/>
      <c r="C951" s="421"/>
      <c r="G951" s="421"/>
      <c r="H951" s="421"/>
      <c r="I951" s="421"/>
      <c r="J951" s="421"/>
      <c r="K951" s="421"/>
      <c r="L951" s="421"/>
      <c r="M951" s="421"/>
      <c r="N951" s="421"/>
      <c r="O951" s="421"/>
      <c r="P951" s="421"/>
      <c r="Q951" s="421"/>
    </row>
    <row r="952" spans="2:17" ht="15.75" customHeight="1" x14ac:dyDescent="0.2">
      <c r="B952" s="421"/>
      <c r="C952" s="421"/>
      <c r="G952" s="421"/>
      <c r="H952" s="421"/>
      <c r="I952" s="421"/>
      <c r="J952" s="421"/>
      <c r="K952" s="421"/>
      <c r="L952" s="421"/>
      <c r="M952" s="421"/>
      <c r="N952" s="421"/>
      <c r="O952" s="421"/>
      <c r="P952" s="421"/>
      <c r="Q952" s="421"/>
    </row>
    <row r="953" spans="2:17" ht="15.75" customHeight="1" x14ac:dyDescent="0.2">
      <c r="B953" s="421"/>
      <c r="C953" s="421"/>
      <c r="G953" s="421"/>
      <c r="H953" s="421"/>
      <c r="I953" s="421"/>
      <c r="J953" s="421"/>
      <c r="K953" s="421"/>
      <c r="L953" s="421"/>
      <c r="M953" s="421"/>
      <c r="N953" s="421"/>
      <c r="O953" s="421"/>
      <c r="P953" s="421"/>
      <c r="Q953" s="421"/>
    </row>
    <row r="954" spans="2:17" ht="15.75" customHeight="1" x14ac:dyDescent="0.2">
      <c r="B954" s="421"/>
      <c r="C954" s="421"/>
      <c r="G954" s="421"/>
      <c r="H954" s="421"/>
      <c r="I954" s="421"/>
      <c r="J954" s="421"/>
      <c r="K954" s="421"/>
      <c r="L954" s="421"/>
      <c r="M954" s="421"/>
      <c r="N954" s="421"/>
      <c r="O954" s="421"/>
      <c r="P954" s="421"/>
      <c r="Q954" s="421"/>
    </row>
    <row r="955" spans="2:17" ht="15.75" customHeight="1" x14ac:dyDescent="0.2">
      <c r="B955" s="421"/>
      <c r="C955" s="421"/>
      <c r="G955" s="421"/>
      <c r="H955" s="421"/>
      <c r="I955" s="421"/>
      <c r="J955" s="421"/>
      <c r="K955" s="421"/>
      <c r="L955" s="421"/>
      <c r="M955" s="421"/>
      <c r="N955" s="421"/>
      <c r="O955" s="421"/>
      <c r="P955" s="421"/>
      <c r="Q955" s="421"/>
    </row>
    <row r="956" spans="2:17" ht="15.75" customHeight="1" x14ac:dyDescent="0.2">
      <c r="B956" s="421"/>
      <c r="C956" s="421"/>
      <c r="G956" s="421"/>
      <c r="H956" s="421"/>
      <c r="I956" s="421"/>
      <c r="J956" s="421"/>
      <c r="K956" s="421"/>
      <c r="L956" s="421"/>
      <c r="M956" s="421"/>
      <c r="N956" s="421"/>
      <c r="O956" s="421"/>
      <c r="P956" s="421"/>
      <c r="Q956" s="421"/>
    </row>
    <row r="957" spans="2:17" ht="15.75" customHeight="1" x14ac:dyDescent="0.2">
      <c r="B957" s="421"/>
      <c r="C957" s="421"/>
      <c r="G957" s="421"/>
      <c r="H957" s="421"/>
      <c r="I957" s="421"/>
      <c r="J957" s="421"/>
      <c r="K957" s="421"/>
      <c r="L957" s="421"/>
      <c r="M957" s="421"/>
      <c r="N957" s="421"/>
      <c r="O957" s="421"/>
      <c r="P957" s="421"/>
      <c r="Q957" s="421"/>
    </row>
    <row r="958" spans="2:17" ht="15.75" customHeight="1" x14ac:dyDescent="0.2">
      <c r="B958" s="421"/>
      <c r="C958" s="421"/>
      <c r="G958" s="421"/>
      <c r="H958" s="421"/>
      <c r="I958" s="421"/>
      <c r="J958" s="421"/>
      <c r="K958" s="421"/>
      <c r="L958" s="421"/>
      <c r="M958" s="421"/>
      <c r="N958" s="421"/>
      <c r="O958" s="421"/>
      <c r="P958" s="421"/>
      <c r="Q958" s="421"/>
    </row>
    <row r="959" spans="2:17" ht="15.75" customHeight="1" x14ac:dyDescent="0.2">
      <c r="B959" s="421"/>
      <c r="C959" s="421"/>
      <c r="G959" s="421"/>
      <c r="H959" s="421"/>
      <c r="I959" s="421"/>
      <c r="J959" s="421"/>
      <c r="K959" s="421"/>
      <c r="L959" s="421"/>
      <c r="M959" s="421"/>
      <c r="N959" s="421"/>
      <c r="O959" s="421"/>
      <c r="P959" s="421"/>
      <c r="Q959" s="421"/>
    </row>
    <row r="960" spans="2:17" ht="15.75" customHeight="1" x14ac:dyDescent="0.2">
      <c r="B960" s="421"/>
      <c r="C960" s="421"/>
      <c r="G960" s="421"/>
      <c r="H960" s="421"/>
      <c r="I960" s="421"/>
      <c r="J960" s="421"/>
      <c r="K960" s="421"/>
      <c r="L960" s="421"/>
      <c r="M960" s="421"/>
      <c r="N960" s="421"/>
      <c r="O960" s="421"/>
      <c r="P960" s="421"/>
      <c r="Q960" s="421"/>
    </row>
    <row r="961" spans="2:17" ht="15.75" customHeight="1" x14ac:dyDescent="0.2">
      <c r="B961" s="421"/>
      <c r="C961" s="421"/>
      <c r="G961" s="421"/>
      <c r="H961" s="421"/>
      <c r="I961" s="421"/>
      <c r="J961" s="421"/>
      <c r="K961" s="421"/>
      <c r="L961" s="421"/>
      <c r="M961" s="421"/>
      <c r="N961" s="421"/>
      <c r="O961" s="421"/>
      <c r="P961" s="421"/>
      <c r="Q961" s="421"/>
    </row>
    <row r="962" spans="2:17" ht="15.75" customHeight="1" x14ac:dyDescent="0.2">
      <c r="B962" s="421"/>
      <c r="C962" s="421"/>
      <c r="G962" s="421"/>
      <c r="H962" s="421"/>
      <c r="I962" s="421"/>
      <c r="J962" s="421"/>
      <c r="K962" s="421"/>
      <c r="L962" s="421"/>
      <c r="M962" s="421"/>
      <c r="N962" s="421"/>
      <c r="O962" s="421"/>
      <c r="P962" s="421"/>
      <c r="Q962" s="421"/>
    </row>
    <row r="963" spans="2:17" ht="15.75" customHeight="1" x14ac:dyDescent="0.2">
      <c r="B963" s="421"/>
      <c r="C963" s="421"/>
      <c r="G963" s="421"/>
      <c r="H963" s="421"/>
      <c r="I963" s="421"/>
      <c r="J963" s="421"/>
      <c r="K963" s="421"/>
      <c r="L963" s="421"/>
      <c r="M963" s="421"/>
      <c r="N963" s="421"/>
      <c r="O963" s="421"/>
      <c r="P963" s="421"/>
      <c r="Q963" s="421"/>
    </row>
    <row r="964" spans="2:17" ht="15.75" customHeight="1" x14ac:dyDescent="0.2">
      <c r="B964" s="421"/>
      <c r="C964" s="421"/>
      <c r="G964" s="421"/>
      <c r="H964" s="421"/>
      <c r="I964" s="421"/>
      <c r="J964" s="421"/>
      <c r="K964" s="421"/>
      <c r="L964" s="421"/>
      <c r="M964" s="421"/>
      <c r="N964" s="421"/>
      <c r="O964" s="421"/>
      <c r="P964" s="421"/>
      <c r="Q964" s="421"/>
    </row>
    <row r="965" spans="2:17" ht="15.75" customHeight="1" x14ac:dyDescent="0.2">
      <c r="B965" s="421"/>
      <c r="C965" s="421"/>
      <c r="G965" s="421"/>
      <c r="H965" s="421"/>
      <c r="I965" s="421"/>
      <c r="J965" s="421"/>
      <c r="K965" s="421"/>
      <c r="L965" s="421"/>
      <c r="M965" s="421"/>
      <c r="N965" s="421"/>
      <c r="O965" s="421"/>
      <c r="P965" s="421"/>
      <c r="Q965" s="421"/>
    </row>
    <row r="966" spans="2:17" ht="15.75" customHeight="1" x14ac:dyDescent="0.2">
      <c r="B966" s="421"/>
      <c r="C966" s="421"/>
      <c r="G966" s="421"/>
      <c r="H966" s="421"/>
      <c r="I966" s="421"/>
      <c r="J966" s="421"/>
      <c r="K966" s="421"/>
      <c r="L966" s="421"/>
      <c r="M966" s="421"/>
      <c r="N966" s="421"/>
      <c r="O966" s="421"/>
      <c r="P966" s="421"/>
      <c r="Q966" s="421"/>
    </row>
    <row r="967" spans="2:17" ht="15.75" customHeight="1" x14ac:dyDescent="0.2">
      <c r="B967" s="421"/>
      <c r="C967" s="421"/>
      <c r="G967" s="421"/>
      <c r="H967" s="421"/>
      <c r="I967" s="421"/>
      <c r="J967" s="421"/>
      <c r="K967" s="421"/>
      <c r="L967" s="421"/>
      <c r="M967" s="421"/>
      <c r="N967" s="421"/>
      <c r="O967" s="421"/>
      <c r="P967" s="421"/>
      <c r="Q967" s="421"/>
    </row>
    <row r="968" spans="2:17" ht="15.75" customHeight="1" x14ac:dyDescent="0.2">
      <c r="B968" s="421"/>
      <c r="C968" s="421"/>
      <c r="G968" s="421"/>
      <c r="H968" s="421"/>
      <c r="I968" s="421"/>
      <c r="J968" s="421"/>
      <c r="K968" s="421"/>
      <c r="L968" s="421"/>
      <c r="M968" s="421"/>
      <c r="N968" s="421"/>
      <c r="O968" s="421"/>
      <c r="P968" s="421"/>
      <c r="Q968" s="421"/>
    </row>
    <row r="969" spans="2:17" ht="15.75" customHeight="1" x14ac:dyDescent="0.2">
      <c r="B969" s="421"/>
      <c r="C969" s="421"/>
      <c r="G969" s="421"/>
      <c r="H969" s="421"/>
      <c r="I969" s="421"/>
      <c r="J969" s="421"/>
      <c r="K969" s="421"/>
      <c r="L969" s="421"/>
      <c r="M969" s="421"/>
      <c r="N969" s="421"/>
      <c r="O969" s="421"/>
      <c r="P969" s="421"/>
      <c r="Q969" s="421"/>
    </row>
    <row r="970" spans="2:17" ht="15.75" customHeight="1" x14ac:dyDescent="0.2">
      <c r="B970" s="421"/>
      <c r="C970" s="421"/>
      <c r="G970" s="421"/>
      <c r="H970" s="421"/>
      <c r="I970" s="421"/>
      <c r="J970" s="421"/>
      <c r="K970" s="421"/>
      <c r="L970" s="421"/>
      <c r="M970" s="421"/>
      <c r="N970" s="421"/>
      <c r="O970" s="421"/>
      <c r="P970" s="421"/>
      <c r="Q970" s="421"/>
    </row>
    <row r="971" spans="2:17" ht="15.75" customHeight="1" x14ac:dyDescent="0.2">
      <c r="B971" s="421"/>
      <c r="C971" s="421"/>
      <c r="G971" s="421"/>
      <c r="H971" s="421"/>
      <c r="I971" s="421"/>
      <c r="J971" s="421"/>
      <c r="K971" s="421"/>
      <c r="L971" s="421"/>
      <c r="M971" s="421"/>
      <c r="N971" s="421"/>
      <c r="O971" s="421"/>
      <c r="P971" s="421"/>
      <c r="Q971" s="421"/>
    </row>
    <row r="972" spans="2:17" ht="15.75" customHeight="1" x14ac:dyDescent="0.2">
      <c r="B972" s="421"/>
      <c r="C972" s="421"/>
      <c r="G972" s="421"/>
      <c r="H972" s="421"/>
      <c r="I972" s="421"/>
      <c r="J972" s="421"/>
      <c r="K972" s="421"/>
      <c r="L972" s="421"/>
      <c r="M972" s="421"/>
      <c r="N972" s="421"/>
      <c r="O972" s="421"/>
      <c r="P972" s="421"/>
      <c r="Q972" s="421"/>
    </row>
    <row r="973" spans="2:17" ht="15.75" customHeight="1" x14ac:dyDescent="0.2">
      <c r="B973" s="421"/>
      <c r="C973" s="421"/>
      <c r="G973" s="421"/>
      <c r="H973" s="421"/>
      <c r="I973" s="421"/>
      <c r="J973" s="421"/>
      <c r="K973" s="421"/>
      <c r="L973" s="421"/>
      <c r="M973" s="421"/>
      <c r="N973" s="421"/>
      <c r="O973" s="421"/>
      <c r="P973" s="421"/>
      <c r="Q973" s="421"/>
    </row>
    <row r="974" spans="2:17" ht="15.75" customHeight="1" x14ac:dyDescent="0.2">
      <c r="B974" s="421"/>
      <c r="C974" s="421"/>
      <c r="G974" s="421"/>
      <c r="H974" s="421"/>
      <c r="I974" s="421"/>
      <c r="J974" s="421"/>
      <c r="K974" s="421"/>
      <c r="L974" s="421"/>
      <c r="M974" s="421"/>
      <c r="N974" s="421"/>
      <c r="O974" s="421"/>
      <c r="P974" s="421"/>
      <c r="Q974" s="421"/>
    </row>
    <row r="975" spans="2:17" ht="15.75" customHeight="1" x14ac:dyDescent="0.2">
      <c r="B975" s="421"/>
      <c r="C975" s="421"/>
      <c r="G975" s="421"/>
      <c r="H975" s="421"/>
      <c r="I975" s="421"/>
      <c r="J975" s="421"/>
      <c r="K975" s="421"/>
      <c r="L975" s="421"/>
      <c r="M975" s="421"/>
      <c r="N975" s="421"/>
      <c r="O975" s="421"/>
      <c r="P975" s="421"/>
      <c r="Q975" s="421"/>
    </row>
    <row r="976" spans="2:17" ht="15.75" customHeight="1" x14ac:dyDescent="0.2">
      <c r="B976" s="421"/>
      <c r="C976" s="421"/>
      <c r="G976" s="421"/>
      <c r="H976" s="421"/>
      <c r="I976" s="421"/>
      <c r="J976" s="421"/>
      <c r="K976" s="421"/>
      <c r="L976" s="421"/>
      <c r="M976" s="421"/>
      <c r="N976" s="421"/>
      <c r="O976" s="421"/>
      <c r="P976" s="421"/>
      <c r="Q976" s="421"/>
    </row>
    <row r="977" spans="2:17" ht="15.75" customHeight="1" x14ac:dyDescent="0.2">
      <c r="B977" s="421"/>
      <c r="C977" s="421"/>
      <c r="G977" s="421"/>
      <c r="H977" s="421"/>
      <c r="I977" s="421"/>
      <c r="J977" s="421"/>
      <c r="K977" s="421"/>
      <c r="L977" s="421"/>
      <c r="M977" s="421"/>
      <c r="N977" s="421"/>
      <c r="O977" s="421"/>
      <c r="P977" s="421"/>
      <c r="Q977" s="421"/>
    </row>
    <row r="978" spans="2:17" ht="15.75" customHeight="1" x14ac:dyDescent="0.2">
      <c r="B978" s="421"/>
      <c r="C978" s="421"/>
      <c r="G978" s="421"/>
      <c r="H978" s="421"/>
      <c r="I978" s="421"/>
      <c r="J978" s="421"/>
      <c r="K978" s="421"/>
      <c r="L978" s="421"/>
      <c r="M978" s="421"/>
      <c r="N978" s="421"/>
      <c r="O978" s="421"/>
      <c r="P978" s="421"/>
      <c r="Q978" s="421"/>
    </row>
    <row r="979" spans="2:17" ht="15.75" customHeight="1" x14ac:dyDescent="0.2">
      <c r="B979" s="421"/>
      <c r="C979" s="421"/>
      <c r="G979" s="421"/>
      <c r="H979" s="421"/>
      <c r="I979" s="421"/>
      <c r="J979" s="421"/>
      <c r="K979" s="421"/>
      <c r="L979" s="421"/>
      <c r="M979" s="421"/>
      <c r="N979" s="421"/>
      <c r="O979" s="421"/>
      <c r="P979" s="421"/>
      <c r="Q979" s="421"/>
    </row>
    <row r="980" spans="2:17" ht="15.75" customHeight="1" x14ac:dyDescent="0.2">
      <c r="B980" s="421"/>
      <c r="C980" s="421"/>
      <c r="G980" s="421"/>
      <c r="H980" s="421"/>
      <c r="I980" s="421"/>
      <c r="J980" s="421"/>
      <c r="K980" s="421"/>
      <c r="L980" s="421"/>
      <c r="M980" s="421"/>
      <c r="N980" s="421"/>
      <c r="O980" s="421"/>
      <c r="P980" s="421"/>
      <c r="Q980" s="421"/>
    </row>
    <row r="981" spans="2:17" ht="15.75" customHeight="1" x14ac:dyDescent="0.2">
      <c r="B981" s="421"/>
      <c r="C981" s="421"/>
      <c r="G981" s="421"/>
      <c r="H981" s="421"/>
      <c r="I981" s="421"/>
      <c r="J981" s="421"/>
      <c r="K981" s="421"/>
      <c r="L981" s="421"/>
      <c r="M981" s="421"/>
      <c r="N981" s="421"/>
      <c r="O981" s="421"/>
      <c r="P981" s="421"/>
      <c r="Q981" s="421"/>
    </row>
    <row r="982" spans="2:17" ht="15.75" customHeight="1" x14ac:dyDescent="0.2">
      <c r="B982" s="421"/>
      <c r="C982" s="421"/>
      <c r="G982" s="421"/>
      <c r="H982" s="421"/>
      <c r="I982" s="421"/>
      <c r="J982" s="421"/>
      <c r="K982" s="421"/>
      <c r="L982" s="421"/>
      <c r="M982" s="421"/>
      <c r="N982" s="421"/>
      <c r="O982" s="421"/>
      <c r="P982" s="421"/>
      <c r="Q982" s="421"/>
    </row>
    <row r="983" spans="2:17" ht="15.75" customHeight="1" x14ac:dyDescent="0.2">
      <c r="B983" s="421"/>
      <c r="C983" s="421"/>
      <c r="G983" s="421"/>
      <c r="H983" s="421"/>
      <c r="I983" s="421"/>
      <c r="J983" s="421"/>
      <c r="K983" s="421"/>
      <c r="L983" s="421"/>
      <c r="M983" s="421"/>
      <c r="N983" s="421"/>
      <c r="O983" s="421"/>
      <c r="P983" s="421"/>
      <c r="Q983" s="421"/>
    </row>
    <row r="984" spans="2:17" ht="15.75" customHeight="1" x14ac:dyDescent="0.2">
      <c r="B984" s="421"/>
      <c r="C984" s="421"/>
      <c r="G984" s="421"/>
      <c r="H984" s="421"/>
      <c r="I984" s="421"/>
      <c r="J984" s="421"/>
      <c r="K984" s="421"/>
      <c r="L984" s="421"/>
      <c r="M984" s="421"/>
      <c r="N984" s="421"/>
      <c r="O984" s="421"/>
      <c r="P984" s="421"/>
      <c r="Q984" s="421"/>
    </row>
    <row r="985" spans="2:17" ht="15.75" customHeight="1" x14ac:dyDescent="0.2">
      <c r="B985" s="421"/>
      <c r="C985" s="421"/>
      <c r="G985" s="421"/>
      <c r="H985" s="421"/>
      <c r="I985" s="421"/>
      <c r="J985" s="421"/>
      <c r="K985" s="421"/>
      <c r="L985" s="421"/>
      <c r="M985" s="421"/>
      <c r="N985" s="421"/>
      <c r="O985" s="421"/>
      <c r="P985" s="421"/>
      <c r="Q985" s="421"/>
    </row>
    <row r="986" spans="2:17" ht="15.75" customHeight="1" x14ac:dyDescent="0.2">
      <c r="B986" s="421"/>
      <c r="C986" s="421"/>
      <c r="G986" s="421"/>
      <c r="H986" s="421"/>
      <c r="I986" s="421"/>
      <c r="J986" s="421"/>
      <c r="K986" s="421"/>
      <c r="L986" s="421"/>
      <c r="M986" s="421"/>
      <c r="N986" s="421"/>
      <c r="O986" s="421"/>
      <c r="P986" s="421"/>
      <c r="Q986" s="421"/>
    </row>
    <row r="987" spans="2:17" ht="15.75" customHeight="1" x14ac:dyDescent="0.2">
      <c r="B987" s="421"/>
      <c r="C987" s="421"/>
      <c r="G987" s="421"/>
      <c r="H987" s="421"/>
      <c r="I987" s="421"/>
      <c r="J987" s="421"/>
      <c r="K987" s="421"/>
      <c r="L987" s="421"/>
      <c r="M987" s="421"/>
      <c r="N987" s="421"/>
      <c r="O987" s="421"/>
      <c r="P987" s="421"/>
      <c r="Q987" s="421"/>
    </row>
    <row r="988" spans="2:17" ht="15.75" customHeight="1" x14ac:dyDescent="0.2">
      <c r="B988" s="421"/>
      <c r="C988" s="421"/>
      <c r="G988" s="421"/>
      <c r="H988" s="421"/>
      <c r="I988" s="421"/>
      <c r="J988" s="421"/>
      <c r="K988" s="421"/>
      <c r="L988" s="421"/>
      <c r="M988" s="421"/>
      <c r="N988" s="421"/>
      <c r="O988" s="421"/>
      <c r="P988" s="421"/>
      <c r="Q988" s="421"/>
    </row>
    <row r="989" spans="2:17" ht="15.75" customHeight="1" x14ac:dyDescent="0.2">
      <c r="B989" s="421"/>
      <c r="C989" s="421"/>
      <c r="G989" s="421"/>
      <c r="H989" s="421"/>
      <c r="I989" s="421"/>
      <c r="J989" s="421"/>
      <c r="K989" s="421"/>
      <c r="L989" s="421"/>
      <c r="M989" s="421"/>
      <c r="N989" s="421"/>
      <c r="O989" s="421"/>
      <c r="P989" s="421"/>
      <c r="Q989" s="421"/>
    </row>
    <row r="990" spans="2:17" ht="15.75" customHeight="1" x14ac:dyDescent="0.2">
      <c r="B990" s="421"/>
      <c r="C990" s="421"/>
      <c r="G990" s="421"/>
      <c r="H990" s="421"/>
      <c r="I990" s="421"/>
      <c r="J990" s="421"/>
      <c r="K990" s="421"/>
      <c r="L990" s="421"/>
      <c r="M990" s="421"/>
      <c r="N990" s="421"/>
      <c r="O990" s="421"/>
      <c r="P990" s="421"/>
      <c r="Q990" s="421"/>
    </row>
    <row r="991" spans="2:17" ht="15.75" customHeight="1" x14ac:dyDescent="0.2">
      <c r="B991" s="421"/>
      <c r="C991" s="421"/>
      <c r="G991" s="421"/>
      <c r="H991" s="421"/>
      <c r="I991" s="421"/>
      <c r="J991" s="421"/>
      <c r="K991" s="421"/>
      <c r="L991" s="421"/>
      <c r="M991" s="421"/>
      <c r="N991" s="421"/>
      <c r="O991" s="421"/>
      <c r="P991" s="421"/>
      <c r="Q991" s="421"/>
    </row>
    <row r="992" spans="2:17" ht="15.75" customHeight="1" x14ac:dyDescent="0.2">
      <c r="B992" s="421"/>
      <c r="C992" s="421"/>
      <c r="G992" s="421"/>
      <c r="H992" s="421"/>
      <c r="I992" s="421"/>
      <c r="J992" s="421"/>
      <c r="K992" s="421"/>
      <c r="L992" s="421"/>
      <c r="M992" s="421"/>
      <c r="N992" s="421"/>
      <c r="O992" s="421"/>
      <c r="P992" s="421"/>
      <c r="Q992" s="421"/>
    </row>
    <row r="993" spans="2:17" ht="15.75" customHeight="1" x14ac:dyDescent="0.2">
      <c r="B993" s="421"/>
      <c r="C993" s="421"/>
      <c r="G993" s="421"/>
      <c r="H993" s="421"/>
      <c r="I993" s="421"/>
      <c r="J993" s="421"/>
      <c r="K993" s="421"/>
      <c r="L993" s="421"/>
      <c r="M993" s="421"/>
      <c r="N993" s="421"/>
      <c r="O993" s="421"/>
      <c r="P993" s="421"/>
      <c r="Q993" s="421"/>
    </row>
    <row r="994" spans="2:17" ht="15.75" customHeight="1" x14ac:dyDescent="0.2">
      <c r="B994" s="421"/>
      <c r="C994" s="421"/>
      <c r="G994" s="421"/>
      <c r="H994" s="421"/>
      <c r="I994" s="421"/>
      <c r="J994" s="421"/>
      <c r="K994" s="421"/>
      <c r="L994" s="421"/>
      <c r="M994" s="421"/>
      <c r="N994" s="421"/>
      <c r="O994" s="421"/>
      <c r="P994" s="421"/>
      <c r="Q994" s="421"/>
    </row>
    <row r="995" spans="2:17" ht="15.75" customHeight="1" x14ac:dyDescent="0.2">
      <c r="B995" s="421"/>
      <c r="C995" s="421"/>
      <c r="G995" s="421"/>
      <c r="H995" s="421"/>
      <c r="I995" s="421"/>
      <c r="J995" s="421"/>
      <c r="K995" s="421"/>
      <c r="L995" s="421"/>
      <c r="M995" s="421"/>
      <c r="N995" s="421"/>
      <c r="O995" s="421"/>
      <c r="P995" s="421"/>
      <c r="Q995" s="421"/>
    </row>
    <row r="996" spans="2:17" ht="15.75" customHeight="1" x14ac:dyDescent="0.2">
      <c r="B996" s="421"/>
      <c r="C996" s="421"/>
      <c r="G996" s="421"/>
      <c r="H996" s="421"/>
      <c r="I996" s="421"/>
      <c r="J996" s="421"/>
      <c r="K996" s="421"/>
      <c r="L996" s="421"/>
      <c r="M996" s="421"/>
      <c r="N996" s="421"/>
      <c r="O996" s="421"/>
      <c r="P996" s="421"/>
      <c r="Q996" s="421"/>
    </row>
    <row r="997" spans="2:17" ht="15.75" customHeight="1" x14ac:dyDescent="0.2">
      <c r="B997" s="421"/>
      <c r="C997" s="421"/>
      <c r="G997" s="421"/>
      <c r="H997" s="421"/>
      <c r="I997" s="421"/>
      <c r="J997" s="421"/>
      <c r="K997" s="421"/>
      <c r="L997" s="421"/>
      <c r="M997" s="421"/>
      <c r="N997" s="421"/>
      <c r="O997" s="421"/>
      <c r="P997" s="421"/>
      <c r="Q997" s="421"/>
    </row>
    <row r="998" spans="2:17" ht="15.75" customHeight="1" x14ac:dyDescent="0.2">
      <c r="B998" s="421"/>
      <c r="C998" s="421"/>
      <c r="G998" s="421"/>
      <c r="H998" s="421"/>
      <c r="I998" s="421"/>
      <c r="J998" s="421"/>
      <c r="K998" s="421"/>
      <c r="L998" s="421"/>
      <c r="M998" s="421"/>
      <c r="N998" s="421"/>
      <c r="O998" s="421"/>
      <c r="P998" s="421"/>
      <c r="Q998" s="421"/>
    </row>
    <row r="999" spans="2:17" ht="15.75" customHeight="1" x14ac:dyDescent="0.2">
      <c r="B999" s="421"/>
      <c r="C999" s="421"/>
      <c r="G999" s="421"/>
      <c r="H999" s="421"/>
      <c r="I999" s="421"/>
      <c r="J999" s="421"/>
      <c r="K999" s="421"/>
      <c r="L999" s="421"/>
      <c r="M999" s="421"/>
      <c r="N999" s="421"/>
      <c r="O999" s="421"/>
      <c r="P999" s="421"/>
      <c r="Q999" s="421"/>
    </row>
    <row r="1000" spans="2:17" ht="15.75" customHeight="1" x14ac:dyDescent="0.2">
      <c r="B1000" s="421"/>
      <c r="C1000" s="421"/>
      <c r="G1000" s="421"/>
      <c r="H1000" s="421"/>
      <c r="I1000" s="421"/>
      <c r="J1000" s="421"/>
      <c r="K1000" s="421"/>
      <c r="L1000" s="421"/>
      <c r="M1000" s="421"/>
      <c r="N1000" s="421"/>
      <c r="O1000" s="421"/>
      <c r="P1000" s="421"/>
      <c r="Q1000" s="421"/>
    </row>
    <row r="1001" spans="2:17" ht="15.75" customHeight="1" x14ac:dyDescent="0.2">
      <c r="B1001" s="421"/>
      <c r="C1001" s="421"/>
      <c r="G1001" s="421"/>
      <c r="H1001" s="421"/>
      <c r="I1001" s="421"/>
      <c r="J1001" s="421"/>
      <c r="K1001" s="421"/>
      <c r="L1001" s="421"/>
      <c r="M1001" s="421"/>
      <c r="N1001" s="421"/>
      <c r="O1001" s="421"/>
      <c r="P1001" s="421"/>
      <c r="Q1001" s="421"/>
    </row>
    <row r="1002" spans="2:17" ht="15.75" customHeight="1" x14ac:dyDescent="0.2">
      <c r="B1002" s="421"/>
      <c r="C1002" s="421"/>
      <c r="G1002" s="421"/>
      <c r="H1002" s="421"/>
      <c r="I1002" s="421"/>
      <c r="J1002" s="421"/>
      <c r="K1002" s="421"/>
      <c r="L1002" s="421"/>
      <c r="M1002" s="421"/>
      <c r="N1002" s="421"/>
      <c r="O1002" s="421"/>
      <c r="P1002" s="421"/>
      <c r="Q1002" s="421"/>
    </row>
    <row r="1003" spans="2:17" ht="15.75" customHeight="1" x14ac:dyDescent="0.2">
      <c r="B1003" s="421"/>
      <c r="C1003" s="421"/>
      <c r="G1003" s="421"/>
      <c r="H1003" s="421"/>
      <c r="I1003" s="421"/>
      <c r="J1003" s="421"/>
      <c r="K1003" s="421"/>
      <c r="L1003" s="421"/>
      <c r="M1003" s="421"/>
      <c r="N1003" s="421"/>
      <c r="O1003" s="421"/>
      <c r="P1003" s="421"/>
      <c r="Q1003" s="421"/>
    </row>
    <row r="1004" spans="2:17" ht="15.75" customHeight="1" x14ac:dyDescent="0.2">
      <c r="B1004" s="421"/>
      <c r="C1004" s="421"/>
      <c r="G1004" s="421"/>
      <c r="H1004" s="421"/>
      <c r="I1004" s="421"/>
      <c r="J1004" s="421"/>
      <c r="K1004" s="421"/>
      <c r="L1004" s="421"/>
      <c r="M1004" s="421"/>
      <c r="N1004" s="421"/>
      <c r="O1004" s="421"/>
      <c r="P1004" s="421"/>
      <c r="Q1004" s="421"/>
    </row>
    <row r="1005" spans="2:17" ht="15.75" customHeight="1" x14ac:dyDescent="0.2">
      <c r="B1005" s="421"/>
      <c r="C1005" s="421"/>
      <c r="G1005" s="421"/>
      <c r="H1005" s="421"/>
      <c r="I1005" s="421"/>
      <c r="J1005" s="421"/>
      <c r="K1005" s="421"/>
      <c r="L1005" s="421"/>
      <c r="M1005" s="421"/>
      <c r="N1005" s="421"/>
      <c r="O1005" s="421"/>
      <c r="P1005" s="421"/>
      <c r="Q1005" s="421"/>
    </row>
    <row r="1006" spans="2:17" ht="15.75" customHeight="1" x14ac:dyDescent="0.2">
      <c r="B1006" s="421"/>
      <c r="C1006" s="421"/>
      <c r="G1006" s="421"/>
      <c r="H1006" s="421"/>
      <c r="I1006" s="421"/>
      <c r="J1006" s="421"/>
      <c r="K1006" s="421"/>
      <c r="L1006" s="421"/>
      <c r="M1006" s="421"/>
      <c r="N1006" s="421"/>
      <c r="O1006" s="421"/>
      <c r="P1006" s="421"/>
      <c r="Q1006" s="421"/>
    </row>
    <row r="1007" spans="2:17" ht="15.75" customHeight="1" x14ac:dyDescent="0.2">
      <c r="B1007" s="421"/>
      <c r="C1007" s="421"/>
      <c r="G1007" s="421"/>
      <c r="H1007" s="421"/>
      <c r="I1007" s="421"/>
      <c r="J1007" s="421"/>
      <c r="K1007" s="421"/>
      <c r="L1007" s="421"/>
      <c r="M1007" s="421"/>
      <c r="N1007" s="421"/>
      <c r="O1007" s="421"/>
      <c r="P1007" s="421"/>
      <c r="Q1007" s="421"/>
    </row>
    <row r="1008" spans="2:17" ht="15.75" customHeight="1" x14ac:dyDescent="0.2">
      <c r="B1008" s="421"/>
      <c r="C1008" s="421"/>
      <c r="G1008" s="421"/>
      <c r="H1008" s="421"/>
      <c r="I1008" s="421"/>
      <c r="J1008" s="421"/>
      <c r="K1008" s="421"/>
      <c r="L1008" s="421"/>
      <c r="M1008" s="421"/>
      <c r="N1008" s="421"/>
      <c r="O1008" s="421"/>
      <c r="P1008" s="421"/>
      <c r="Q1008" s="421"/>
    </row>
    <row r="1009" spans="2:17" ht="15.75" customHeight="1" x14ac:dyDescent="0.2">
      <c r="B1009" s="421"/>
      <c r="C1009" s="421"/>
      <c r="G1009" s="421"/>
      <c r="H1009" s="421"/>
      <c r="I1009" s="421"/>
      <c r="J1009" s="421"/>
      <c r="K1009" s="421"/>
      <c r="L1009" s="421"/>
      <c r="M1009" s="421"/>
      <c r="N1009" s="421"/>
      <c r="O1009" s="421"/>
      <c r="P1009" s="421"/>
      <c r="Q1009" s="421"/>
    </row>
    <row r="1010" spans="2:17" ht="15.75" customHeight="1" x14ac:dyDescent="0.2">
      <c r="B1010" s="421"/>
      <c r="C1010" s="421"/>
      <c r="G1010" s="421"/>
      <c r="H1010" s="421"/>
      <c r="I1010" s="421"/>
      <c r="J1010" s="421"/>
      <c r="K1010" s="421"/>
      <c r="L1010" s="421"/>
      <c r="M1010" s="421"/>
      <c r="N1010" s="421"/>
      <c r="O1010" s="421"/>
      <c r="P1010" s="421"/>
      <c r="Q1010" s="421"/>
    </row>
    <row r="1011" spans="2:17" ht="15.75" customHeight="1" x14ac:dyDescent="0.2">
      <c r="B1011" s="421"/>
      <c r="C1011" s="421"/>
      <c r="G1011" s="421"/>
      <c r="H1011" s="421"/>
      <c r="I1011" s="421"/>
      <c r="J1011" s="421"/>
      <c r="K1011" s="421"/>
      <c r="L1011" s="421"/>
      <c r="M1011" s="421"/>
      <c r="N1011" s="421"/>
      <c r="O1011" s="421"/>
      <c r="P1011" s="421"/>
      <c r="Q1011" s="421"/>
    </row>
    <row r="1012" spans="2:17" ht="15.75" customHeight="1" x14ac:dyDescent="0.2">
      <c r="B1012" s="421"/>
      <c r="C1012" s="421"/>
      <c r="G1012" s="421"/>
      <c r="H1012" s="421"/>
      <c r="I1012" s="421"/>
      <c r="J1012" s="421"/>
      <c r="K1012" s="421"/>
      <c r="L1012" s="421"/>
      <c r="M1012" s="421"/>
      <c r="N1012" s="421"/>
      <c r="O1012" s="421"/>
      <c r="P1012" s="421"/>
      <c r="Q1012" s="421"/>
    </row>
    <row r="1013" spans="2:17" ht="15.75" customHeight="1" x14ac:dyDescent="0.2">
      <c r="B1013" s="421"/>
      <c r="C1013" s="421"/>
      <c r="G1013" s="421"/>
      <c r="H1013" s="421"/>
      <c r="I1013" s="421"/>
      <c r="J1013" s="421"/>
      <c r="K1013" s="421"/>
      <c r="L1013" s="421"/>
      <c r="M1013" s="421"/>
      <c r="N1013" s="421"/>
      <c r="O1013" s="421"/>
      <c r="P1013" s="421"/>
      <c r="Q1013" s="421"/>
    </row>
    <row r="1014" spans="2:17" ht="15.75" customHeight="1" x14ac:dyDescent="0.2">
      <c r="B1014" s="421"/>
      <c r="C1014" s="421"/>
      <c r="G1014" s="421"/>
      <c r="H1014" s="421"/>
      <c r="I1014" s="421"/>
      <c r="J1014" s="421"/>
      <c r="K1014" s="421"/>
      <c r="L1014" s="421"/>
      <c r="M1014" s="421"/>
      <c r="N1014" s="421"/>
      <c r="O1014" s="421"/>
      <c r="P1014" s="421"/>
      <c r="Q1014" s="421"/>
    </row>
    <row r="1015" spans="2:17" ht="15.75" customHeight="1" x14ac:dyDescent="0.2">
      <c r="B1015" s="421"/>
      <c r="C1015" s="421"/>
      <c r="G1015" s="421"/>
      <c r="H1015" s="421"/>
      <c r="I1015" s="421"/>
      <c r="J1015" s="421"/>
      <c r="K1015" s="421"/>
      <c r="L1015" s="421"/>
      <c r="M1015" s="421"/>
      <c r="N1015" s="421"/>
      <c r="O1015" s="421"/>
      <c r="P1015" s="421"/>
      <c r="Q1015" s="421"/>
    </row>
    <row r="1016" spans="2:17" ht="15.75" customHeight="1" x14ac:dyDescent="0.2">
      <c r="B1016" s="421"/>
      <c r="C1016" s="421"/>
      <c r="G1016" s="421"/>
      <c r="H1016" s="421"/>
      <c r="I1016" s="421"/>
      <c r="J1016" s="421"/>
      <c r="K1016" s="421"/>
      <c r="L1016" s="421"/>
      <c r="M1016" s="421"/>
      <c r="N1016" s="421"/>
      <c r="O1016" s="421"/>
      <c r="P1016" s="421"/>
      <c r="Q1016" s="421"/>
    </row>
    <row r="1017" spans="2:17" ht="15.75" customHeight="1" x14ac:dyDescent="0.2">
      <c r="B1017" s="421"/>
      <c r="C1017" s="421"/>
      <c r="G1017" s="421"/>
      <c r="H1017" s="421"/>
      <c r="I1017" s="421"/>
      <c r="J1017" s="421"/>
      <c r="K1017" s="421"/>
      <c r="L1017" s="421"/>
      <c r="M1017" s="421"/>
      <c r="N1017" s="421"/>
      <c r="O1017" s="421"/>
      <c r="P1017" s="421"/>
      <c r="Q1017" s="421"/>
    </row>
    <row r="1018" spans="2:17" ht="15.75" customHeight="1" x14ac:dyDescent="0.2">
      <c r="B1018" s="421"/>
      <c r="C1018" s="421"/>
      <c r="G1018" s="421"/>
      <c r="H1018" s="421"/>
      <c r="I1018" s="421"/>
      <c r="J1018" s="421"/>
      <c r="K1018" s="421"/>
      <c r="L1018" s="421"/>
      <c r="M1018" s="421"/>
      <c r="N1018" s="421"/>
      <c r="O1018" s="421"/>
      <c r="P1018" s="421"/>
      <c r="Q1018" s="421"/>
    </row>
    <row r="1019" spans="2:17" ht="15.75" customHeight="1" x14ac:dyDescent="0.2">
      <c r="B1019" s="421"/>
      <c r="C1019" s="421"/>
      <c r="G1019" s="421"/>
      <c r="H1019" s="421"/>
      <c r="I1019" s="421"/>
      <c r="J1019" s="421"/>
      <c r="K1019" s="421"/>
      <c r="L1019" s="421"/>
      <c r="M1019" s="421"/>
      <c r="N1019" s="421"/>
      <c r="O1019" s="421"/>
      <c r="P1019" s="421"/>
      <c r="Q1019" s="421"/>
    </row>
    <row r="1020" spans="2:17" ht="15.75" customHeight="1" x14ac:dyDescent="0.2">
      <c r="B1020" s="421"/>
      <c r="C1020" s="421"/>
      <c r="G1020" s="421"/>
      <c r="H1020" s="421"/>
      <c r="I1020" s="421"/>
      <c r="J1020" s="421"/>
      <c r="K1020" s="421"/>
      <c r="L1020" s="421"/>
      <c r="M1020" s="421"/>
      <c r="N1020" s="421"/>
      <c r="O1020" s="421"/>
      <c r="P1020" s="421"/>
      <c r="Q1020" s="421"/>
    </row>
    <row r="1021" spans="2:17" ht="15.75" customHeight="1" x14ac:dyDescent="0.2">
      <c r="B1021" s="421"/>
      <c r="C1021" s="421"/>
      <c r="G1021" s="421"/>
      <c r="H1021" s="421"/>
      <c r="I1021" s="421"/>
      <c r="J1021" s="421"/>
      <c r="K1021" s="421"/>
      <c r="L1021" s="421"/>
      <c r="M1021" s="421"/>
      <c r="N1021" s="421"/>
      <c r="O1021" s="421"/>
      <c r="P1021" s="421"/>
      <c r="Q1021" s="421"/>
    </row>
    <row r="1022" spans="2:17" ht="15.75" customHeight="1" x14ac:dyDescent="0.2">
      <c r="B1022" s="421"/>
      <c r="C1022" s="421"/>
      <c r="G1022" s="421"/>
      <c r="H1022" s="421"/>
      <c r="I1022" s="421"/>
      <c r="J1022" s="421"/>
      <c r="K1022" s="421"/>
      <c r="L1022" s="421"/>
      <c r="M1022" s="421"/>
      <c r="N1022" s="421"/>
      <c r="O1022" s="421"/>
      <c r="P1022" s="421"/>
      <c r="Q1022" s="421"/>
    </row>
    <row r="1023" spans="2:17" ht="15.75" customHeight="1" x14ac:dyDescent="0.2">
      <c r="B1023" s="421"/>
      <c r="C1023" s="421"/>
      <c r="G1023" s="421"/>
      <c r="H1023" s="421"/>
      <c r="I1023" s="421"/>
      <c r="J1023" s="421"/>
      <c r="K1023" s="421"/>
      <c r="L1023" s="421"/>
      <c r="M1023" s="421"/>
      <c r="N1023" s="421"/>
      <c r="O1023" s="421"/>
      <c r="P1023" s="421"/>
      <c r="Q1023" s="421"/>
    </row>
    <row r="1024" spans="2:17" ht="15.75" customHeight="1" x14ac:dyDescent="0.2">
      <c r="B1024" s="421"/>
      <c r="C1024" s="421"/>
      <c r="G1024" s="421"/>
      <c r="H1024" s="421"/>
      <c r="I1024" s="421"/>
      <c r="J1024" s="421"/>
      <c r="K1024" s="421"/>
      <c r="L1024" s="421"/>
      <c r="M1024" s="421"/>
      <c r="N1024" s="421"/>
      <c r="O1024" s="421"/>
      <c r="P1024" s="421"/>
      <c r="Q1024" s="421"/>
    </row>
    <row r="1025" spans="2:17" ht="15.75" customHeight="1" x14ac:dyDescent="0.2">
      <c r="B1025" s="421"/>
      <c r="C1025" s="421"/>
      <c r="G1025" s="421"/>
      <c r="H1025" s="421"/>
      <c r="I1025" s="421"/>
      <c r="J1025" s="421"/>
      <c r="K1025" s="421"/>
      <c r="L1025" s="421"/>
      <c r="M1025" s="421"/>
      <c r="N1025" s="421"/>
      <c r="O1025" s="421"/>
      <c r="P1025" s="421"/>
      <c r="Q1025" s="421"/>
    </row>
    <row r="1026" spans="2:17" ht="15.75" customHeight="1" x14ac:dyDescent="0.2">
      <c r="B1026" s="421"/>
      <c r="C1026" s="421"/>
      <c r="G1026" s="421"/>
      <c r="H1026" s="421"/>
      <c r="I1026" s="421"/>
      <c r="J1026" s="421"/>
      <c r="K1026" s="421"/>
      <c r="L1026" s="421"/>
      <c r="M1026" s="421"/>
      <c r="N1026" s="421"/>
      <c r="O1026" s="421"/>
      <c r="P1026" s="421"/>
      <c r="Q1026" s="421"/>
    </row>
    <row r="1027" spans="2:17" ht="15.75" customHeight="1" x14ac:dyDescent="0.2">
      <c r="B1027" s="421"/>
      <c r="C1027" s="421"/>
      <c r="G1027" s="421"/>
      <c r="H1027" s="421"/>
      <c r="I1027" s="421"/>
      <c r="J1027" s="421"/>
      <c r="K1027" s="421"/>
      <c r="L1027" s="421"/>
      <c r="M1027" s="421"/>
      <c r="N1027" s="421"/>
      <c r="O1027" s="421"/>
      <c r="P1027" s="421"/>
      <c r="Q1027" s="421"/>
    </row>
    <row r="1028" spans="2:17" ht="15.75" customHeight="1" x14ac:dyDescent="0.2">
      <c r="B1028" s="421"/>
      <c r="C1028" s="421"/>
      <c r="G1028" s="421"/>
      <c r="H1028" s="421"/>
      <c r="I1028" s="421"/>
      <c r="J1028" s="421"/>
      <c r="K1028" s="421"/>
      <c r="L1028" s="421"/>
      <c r="M1028" s="421"/>
      <c r="N1028" s="421"/>
      <c r="O1028" s="421"/>
      <c r="P1028" s="421"/>
      <c r="Q1028" s="421"/>
    </row>
    <row r="1029" spans="2:17" ht="15.75" customHeight="1" x14ac:dyDescent="0.2">
      <c r="B1029" s="421"/>
      <c r="C1029" s="421"/>
      <c r="G1029" s="421"/>
      <c r="H1029" s="421"/>
      <c r="I1029" s="421"/>
      <c r="J1029" s="421"/>
      <c r="K1029" s="421"/>
      <c r="L1029" s="421"/>
      <c r="M1029" s="421"/>
      <c r="N1029" s="421"/>
      <c r="O1029" s="421"/>
      <c r="P1029" s="421"/>
      <c r="Q1029" s="421"/>
    </row>
    <row r="1030" spans="2:17" ht="15.75" customHeight="1" x14ac:dyDescent="0.2">
      <c r="B1030" s="421"/>
      <c r="C1030" s="421"/>
      <c r="G1030" s="421"/>
      <c r="H1030" s="421"/>
      <c r="I1030" s="421"/>
      <c r="J1030" s="421"/>
      <c r="K1030" s="421"/>
      <c r="L1030" s="421"/>
      <c r="M1030" s="421"/>
      <c r="N1030" s="421"/>
      <c r="O1030" s="421"/>
      <c r="P1030" s="421"/>
      <c r="Q1030" s="421"/>
    </row>
    <row r="1031" spans="2:17" ht="15.75" customHeight="1" x14ac:dyDescent="0.2">
      <c r="B1031" s="421"/>
      <c r="C1031" s="421"/>
      <c r="G1031" s="421"/>
      <c r="H1031" s="421"/>
      <c r="I1031" s="421"/>
      <c r="J1031" s="421"/>
      <c r="K1031" s="421"/>
      <c r="L1031" s="421"/>
      <c r="M1031" s="421"/>
      <c r="N1031" s="421"/>
      <c r="O1031" s="421"/>
      <c r="P1031" s="421"/>
      <c r="Q1031" s="421"/>
    </row>
    <row r="1032" spans="2:17" ht="15.75" customHeight="1" x14ac:dyDescent="0.2">
      <c r="B1032" s="421"/>
      <c r="C1032" s="421"/>
      <c r="G1032" s="421"/>
      <c r="H1032" s="421"/>
      <c r="I1032" s="421"/>
      <c r="J1032" s="421"/>
      <c r="K1032" s="421"/>
      <c r="L1032" s="421"/>
      <c r="M1032" s="421"/>
      <c r="N1032" s="421"/>
      <c r="O1032" s="421"/>
      <c r="P1032" s="421"/>
      <c r="Q1032" s="421"/>
    </row>
    <row r="1033" spans="2:17" ht="15.75" customHeight="1" x14ac:dyDescent="0.2">
      <c r="B1033" s="421"/>
      <c r="C1033" s="421"/>
      <c r="G1033" s="421"/>
      <c r="H1033" s="421"/>
      <c r="I1033" s="421"/>
      <c r="J1033" s="421"/>
      <c r="K1033" s="421"/>
      <c r="L1033" s="421"/>
      <c r="M1033" s="421"/>
      <c r="N1033" s="421"/>
      <c r="O1033" s="421"/>
      <c r="P1033" s="421"/>
      <c r="Q1033" s="421"/>
    </row>
    <row r="1034" spans="2:17" ht="15.75" customHeight="1" x14ac:dyDescent="0.2">
      <c r="B1034" s="421"/>
      <c r="C1034" s="421"/>
      <c r="G1034" s="421"/>
      <c r="H1034" s="421"/>
      <c r="I1034" s="421"/>
      <c r="J1034" s="421"/>
      <c r="K1034" s="421"/>
      <c r="L1034" s="421"/>
      <c r="M1034" s="421"/>
      <c r="N1034" s="421"/>
      <c r="O1034" s="421"/>
      <c r="P1034" s="421"/>
      <c r="Q1034" s="421"/>
    </row>
    <row r="1035" spans="2:17" ht="15.75" customHeight="1" x14ac:dyDescent="0.2">
      <c r="B1035" s="421"/>
      <c r="C1035" s="421"/>
      <c r="G1035" s="421"/>
      <c r="H1035" s="421"/>
      <c r="I1035" s="421"/>
      <c r="J1035" s="421"/>
      <c r="K1035" s="421"/>
      <c r="L1035" s="421"/>
      <c r="M1035" s="421"/>
      <c r="N1035" s="421"/>
      <c r="O1035" s="421"/>
      <c r="P1035" s="421"/>
      <c r="Q1035" s="421"/>
    </row>
    <row r="1036" spans="2:17" ht="15.75" customHeight="1" x14ac:dyDescent="0.2">
      <c r="B1036" s="421"/>
      <c r="C1036" s="421"/>
      <c r="G1036" s="421"/>
      <c r="H1036" s="421"/>
      <c r="I1036" s="421"/>
      <c r="J1036" s="421"/>
      <c r="K1036" s="421"/>
      <c r="L1036" s="421"/>
      <c r="M1036" s="421"/>
      <c r="N1036" s="421"/>
      <c r="O1036" s="421"/>
      <c r="P1036" s="421"/>
      <c r="Q1036" s="421"/>
    </row>
    <row r="1037" spans="2:17" ht="15.75" customHeight="1" x14ac:dyDescent="0.2">
      <c r="B1037" s="421"/>
      <c r="C1037" s="421"/>
      <c r="G1037" s="421"/>
      <c r="H1037" s="421"/>
      <c r="I1037" s="421"/>
      <c r="J1037" s="421"/>
      <c r="K1037" s="421"/>
      <c r="L1037" s="421"/>
      <c r="M1037" s="421"/>
      <c r="N1037" s="421"/>
      <c r="O1037" s="421"/>
      <c r="P1037" s="421"/>
      <c r="Q1037" s="421"/>
    </row>
    <row r="1038" spans="2:17" ht="15.75" customHeight="1" x14ac:dyDescent="0.2">
      <c r="B1038" s="421"/>
      <c r="C1038" s="421"/>
      <c r="G1038" s="421"/>
      <c r="H1038" s="421"/>
      <c r="I1038" s="421"/>
      <c r="J1038" s="421"/>
      <c r="K1038" s="421"/>
      <c r="L1038" s="421"/>
      <c r="M1038" s="421"/>
      <c r="N1038" s="421"/>
      <c r="O1038" s="421"/>
      <c r="P1038" s="421"/>
      <c r="Q1038" s="421"/>
    </row>
    <row r="1039" spans="2:17" ht="15.75" customHeight="1" x14ac:dyDescent="0.2">
      <c r="B1039" s="421"/>
      <c r="C1039" s="421"/>
      <c r="G1039" s="421"/>
      <c r="H1039" s="421"/>
      <c r="I1039" s="421"/>
      <c r="J1039" s="421"/>
      <c r="K1039" s="421"/>
      <c r="L1039" s="421"/>
      <c r="M1039" s="421"/>
      <c r="N1039" s="421"/>
      <c r="O1039" s="421"/>
      <c r="P1039" s="421"/>
      <c r="Q1039" s="421"/>
    </row>
    <row r="1040" spans="2:17" ht="15.75" customHeight="1" x14ac:dyDescent="0.2">
      <c r="B1040" s="421"/>
      <c r="C1040" s="421"/>
      <c r="G1040" s="421"/>
      <c r="H1040" s="421"/>
      <c r="I1040" s="421"/>
      <c r="J1040" s="421"/>
      <c r="K1040" s="421"/>
      <c r="L1040" s="421"/>
      <c r="M1040" s="421"/>
      <c r="N1040" s="421"/>
      <c r="O1040" s="421"/>
      <c r="P1040" s="421"/>
      <c r="Q1040" s="421"/>
    </row>
    <row r="1041" spans="2:17" ht="15.75" customHeight="1" x14ac:dyDescent="0.2">
      <c r="B1041" s="421"/>
      <c r="C1041" s="421"/>
      <c r="G1041" s="421"/>
      <c r="H1041" s="421"/>
      <c r="I1041" s="421"/>
      <c r="J1041" s="421"/>
      <c r="K1041" s="421"/>
      <c r="L1041" s="421"/>
      <c r="M1041" s="421"/>
      <c r="N1041" s="421"/>
      <c r="O1041" s="421"/>
      <c r="P1041" s="421"/>
      <c r="Q1041" s="421"/>
    </row>
    <row r="1042" spans="2:17" ht="15.75" customHeight="1" x14ac:dyDescent="0.2">
      <c r="B1042" s="421"/>
      <c r="C1042" s="421"/>
      <c r="G1042" s="421"/>
      <c r="H1042" s="421"/>
      <c r="I1042" s="421"/>
      <c r="J1042" s="421"/>
      <c r="K1042" s="421"/>
      <c r="L1042" s="421"/>
      <c r="M1042" s="421"/>
      <c r="N1042" s="421"/>
      <c r="O1042" s="421"/>
      <c r="P1042" s="421"/>
      <c r="Q1042" s="421"/>
    </row>
    <row r="1043" spans="2:17" ht="15.75" customHeight="1" x14ac:dyDescent="0.2">
      <c r="B1043" s="421"/>
      <c r="C1043" s="421"/>
      <c r="G1043" s="421"/>
      <c r="H1043" s="421"/>
      <c r="I1043" s="421"/>
      <c r="J1043" s="421"/>
      <c r="K1043" s="421"/>
      <c r="L1043" s="421"/>
      <c r="M1043" s="421"/>
      <c r="N1043" s="421"/>
      <c r="O1043" s="421"/>
      <c r="P1043" s="421"/>
      <c r="Q1043" s="421"/>
    </row>
    <row r="1044" spans="2:17" ht="15.75" customHeight="1" x14ac:dyDescent="0.2">
      <c r="B1044" s="421"/>
      <c r="C1044" s="421"/>
      <c r="G1044" s="421"/>
      <c r="H1044" s="421"/>
      <c r="I1044" s="421"/>
      <c r="J1044" s="421"/>
      <c r="K1044" s="421"/>
      <c r="L1044" s="421"/>
      <c r="M1044" s="421"/>
      <c r="N1044" s="421"/>
      <c r="O1044" s="421"/>
      <c r="P1044" s="421"/>
      <c r="Q1044" s="421"/>
    </row>
    <row r="1045" spans="2:17" ht="15.75" customHeight="1" x14ac:dyDescent="0.2">
      <c r="B1045" s="421"/>
      <c r="C1045" s="421"/>
      <c r="G1045" s="421"/>
      <c r="H1045" s="421"/>
      <c r="I1045" s="421"/>
      <c r="J1045" s="421"/>
      <c r="K1045" s="421"/>
      <c r="L1045" s="421"/>
      <c r="M1045" s="421"/>
      <c r="N1045" s="421"/>
      <c r="O1045" s="421"/>
      <c r="P1045" s="421"/>
      <c r="Q1045" s="421"/>
    </row>
    <row r="1046" spans="2:17" ht="15.75" customHeight="1" x14ac:dyDescent="0.2">
      <c r="B1046" s="421"/>
      <c r="C1046" s="421"/>
      <c r="G1046" s="421"/>
      <c r="H1046" s="421"/>
      <c r="I1046" s="421"/>
      <c r="J1046" s="421"/>
      <c r="K1046" s="421"/>
      <c r="L1046" s="421"/>
      <c r="M1046" s="421"/>
      <c r="N1046" s="421"/>
      <c r="O1046" s="421"/>
      <c r="P1046" s="421"/>
      <c r="Q1046" s="421"/>
    </row>
    <row r="1047" spans="2:17" ht="15.75" customHeight="1" x14ac:dyDescent="0.2">
      <c r="B1047" s="421"/>
      <c r="C1047" s="421"/>
      <c r="G1047" s="421"/>
      <c r="H1047" s="421"/>
      <c r="I1047" s="421"/>
      <c r="J1047" s="421"/>
      <c r="K1047" s="421"/>
      <c r="L1047" s="421"/>
      <c r="M1047" s="421"/>
      <c r="N1047" s="421"/>
      <c r="O1047" s="421"/>
      <c r="P1047" s="421"/>
      <c r="Q1047" s="421"/>
    </row>
    <row r="1048" spans="2:17" ht="15.75" customHeight="1" x14ac:dyDescent="0.2">
      <c r="B1048" s="421"/>
      <c r="C1048" s="421"/>
      <c r="G1048" s="421"/>
      <c r="H1048" s="421"/>
      <c r="I1048" s="421"/>
      <c r="J1048" s="421"/>
      <c r="K1048" s="421"/>
      <c r="L1048" s="421"/>
      <c r="M1048" s="421"/>
      <c r="N1048" s="421"/>
      <c r="O1048" s="421"/>
      <c r="P1048" s="421"/>
      <c r="Q1048" s="421"/>
    </row>
    <row r="1049" spans="2:17" ht="15.75" customHeight="1" x14ac:dyDescent="0.2">
      <c r="B1049" s="421"/>
      <c r="C1049" s="421"/>
      <c r="G1049" s="421"/>
      <c r="H1049" s="421"/>
      <c r="I1049" s="421"/>
      <c r="J1049" s="421"/>
      <c r="K1049" s="421"/>
      <c r="L1049" s="421"/>
      <c r="M1049" s="421"/>
      <c r="N1049" s="421"/>
      <c r="O1049" s="421"/>
      <c r="P1049" s="421"/>
      <c r="Q1049" s="421"/>
    </row>
    <row r="1050" spans="2:17" ht="15.75" customHeight="1" x14ac:dyDescent="0.2">
      <c r="B1050" s="421"/>
      <c r="C1050" s="421"/>
      <c r="G1050" s="421"/>
      <c r="H1050" s="421"/>
      <c r="I1050" s="421"/>
      <c r="J1050" s="421"/>
      <c r="K1050" s="421"/>
      <c r="L1050" s="421"/>
      <c r="M1050" s="421"/>
      <c r="N1050" s="421"/>
      <c r="O1050" s="421"/>
      <c r="P1050" s="421"/>
      <c r="Q1050" s="421"/>
    </row>
    <row r="1051" spans="2:17" ht="15.75" customHeight="1" x14ac:dyDescent="0.2">
      <c r="B1051" s="421"/>
      <c r="C1051" s="421"/>
      <c r="G1051" s="421"/>
      <c r="H1051" s="421"/>
      <c r="I1051" s="421"/>
      <c r="J1051" s="421"/>
      <c r="K1051" s="421"/>
      <c r="L1051" s="421"/>
      <c r="M1051" s="421"/>
      <c r="N1051" s="421"/>
      <c r="O1051" s="421"/>
      <c r="P1051" s="421"/>
      <c r="Q1051" s="421"/>
    </row>
    <row r="1052" spans="2:17" ht="15.75" customHeight="1" x14ac:dyDescent="0.2">
      <c r="B1052" s="421"/>
      <c r="C1052" s="421"/>
      <c r="G1052" s="421"/>
      <c r="H1052" s="421"/>
      <c r="I1052" s="421"/>
      <c r="J1052" s="421"/>
      <c r="K1052" s="421"/>
      <c r="L1052" s="421"/>
      <c r="M1052" s="421"/>
      <c r="N1052" s="421"/>
      <c r="O1052" s="421"/>
      <c r="P1052" s="421"/>
      <c r="Q1052" s="421"/>
    </row>
    <row r="1053" spans="2:17" ht="15.75" customHeight="1" x14ac:dyDescent="0.2">
      <c r="B1053" s="421"/>
      <c r="C1053" s="421"/>
      <c r="G1053" s="421"/>
      <c r="H1053" s="421"/>
      <c r="I1053" s="421"/>
      <c r="J1053" s="421"/>
      <c r="K1053" s="421"/>
      <c r="L1053" s="421"/>
      <c r="M1053" s="421"/>
      <c r="N1053" s="421"/>
      <c r="O1053" s="421"/>
      <c r="P1053" s="421"/>
      <c r="Q1053" s="421"/>
    </row>
    <row r="1054" spans="2:17" ht="15.75" customHeight="1" x14ac:dyDescent="0.2">
      <c r="B1054" s="421"/>
      <c r="C1054" s="421"/>
      <c r="G1054" s="421"/>
      <c r="H1054" s="421"/>
      <c r="I1054" s="421"/>
      <c r="J1054" s="421"/>
      <c r="K1054" s="421"/>
      <c r="L1054" s="421"/>
      <c r="M1054" s="421"/>
      <c r="N1054" s="421"/>
      <c r="O1054" s="421"/>
      <c r="P1054" s="421"/>
      <c r="Q1054" s="421"/>
    </row>
    <row r="1055" spans="2:17" ht="15.75" customHeight="1" x14ac:dyDescent="0.2">
      <c r="B1055" s="421"/>
      <c r="C1055" s="421"/>
      <c r="G1055" s="421"/>
      <c r="H1055" s="421"/>
      <c r="I1055" s="421"/>
      <c r="J1055" s="421"/>
      <c r="K1055" s="421"/>
      <c r="L1055" s="421"/>
      <c r="M1055" s="421"/>
      <c r="N1055" s="421"/>
      <c r="O1055" s="421"/>
      <c r="P1055" s="421"/>
      <c r="Q1055" s="421"/>
    </row>
    <row r="1056" spans="2:17" ht="15.75" customHeight="1" x14ac:dyDescent="0.2">
      <c r="B1056" s="421"/>
      <c r="C1056" s="421"/>
      <c r="G1056" s="421"/>
      <c r="H1056" s="421"/>
      <c r="I1056" s="421"/>
      <c r="J1056" s="421"/>
      <c r="K1056" s="421"/>
      <c r="L1056" s="421"/>
      <c r="M1056" s="421"/>
      <c r="N1056" s="421"/>
      <c r="O1056" s="421"/>
      <c r="P1056" s="421"/>
      <c r="Q1056" s="421"/>
    </row>
    <row r="1057" spans="2:17" ht="15.75" customHeight="1" x14ac:dyDescent="0.2">
      <c r="B1057" s="421"/>
      <c r="C1057" s="421"/>
      <c r="G1057" s="421"/>
      <c r="H1057" s="421"/>
      <c r="I1057" s="421"/>
      <c r="J1057" s="421"/>
      <c r="K1057" s="421"/>
      <c r="L1057" s="421"/>
      <c r="M1057" s="421"/>
      <c r="N1057" s="421"/>
      <c r="O1057" s="421"/>
      <c r="P1057" s="421"/>
      <c r="Q1057" s="421"/>
    </row>
    <row r="1058" spans="2:17" ht="15.75" customHeight="1" x14ac:dyDescent="0.2">
      <c r="B1058" s="421"/>
      <c r="C1058" s="421"/>
      <c r="G1058" s="421"/>
      <c r="H1058" s="421"/>
      <c r="I1058" s="421"/>
      <c r="J1058" s="421"/>
      <c r="K1058" s="421"/>
      <c r="L1058" s="421"/>
      <c r="M1058" s="421"/>
      <c r="N1058" s="421"/>
      <c r="O1058" s="421"/>
      <c r="P1058" s="421"/>
      <c r="Q1058" s="421"/>
    </row>
    <row r="1059" spans="2:17" ht="15.75" customHeight="1" x14ac:dyDescent="0.2">
      <c r="B1059" s="421"/>
      <c r="C1059" s="421"/>
      <c r="G1059" s="421"/>
      <c r="H1059" s="421"/>
      <c r="I1059" s="421"/>
      <c r="J1059" s="421"/>
      <c r="K1059" s="421"/>
      <c r="L1059" s="421"/>
      <c r="M1059" s="421"/>
      <c r="N1059" s="421"/>
      <c r="O1059" s="421"/>
      <c r="P1059" s="421"/>
      <c r="Q1059" s="421"/>
    </row>
    <row r="1060" spans="2:17" ht="15.75" customHeight="1" x14ac:dyDescent="0.2">
      <c r="B1060" s="421"/>
      <c r="C1060" s="421"/>
      <c r="G1060" s="421"/>
      <c r="H1060" s="421"/>
      <c r="I1060" s="421"/>
      <c r="J1060" s="421"/>
      <c r="K1060" s="421"/>
      <c r="L1060" s="421"/>
      <c r="M1060" s="421"/>
      <c r="N1060" s="421"/>
      <c r="O1060" s="421"/>
      <c r="P1060" s="421"/>
      <c r="Q1060" s="421"/>
    </row>
    <row r="1061" spans="2:17" ht="15.75" customHeight="1" x14ac:dyDescent="0.2">
      <c r="B1061" s="421"/>
      <c r="C1061" s="421"/>
      <c r="G1061" s="421"/>
      <c r="H1061" s="421"/>
      <c r="I1061" s="421"/>
      <c r="J1061" s="421"/>
      <c r="K1061" s="421"/>
      <c r="L1061" s="421"/>
      <c r="M1061" s="421"/>
      <c r="N1061" s="421"/>
      <c r="O1061" s="421"/>
      <c r="P1061" s="421"/>
      <c r="Q1061" s="421"/>
    </row>
    <row r="1062" spans="2:17" ht="15.75" customHeight="1" x14ac:dyDescent="0.2">
      <c r="B1062" s="421"/>
      <c r="C1062" s="421"/>
      <c r="G1062" s="421"/>
      <c r="H1062" s="421"/>
      <c r="I1062" s="421"/>
      <c r="J1062" s="421"/>
      <c r="K1062" s="421"/>
      <c r="L1062" s="421"/>
      <c r="M1062" s="421"/>
      <c r="N1062" s="421"/>
      <c r="O1062" s="421"/>
      <c r="P1062" s="421"/>
      <c r="Q1062" s="421"/>
    </row>
    <row r="1063" spans="2:17" ht="15.75" customHeight="1" x14ac:dyDescent="0.2">
      <c r="B1063" s="421"/>
      <c r="C1063" s="421"/>
      <c r="G1063" s="421"/>
      <c r="H1063" s="421"/>
      <c r="I1063" s="421"/>
      <c r="J1063" s="421"/>
      <c r="K1063" s="421"/>
      <c r="L1063" s="421"/>
      <c r="M1063" s="421"/>
      <c r="N1063" s="421"/>
      <c r="O1063" s="421"/>
      <c r="P1063" s="421"/>
      <c r="Q1063" s="421"/>
    </row>
    <row r="1064" spans="2:17" ht="15.75" customHeight="1" x14ac:dyDescent="0.2">
      <c r="B1064" s="421"/>
      <c r="C1064" s="421"/>
      <c r="G1064" s="421"/>
      <c r="H1064" s="421"/>
      <c r="I1064" s="421"/>
      <c r="J1064" s="421"/>
      <c r="K1064" s="421"/>
      <c r="L1064" s="421"/>
      <c r="M1064" s="421"/>
      <c r="N1064" s="421"/>
      <c r="O1064" s="421"/>
      <c r="P1064" s="421"/>
      <c r="Q1064" s="421"/>
    </row>
    <row r="1065" spans="2:17" ht="15.75" customHeight="1" x14ac:dyDescent="0.2">
      <c r="B1065" s="421"/>
      <c r="C1065" s="421"/>
      <c r="G1065" s="421"/>
      <c r="H1065" s="421"/>
      <c r="I1065" s="421"/>
      <c r="J1065" s="421"/>
      <c r="K1065" s="421"/>
      <c r="L1065" s="421"/>
      <c r="M1065" s="421"/>
      <c r="N1065" s="421"/>
      <c r="O1065" s="421"/>
      <c r="P1065" s="421"/>
      <c r="Q1065" s="421"/>
    </row>
    <row r="1066" spans="2:17" ht="15.75" customHeight="1" x14ac:dyDescent="0.2">
      <c r="B1066" s="421"/>
      <c r="C1066" s="421"/>
      <c r="G1066" s="421"/>
      <c r="H1066" s="421"/>
      <c r="I1066" s="421"/>
      <c r="J1066" s="421"/>
      <c r="K1066" s="421"/>
      <c r="L1066" s="421"/>
      <c r="M1066" s="421"/>
      <c r="N1066" s="421"/>
      <c r="O1066" s="421"/>
      <c r="P1066" s="421"/>
      <c r="Q1066" s="421"/>
    </row>
    <row r="1067" spans="2:17" ht="15.75" customHeight="1" x14ac:dyDescent="0.2">
      <c r="B1067" s="421"/>
      <c r="C1067" s="421"/>
      <c r="G1067" s="421"/>
      <c r="H1067" s="421"/>
      <c r="I1067" s="421"/>
      <c r="J1067" s="421"/>
      <c r="K1067" s="421"/>
      <c r="L1067" s="421"/>
      <c r="M1067" s="421"/>
      <c r="N1067" s="421"/>
      <c r="O1067" s="421"/>
      <c r="P1067" s="421"/>
      <c r="Q1067" s="421"/>
    </row>
    <row r="1068" spans="2:17" ht="15.75" customHeight="1" x14ac:dyDescent="0.2">
      <c r="B1068" s="421"/>
      <c r="C1068" s="421"/>
      <c r="G1068" s="421"/>
      <c r="H1068" s="421"/>
      <c r="I1068" s="421"/>
      <c r="J1068" s="421"/>
      <c r="K1068" s="421"/>
      <c r="L1068" s="421"/>
      <c r="M1068" s="421"/>
      <c r="N1068" s="421"/>
      <c r="O1068" s="421"/>
      <c r="P1068" s="421"/>
      <c r="Q1068" s="421"/>
    </row>
    <row r="1069" spans="2:17" ht="15.75" customHeight="1" x14ac:dyDescent="0.2">
      <c r="B1069" s="421"/>
      <c r="C1069" s="421"/>
      <c r="G1069" s="421"/>
      <c r="H1069" s="421"/>
      <c r="I1069" s="421"/>
      <c r="J1069" s="421"/>
      <c r="K1069" s="421"/>
      <c r="L1069" s="421"/>
      <c r="M1069" s="421"/>
      <c r="N1069" s="421"/>
      <c r="O1069" s="421"/>
      <c r="P1069" s="421"/>
      <c r="Q1069" s="421"/>
    </row>
    <row r="1070" spans="2:17" ht="15.75" customHeight="1" x14ac:dyDescent="0.2">
      <c r="B1070" s="421"/>
      <c r="C1070" s="421"/>
      <c r="G1070" s="421"/>
      <c r="H1070" s="421"/>
      <c r="I1070" s="421"/>
      <c r="J1070" s="421"/>
      <c r="K1070" s="421"/>
      <c r="L1070" s="421"/>
      <c r="M1070" s="421"/>
      <c r="N1070" s="421"/>
      <c r="O1070" s="421"/>
      <c r="P1070" s="421"/>
      <c r="Q1070" s="421"/>
    </row>
    <row r="1071" spans="2:17" ht="15.75" customHeight="1" x14ac:dyDescent="0.2">
      <c r="B1071" s="421"/>
      <c r="C1071" s="421"/>
      <c r="G1071" s="421"/>
      <c r="H1071" s="421"/>
      <c r="I1071" s="421"/>
      <c r="J1071" s="421"/>
      <c r="K1071" s="421"/>
      <c r="L1071" s="421"/>
      <c r="M1071" s="421"/>
      <c r="N1071" s="421"/>
      <c r="O1071" s="421"/>
      <c r="P1071" s="421"/>
      <c r="Q1071" s="421"/>
    </row>
    <row r="1072" spans="2:17" ht="15.75" customHeight="1" x14ac:dyDescent="0.2">
      <c r="B1072" s="421"/>
      <c r="C1072" s="421"/>
      <c r="G1072" s="421"/>
      <c r="H1072" s="421"/>
      <c r="I1072" s="421"/>
      <c r="J1072" s="421"/>
      <c r="K1072" s="421"/>
      <c r="L1072" s="421"/>
      <c r="M1072" s="421"/>
      <c r="N1072" s="421"/>
      <c r="O1072" s="421"/>
      <c r="P1072" s="421"/>
      <c r="Q1072" s="421"/>
    </row>
  </sheetData>
  <mergeCells count="5">
    <mergeCell ref="A1:F1"/>
    <mergeCell ref="A2:F2"/>
    <mergeCell ref="A3:F3"/>
    <mergeCell ref="A4:F4"/>
    <mergeCell ref="A5:F5"/>
  </mergeCells>
  <printOptions gridLines="1"/>
  <pageMargins left="0.25" right="0.25" top="0.5" bottom="0.5" header="0.25" footer="0.25"/>
  <pageSetup paperSize="9" scale="78" fitToHeight="0" orientation="portrait" horizontalDpi="1200" verticalDpi="1200" r:id="rId1"/>
  <headerFooter>
    <oddHeader>&amp;LOFFICE OF HEALTH CARE ACCESS&amp;CTWELVE MONTHS ACTUAL FILING&amp;RESSENT-SHARON HOSPITAL</oddHeader>
    <oddFooter>&amp;L&amp;"Arial,Regular"REPORT 500&amp;C&amp;"Arial,Regular"&amp;P of &amp;N&amp;R&amp;"Arial,Regular"&amp;D, &amp;T</oddFooter>
  </headerFooter>
  <rowBreaks count="8" manualBreakCount="8">
    <brk id="38" max="16383" man="1"/>
    <brk id="77" max="16383" man="1"/>
    <brk id="114" max="16383" man="1"/>
    <brk id="149" max="16383" man="1"/>
    <brk id="184" max="16383" man="1"/>
    <brk id="217" max="16383" man="1"/>
    <brk id="257" max="16383" man="1"/>
    <brk id="30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0"/>
  <sheetViews>
    <sheetView zoomScale="75" zoomScaleSheetLayoutView="68" workbookViewId="0">
      <selection activeCell="B16" sqref="B16"/>
    </sheetView>
  </sheetViews>
  <sheetFormatPr defaultRowHeight="12.75" x14ac:dyDescent="0.2"/>
  <cols>
    <col min="1" max="1" width="5.28515625" style="569" bestFit="1" customWidth="1"/>
    <col min="2" max="2" width="82.5703125" style="660" customWidth="1"/>
    <col min="3" max="3" width="17" style="660" customWidth="1"/>
    <col min="4" max="4" width="16.140625" style="569" customWidth="1"/>
    <col min="5" max="5" width="16.7109375" style="420" customWidth="1"/>
    <col min="6" max="16384" width="9.140625" style="569"/>
  </cols>
  <sheetData>
    <row r="1" spans="1:5" ht="11.25" x14ac:dyDescent="0.2">
      <c r="A1" s="821"/>
      <c r="B1" s="821"/>
      <c r="C1" s="821"/>
      <c r="D1" s="821"/>
      <c r="E1" s="821"/>
    </row>
    <row r="2" spans="1:5" s="428" customFormat="1" ht="15.75" customHeight="1" x14ac:dyDescent="0.25">
      <c r="A2" s="822" t="s">
        <v>0</v>
      </c>
      <c r="B2" s="822"/>
      <c r="C2" s="822"/>
      <c r="D2" s="822"/>
      <c r="E2" s="822"/>
    </row>
    <row r="3" spans="1:5" s="428" customFormat="1" ht="15.75" customHeight="1" x14ac:dyDescent="0.25">
      <c r="A3" s="820" t="s">
        <v>629</v>
      </c>
      <c r="B3" s="820"/>
      <c r="C3" s="820"/>
      <c r="D3" s="820"/>
      <c r="E3" s="820"/>
    </row>
    <row r="4" spans="1:5" s="428" customFormat="1" ht="15.75" customHeight="1" x14ac:dyDescent="0.25">
      <c r="A4" s="820" t="s">
        <v>769</v>
      </c>
      <c r="B4" s="820"/>
      <c r="C4" s="820"/>
      <c r="D4" s="820"/>
      <c r="E4" s="820"/>
    </row>
    <row r="5" spans="1:5" s="428" customFormat="1" ht="15.75" customHeight="1" x14ac:dyDescent="0.25">
      <c r="A5" s="820" t="s">
        <v>770</v>
      </c>
      <c r="B5" s="820"/>
      <c r="C5" s="820"/>
      <c r="D5" s="820"/>
      <c r="E5" s="820"/>
    </row>
    <row r="6" spans="1:5" s="428" customFormat="1" ht="15.75" customHeight="1" x14ac:dyDescent="0.25">
      <c r="A6" s="820" t="s">
        <v>771</v>
      </c>
      <c r="B6" s="820"/>
      <c r="C6" s="820"/>
      <c r="D6" s="820"/>
      <c r="E6" s="820"/>
    </row>
    <row r="7" spans="1:5" s="428" customFormat="1" ht="15.75" customHeight="1" x14ac:dyDescent="0.25">
      <c r="A7" s="820"/>
      <c r="B7" s="820"/>
      <c r="C7" s="820"/>
      <c r="D7" s="820"/>
      <c r="E7" s="820"/>
    </row>
    <row r="8" spans="1:5" s="428" customFormat="1" x14ac:dyDescent="0.2">
      <c r="A8" s="570">
        <v>-1</v>
      </c>
      <c r="B8" s="570">
        <v>-2</v>
      </c>
      <c r="C8" s="570">
        <v>-3</v>
      </c>
      <c r="D8" s="570">
        <v>-4</v>
      </c>
      <c r="E8" s="570">
        <v>-5</v>
      </c>
    </row>
    <row r="9" spans="1:5" s="428" customFormat="1" ht="41.45" customHeight="1" x14ac:dyDescent="0.25">
      <c r="A9" s="571" t="s">
        <v>8</v>
      </c>
      <c r="B9" s="572" t="s">
        <v>9</v>
      </c>
      <c r="C9" s="573" t="s">
        <v>772</v>
      </c>
      <c r="D9" s="573" t="s">
        <v>773</v>
      </c>
      <c r="E9" s="573" t="s">
        <v>774</v>
      </c>
    </row>
    <row r="10" spans="1:5" s="428" customFormat="1" x14ac:dyDescent="0.2">
      <c r="A10" s="574"/>
      <c r="B10" s="575"/>
      <c r="C10" s="576"/>
      <c r="D10" s="576"/>
      <c r="E10" s="577"/>
    </row>
    <row r="11" spans="1:5" s="428" customFormat="1" ht="15.75" customHeight="1" x14ac:dyDescent="0.25">
      <c r="A11" s="578" t="s">
        <v>12</v>
      </c>
      <c r="B11" s="579" t="s">
        <v>775</v>
      </c>
      <c r="C11" s="580"/>
      <c r="D11" s="570"/>
      <c r="E11" s="577"/>
    </row>
    <row r="12" spans="1:5" s="583" customFormat="1" x14ac:dyDescent="0.2">
      <c r="A12" s="581"/>
      <c r="B12" s="577"/>
      <c r="C12" s="582"/>
      <c r="D12" s="425"/>
      <c r="E12" s="577"/>
    </row>
    <row r="13" spans="1:5" s="421" customFormat="1" x14ac:dyDescent="0.2">
      <c r="A13" s="584" t="s">
        <v>14</v>
      </c>
      <c r="B13" s="585" t="s">
        <v>776</v>
      </c>
      <c r="C13" s="586"/>
      <c r="D13" s="425"/>
      <c r="E13" s="587"/>
    </row>
    <row r="14" spans="1:5" s="421" customFormat="1" x14ac:dyDescent="0.2">
      <c r="A14" s="588">
        <v>1</v>
      </c>
      <c r="B14" s="587" t="s">
        <v>656</v>
      </c>
      <c r="C14" s="589">
        <v>15677757</v>
      </c>
      <c r="D14" s="589">
        <v>12430476</v>
      </c>
      <c r="E14" s="590">
        <f t="shared" ref="E14:E22" si="0">D14-C14</f>
        <v>-3247281</v>
      </c>
    </row>
    <row r="15" spans="1:5" s="421" customFormat="1" x14ac:dyDescent="0.2">
      <c r="A15" s="588">
        <v>2</v>
      </c>
      <c r="B15" s="587" t="s">
        <v>635</v>
      </c>
      <c r="C15" s="589">
        <v>39105825</v>
      </c>
      <c r="D15" s="591">
        <v>38229340</v>
      </c>
      <c r="E15" s="590">
        <f t="shared" si="0"/>
        <v>-876485</v>
      </c>
    </row>
    <row r="16" spans="1:5" s="421" customFormat="1" x14ac:dyDescent="0.2">
      <c r="A16" s="588">
        <v>3</v>
      </c>
      <c r="B16" s="587" t="s">
        <v>777</v>
      </c>
      <c r="C16" s="589">
        <v>6525956</v>
      </c>
      <c r="D16" s="591">
        <v>7157891</v>
      </c>
      <c r="E16" s="590">
        <f t="shared" si="0"/>
        <v>631935</v>
      </c>
    </row>
    <row r="17" spans="1:5" s="421" customFormat="1" x14ac:dyDescent="0.2">
      <c r="A17" s="588">
        <v>4</v>
      </c>
      <c r="B17" s="587" t="s">
        <v>115</v>
      </c>
      <c r="C17" s="589">
        <v>3175671</v>
      </c>
      <c r="D17" s="591">
        <v>3849691</v>
      </c>
      <c r="E17" s="590">
        <f t="shared" si="0"/>
        <v>674020</v>
      </c>
    </row>
    <row r="18" spans="1:5" s="421" customFormat="1" x14ac:dyDescent="0.2">
      <c r="A18" s="588">
        <v>5</v>
      </c>
      <c r="B18" s="587" t="s">
        <v>743</v>
      </c>
      <c r="C18" s="589">
        <v>3350285</v>
      </c>
      <c r="D18" s="591">
        <v>3308200</v>
      </c>
      <c r="E18" s="590">
        <f t="shared" si="0"/>
        <v>-42085</v>
      </c>
    </row>
    <row r="19" spans="1:5" s="421" customFormat="1" x14ac:dyDescent="0.2">
      <c r="A19" s="588">
        <v>6</v>
      </c>
      <c r="B19" s="587" t="s">
        <v>424</v>
      </c>
      <c r="C19" s="589">
        <v>85024</v>
      </c>
      <c r="D19" s="591">
        <v>38140</v>
      </c>
      <c r="E19" s="590">
        <f t="shared" si="0"/>
        <v>-46884</v>
      </c>
    </row>
    <row r="20" spans="1:5" s="421" customFormat="1" x14ac:dyDescent="0.2">
      <c r="A20" s="588">
        <v>7</v>
      </c>
      <c r="B20" s="587" t="s">
        <v>758</v>
      </c>
      <c r="C20" s="589">
        <v>1089118</v>
      </c>
      <c r="D20" s="591">
        <v>456951</v>
      </c>
      <c r="E20" s="590">
        <f t="shared" si="0"/>
        <v>-632167</v>
      </c>
    </row>
    <row r="21" spans="1:5" s="421" customFormat="1" x14ac:dyDescent="0.2">
      <c r="A21" s="588"/>
      <c r="B21" s="592" t="s">
        <v>778</v>
      </c>
      <c r="C21" s="593">
        <f>SUM(C15+C16+C19)</f>
        <v>45716805</v>
      </c>
      <c r="D21" s="593">
        <f>SUM(D15+D16+D19)</f>
        <v>45425371</v>
      </c>
      <c r="E21" s="593">
        <f t="shared" si="0"/>
        <v>-291434</v>
      </c>
    </row>
    <row r="22" spans="1:5" s="421" customFormat="1" x14ac:dyDescent="0.2">
      <c r="A22" s="588"/>
      <c r="B22" s="592" t="s">
        <v>465</v>
      </c>
      <c r="C22" s="593">
        <f>SUM(C14+C21)</f>
        <v>61394562</v>
      </c>
      <c r="D22" s="593">
        <f>SUM(D14+D21)</f>
        <v>57855847</v>
      </c>
      <c r="E22" s="593">
        <f t="shared" si="0"/>
        <v>-3538715</v>
      </c>
    </row>
    <row r="23" spans="1:5" s="421" customFormat="1" x14ac:dyDescent="0.2">
      <c r="A23" s="588"/>
      <c r="B23" s="587"/>
      <c r="C23" s="587"/>
      <c r="D23" s="587"/>
      <c r="E23" s="587"/>
    </row>
    <row r="24" spans="1:5" s="421" customFormat="1" x14ac:dyDescent="0.2">
      <c r="A24" s="584" t="s">
        <v>26</v>
      </c>
      <c r="B24" s="585" t="s">
        <v>779</v>
      </c>
      <c r="C24" s="587"/>
      <c r="D24" s="587"/>
      <c r="E24" s="587"/>
    </row>
    <row r="25" spans="1:5" s="421" customFormat="1" x14ac:dyDescent="0.2">
      <c r="A25" s="588">
        <v>1</v>
      </c>
      <c r="B25" s="587" t="s">
        <v>656</v>
      </c>
      <c r="C25" s="589">
        <v>39566420</v>
      </c>
      <c r="D25" s="589">
        <v>39811467</v>
      </c>
      <c r="E25" s="590">
        <f t="shared" ref="E25:E33" si="1">D25-C25</f>
        <v>245047</v>
      </c>
    </row>
    <row r="26" spans="1:5" s="421" customFormat="1" x14ac:dyDescent="0.2">
      <c r="A26" s="588">
        <v>2</v>
      </c>
      <c r="B26" s="587" t="s">
        <v>635</v>
      </c>
      <c r="C26" s="589">
        <v>36915275</v>
      </c>
      <c r="D26" s="591">
        <v>35294487</v>
      </c>
      <c r="E26" s="590">
        <f t="shared" si="1"/>
        <v>-1620788</v>
      </c>
    </row>
    <row r="27" spans="1:5" s="421" customFormat="1" x14ac:dyDescent="0.2">
      <c r="A27" s="588">
        <v>3</v>
      </c>
      <c r="B27" s="587" t="s">
        <v>777</v>
      </c>
      <c r="C27" s="589">
        <v>9374290</v>
      </c>
      <c r="D27" s="591">
        <v>12024574</v>
      </c>
      <c r="E27" s="590">
        <f t="shared" si="1"/>
        <v>2650284</v>
      </c>
    </row>
    <row r="28" spans="1:5" s="421" customFormat="1" x14ac:dyDescent="0.2">
      <c r="A28" s="588">
        <v>4</v>
      </c>
      <c r="B28" s="587" t="s">
        <v>115</v>
      </c>
      <c r="C28" s="589">
        <v>5267908</v>
      </c>
      <c r="D28" s="591">
        <v>6879873</v>
      </c>
      <c r="E28" s="590">
        <f t="shared" si="1"/>
        <v>1611965</v>
      </c>
    </row>
    <row r="29" spans="1:5" s="421" customFormat="1" x14ac:dyDescent="0.2">
      <c r="A29" s="588">
        <v>5</v>
      </c>
      <c r="B29" s="587" t="s">
        <v>743</v>
      </c>
      <c r="C29" s="589">
        <v>4106382</v>
      </c>
      <c r="D29" s="591">
        <v>5144701</v>
      </c>
      <c r="E29" s="590">
        <f t="shared" si="1"/>
        <v>1038319</v>
      </c>
    </row>
    <row r="30" spans="1:5" s="421" customFormat="1" x14ac:dyDescent="0.2">
      <c r="A30" s="588">
        <v>6</v>
      </c>
      <c r="B30" s="587" t="s">
        <v>424</v>
      </c>
      <c r="C30" s="589">
        <v>190495</v>
      </c>
      <c r="D30" s="591">
        <v>185972</v>
      </c>
      <c r="E30" s="590">
        <f t="shared" si="1"/>
        <v>-4523</v>
      </c>
    </row>
    <row r="31" spans="1:5" s="421" customFormat="1" x14ac:dyDescent="0.2">
      <c r="A31" s="588">
        <v>7</v>
      </c>
      <c r="B31" s="587" t="s">
        <v>758</v>
      </c>
      <c r="C31" s="590">
        <v>2713314</v>
      </c>
      <c r="D31" s="594">
        <v>2398137</v>
      </c>
      <c r="E31" s="590">
        <f t="shared" si="1"/>
        <v>-315177</v>
      </c>
    </row>
    <row r="32" spans="1:5" s="421" customFormat="1" x14ac:dyDescent="0.2">
      <c r="A32" s="588"/>
      <c r="B32" s="592" t="s">
        <v>780</v>
      </c>
      <c r="C32" s="593">
        <f>SUM(C26+C27+C30)</f>
        <v>46480060</v>
      </c>
      <c r="D32" s="593">
        <f>SUM(D26+D27+D30)</f>
        <v>47505033</v>
      </c>
      <c r="E32" s="593">
        <f t="shared" si="1"/>
        <v>1024973</v>
      </c>
    </row>
    <row r="33" spans="1:5" s="421" customFormat="1" x14ac:dyDescent="0.2">
      <c r="A33" s="588"/>
      <c r="B33" s="592" t="s">
        <v>467</v>
      </c>
      <c r="C33" s="593">
        <f>SUM(C25+C32)</f>
        <v>86046480</v>
      </c>
      <c r="D33" s="593">
        <f>SUM(D25+D32)</f>
        <v>87316500</v>
      </c>
      <c r="E33" s="593">
        <f t="shared" si="1"/>
        <v>1270020</v>
      </c>
    </row>
    <row r="34" spans="1:5" s="421" customFormat="1" x14ac:dyDescent="0.2">
      <c r="A34" s="588"/>
      <c r="B34" s="587"/>
      <c r="C34" s="587"/>
      <c r="D34" s="587"/>
      <c r="E34" s="587"/>
    </row>
    <row r="35" spans="1:5" s="421" customFormat="1" x14ac:dyDescent="0.2">
      <c r="A35" s="584" t="s">
        <v>36</v>
      </c>
      <c r="B35" s="585" t="s">
        <v>653</v>
      </c>
      <c r="C35" s="590"/>
      <c r="D35" s="590"/>
      <c r="E35" s="587"/>
    </row>
    <row r="36" spans="1:5" s="421" customFormat="1" x14ac:dyDescent="0.2">
      <c r="A36" s="588">
        <v>1</v>
      </c>
      <c r="B36" s="587" t="s">
        <v>781</v>
      </c>
      <c r="C36" s="590">
        <f t="shared" ref="C36:D42" si="2">C14+C25</f>
        <v>55244177</v>
      </c>
      <c r="D36" s="590">
        <f t="shared" si="2"/>
        <v>52241943</v>
      </c>
      <c r="E36" s="590">
        <f t="shared" ref="E36:E44" si="3">D36-C36</f>
        <v>-3002234</v>
      </c>
    </row>
    <row r="37" spans="1:5" s="421" customFormat="1" x14ac:dyDescent="0.2">
      <c r="A37" s="588">
        <v>2</v>
      </c>
      <c r="B37" s="587" t="s">
        <v>782</v>
      </c>
      <c r="C37" s="590">
        <f t="shared" si="2"/>
        <v>76021100</v>
      </c>
      <c r="D37" s="590">
        <f t="shared" si="2"/>
        <v>73523827</v>
      </c>
      <c r="E37" s="590">
        <f t="shared" si="3"/>
        <v>-2497273</v>
      </c>
    </row>
    <row r="38" spans="1:5" s="421" customFormat="1" x14ac:dyDescent="0.2">
      <c r="A38" s="588">
        <v>3</v>
      </c>
      <c r="B38" s="587" t="s">
        <v>783</v>
      </c>
      <c r="C38" s="590">
        <f t="shared" si="2"/>
        <v>15900246</v>
      </c>
      <c r="D38" s="590">
        <f t="shared" si="2"/>
        <v>19182465</v>
      </c>
      <c r="E38" s="590">
        <f t="shared" si="3"/>
        <v>3282219</v>
      </c>
    </row>
    <row r="39" spans="1:5" s="421" customFormat="1" x14ac:dyDescent="0.2">
      <c r="A39" s="588">
        <v>4</v>
      </c>
      <c r="B39" s="587" t="s">
        <v>784</v>
      </c>
      <c r="C39" s="590">
        <f t="shared" si="2"/>
        <v>8443579</v>
      </c>
      <c r="D39" s="590">
        <f t="shared" si="2"/>
        <v>10729564</v>
      </c>
      <c r="E39" s="590">
        <f t="shared" si="3"/>
        <v>2285985</v>
      </c>
    </row>
    <row r="40" spans="1:5" s="421" customFormat="1" x14ac:dyDescent="0.2">
      <c r="A40" s="588">
        <v>5</v>
      </c>
      <c r="B40" s="587" t="s">
        <v>785</v>
      </c>
      <c r="C40" s="590">
        <f t="shared" si="2"/>
        <v>7456667</v>
      </c>
      <c r="D40" s="590">
        <f t="shared" si="2"/>
        <v>8452901</v>
      </c>
      <c r="E40" s="590">
        <f t="shared" si="3"/>
        <v>996234</v>
      </c>
    </row>
    <row r="41" spans="1:5" s="421" customFormat="1" x14ac:dyDescent="0.2">
      <c r="A41" s="588">
        <v>6</v>
      </c>
      <c r="B41" s="587" t="s">
        <v>786</v>
      </c>
      <c r="C41" s="590">
        <f t="shared" si="2"/>
        <v>275519</v>
      </c>
      <c r="D41" s="590">
        <f t="shared" si="2"/>
        <v>224112</v>
      </c>
      <c r="E41" s="590">
        <f t="shared" si="3"/>
        <v>-51407</v>
      </c>
    </row>
    <row r="42" spans="1:5" s="421" customFormat="1" x14ac:dyDescent="0.2">
      <c r="A42" s="588">
        <v>7</v>
      </c>
      <c r="B42" s="587" t="s">
        <v>787</v>
      </c>
      <c r="C42" s="590">
        <f t="shared" si="2"/>
        <v>3802432</v>
      </c>
      <c r="D42" s="590">
        <f t="shared" si="2"/>
        <v>2855088</v>
      </c>
      <c r="E42" s="590">
        <f t="shared" si="3"/>
        <v>-947344</v>
      </c>
    </row>
    <row r="43" spans="1:5" s="421" customFormat="1" x14ac:dyDescent="0.2">
      <c r="A43" s="588"/>
      <c r="B43" s="592" t="s">
        <v>788</v>
      </c>
      <c r="C43" s="593">
        <f>SUM(C37+C38+C41)</f>
        <v>92196865</v>
      </c>
      <c r="D43" s="593">
        <f>SUM(D37+D38+D41)</f>
        <v>92930404</v>
      </c>
      <c r="E43" s="593">
        <f t="shared" si="3"/>
        <v>733539</v>
      </c>
    </row>
    <row r="44" spans="1:5" s="421" customFormat="1" x14ac:dyDescent="0.2">
      <c r="A44" s="588"/>
      <c r="B44" s="592" t="s">
        <v>725</v>
      </c>
      <c r="C44" s="593">
        <f>SUM(C36+C43)</f>
        <v>147441042</v>
      </c>
      <c r="D44" s="593">
        <f>SUM(D36+D43)</f>
        <v>145172347</v>
      </c>
      <c r="E44" s="593">
        <f t="shared" si="3"/>
        <v>-2268695</v>
      </c>
    </row>
    <row r="45" spans="1:5" s="421" customFormat="1" x14ac:dyDescent="0.2">
      <c r="A45" s="588"/>
      <c r="B45" s="587"/>
      <c r="C45" s="590"/>
      <c r="D45" s="591"/>
      <c r="E45" s="587"/>
    </row>
    <row r="46" spans="1:5" s="421" customFormat="1" x14ac:dyDescent="0.2">
      <c r="A46" s="584" t="s">
        <v>170</v>
      </c>
      <c r="B46" s="585" t="s">
        <v>789</v>
      </c>
      <c r="C46" s="577"/>
      <c r="D46" s="591"/>
      <c r="E46" s="587"/>
    </row>
    <row r="47" spans="1:5" s="421" customFormat="1" ht="12" customHeight="1" x14ac:dyDescent="0.2">
      <c r="A47" s="588">
        <v>1</v>
      </c>
      <c r="B47" s="587" t="s">
        <v>656</v>
      </c>
      <c r="C47" s="589">
        <v>6677553</v>
      </c>
      <c r="D47" s="589">
        <v>5086670</v>
      </c>
      <c r="E47" s="590">
        <f t="shared" ref="E47:E55" si="4">D47-C47</f>
        <v>-1590883</v>
      </c>
    </row>
    <row r="48" spans="1:5" s="421" customFormat="1" x14ac:dyDescent="0.2">
      <c r="A48" s="588">
        <v>2</v>
      </c>
      <c r="B48" s="587" t="s">
        <v>635</v>
      </c>
      <c r="C48" s="589">
        <v>17970764</v>
      </c>
      <c r="D48" s="591">
        <v>16145227</v>
      </c>
      <c r="E48" s="590">
        <f t="shared" si="4"/>
        <v>-1825537</v>
      </c>
    </row>
    <row r="49" spans="1:5" s="421" customFormat="1" x14ac:dyDescent="0.2">
      <c r="A49" s="588">
        <v>3</v>
      </c>
      <c r="B49" s="587" t="s">
        <v>777</v>
      </c>
      <c r="C49" s="589">
        <v>2015769</v>
      </c>
      <c r="D49" s="591">
        <v>2230786</v>
      </c>
      <c r="E49" s="590">
        <f t="shared" si="4"/>
        <v>215017</v>
      </c>
    </row>
    <row r="50" spans="1:5" s="421" customFormat="1" x14ac:dyDescent="0.2">
      <c r="A50" s="588">
        <v>4</v>
      </c>
      <c r="B50" s="587" t="s">
        <v>115</v>
      </c>
      <c r="C50" s="589">
        <v>819553</v>
      </c>
      <c r="D50" s="591">
        <v>993888</v>
      </c>
      <c r="E50" s="590">
        <f t="shared" si="4"/>
        <v>174335</v>
      </c>
    </row>
    <row r="51" spans="1:5" s="421" customFormat="1" x14ac:dyDescent="0.2">
      <c r="A51" s="588">
        <v>5</v>
      </c>
      <c r="B51" s="587" t="s">
        <v>743</v>
      </c>
      <c r="C51" s="589">
        <v>1196216</v>
      </c>
      <c r="D51" s="591">
        <v>1236898</v>
      </c>
      <c r="E51" s="590">
        <f t="shared" si="4"/>
        <v>40682</v>
      </c>
    </row>
    <row r="52" spans="1:5" s="421" customFormat="1" x14ac:dyDescent="0.2">
      <c r="A52" s="588">
        <v>6</v>
      </c>
      <c r="B52" s="587" t="s">
        <v>424</v>
      </c>
      <c r="C52" s="589">
        <v>77524</v>
      </c>
      <c r="D52" s="591">
        <v>24273</v>
      </c>
      <c r="E52" s="590">
        <f t="shared" si="4"/>
        <v>-53251</v>
      </c>
    </row>
    <row r="53" spans="1:5" s="421" customFormat="1" x14ac:dyDescent="0.2">
      <c r="A53" s="588">
        <v>7</v>
      </c>
      <c r="B53" s="587" t="s">
        <v>758</v>
      </c>
      <c r="C53" s="589">
        <v>224283</v>
      </c>
      <c r="D53" s="591">
        <v>36844</v>
      </c>
      <c r="E53" s="590">
        <f t="shared" si="4"/>
        <v>-187439</v>
      </c>
    </row>
    <row r="54" spans="1:5" s="421" customFormat="1" x14ac:dyDescent="0.2">
      <c r="A54" s="588"/>
      <c r="B54" s="592" t="s">
        <v>790</v>
      </c>
      <c r="C54" s="593">
        <f>SUM(C48+C49+C52)</f>
        <v>20064057</v>
      </c>
      <c r="D54" s="593">
        <f>SUM(D48+D49+D52)</f>
        <v>18400286</v>
      </c>
      <c r="E54" s="593">
        <f t="shared" si="4"/>
        <v>-1663771</v>
      </c>
    </row>
    <row r="55" spans="1:5" s="421" customFormat="1" x14ac:dyDescent="0.2">
      <c r="A55" s="588"/>
      <c r="B55" s="592" t="s">
        <v>466</v>
      </c>
      <c r="C55" s="593">
        <f>SUM(C47+C54)</f>
        <v>26741610</v>
      </c>
      <c r="D55" s="593">
        <f>SUM(D47+D54)</f>
        <v>23486956</v>
      </c>
      <c r="E55" s="593">
        <f t="shared" si="4"/>
        <v>-3254654</v>
      </c>
    </row>
    <row r="56" spans="1:5" s="421" customFormat="1" x14ac:dyDescent="0.2">
      <c r="A56" s="588"/>
      <c r="B56" s="587"/>
      <c r="C56" s="587"/>
      <c r="D56" s="591"/>
      <c r="E56" s="587"/>
    </row>
    <row r="57" spans="1:5" s="421" customFormat="1" x14ac:dyDescent="0.2">
      <c r="A57" s="584" t="s">
        <v>175</v>
      </c>
      <c r="B57" s="585" t="s">
        <v>791</v>
      </c>
      <c r="C57" s="577"/>
      <c r="D57" s="591"/>
      <c r="E57" s="587"/>
    </row>
    <row r="58" spans="1:5" s="421" customFormat="1" x14ac:dyDescent="0.2">
      <c r="A58" s="588">
        <v>1</v>
      </c>
      <c r="B58" s="587" t="s">
        <v>656</v>
      </c>
      <c r="C58" s="589">
        <v>16477995</v>
      </c>
      <c r="D58" s="589">
        <v>16229069</v>
      </c>
      <c r="E58" s="590">
        <f t="shared" ref="E58:E66" si="5">D58-C58</f>
        <v>-248926</v>
      </c>
    </row>
    <row r="59" spans="1:5" s="421" customFormat="1" x14ac:dyDescent="0.2">
      <c r="A59" s="588">
        <v>2</v>
      </c>
      <c r="B59" s="587" t="s">
        <v>635</v>
      </c>
      <c r="C59" s="589">
        <v>7527778</v>
      </c>
      <c r="D59" s="591">
        <v>7500871</v>
      </c>
      <c r="E59" s="590">
        <f t="shared" si="5"/>
        <v>-26907</v>
      </c>
    </row>
    <row r="60" spans="1:5" s="421" customFormat="1" x14ac:dyDescent="0.2">
      <c r="A60" s="588">
        <v>3</v>
      </c>
      <c r="B60" s="587" t="s">
        <v>777</v>
      </c>
      <c r="C60" s="589">
        <f>C61+C62</f>
        <v>1837307</v>
      </c>
      <c r="D60" s="591">
        <f>D61+D62</f>
        <v>2075279</v>
      </c>
      <c r="E60" s="590">
        <f t="shared" si="5"/>
        <v>237972</v>
      </c>
    </row>
    <row r="61" spans="1:5" s="421" customFormat="1" x14ac:dyDescent="0.2">
      <c r="A61" s="588">
        <v>4</v>
      </c>
      <c r="B61" s="587" t="s">
        <v>115</v>
      </c>
      <c r="C61" s="589">
        <v>1271376</v>
      </c>
      <c r="D61" s="591">
        <v>1453468</v>
      </c>
      <c r="E61" s="590">
        <f t="shared" si="5"/>
        <v>182092</v>
      </c>
    </row>
    <row r="62" spans="1:5" s="421" customFormat="1" x14ac:dyDescent="0.2">
      <c r="A62" s="588">
        <v>5</v>
      </c>
      <c r="B62" s="587" t="s">
        <v>743</v>
      </c>
      <c r="C62" s="589">
        <v>565931</v>
      </c>
      <c r="D62" s="591">
        <v>621811</v>
      </c>
      <c r="E62" s="590">
        <f t="shared" si="5"/>
        <v>55880</v>
      </c>
    </row>
    <row r="63" spans="1:5" s="421" customFormat="1" x14ac:dyDescent="0.2">
      <c r="A63" s="588">
        <v>6</v>
      </c>
      <c r="B63" s="587" t="s">
        <v>424</v>
      </c>
      <c r="C63" s="589">
        <v>41971</v>
      </c>
      <c r="D63" s="591">
        <v>40711</v>
      </c>
      <c r="E63" s="590">
        <f t="shared" si="5"/>
        <v>-1260</v>
      </c>
    </row>
    <row r="64" spans="1:5" s="421" customFormat="1" x14ac:dyDescent="0.2">
      <c r="A64" s="588">
        <v>7</v>
      </c>
      <c r="B64" s="587" t="s">
        <v>758</v>
      </c>
      <c r="C64" s="589">
        <v>426841</v>
      </c>
      <c r="D64" s="591">
        <v>242542</v>
      </c>
      <c r="E64" s="590">
        <f t="shared" si="5"/>
        <v>-184299</v>
      </c>
    </row>
    <row r="65" spans="1:5" s="421" customFormat="1" x14ac:dyDescent="0.2">
      <c r="A65" s="588"/>
      <c r="B65" s="592" t="s">
        <v>792</v>
      </c>
      <c r="C65" s="593">
        <f>SUM(C59+C60+C63)</f>
        <v>9407056</v>
      </c>
      <c r="D65" s="593">
        <f>SUM(D59+D60+D63)</f>
        <v>9616861</v>
      </c>
      <c r="E65" s="593">
        <f t="shared" si="5"/>
        <v>209805</v>
      </c>
    </row>
    <row r="66" spans="1:5" s="421" customFormat="1" x14ac:dyDescent="0.2">
      <c r="A66" s="588"/>
      <c r="B66" s="592" t="s">
        <v>468</v>
      </c>
      <c r="C66" s="593">
        <f>SUM(C58+C65)</f>
        <v>25885051</v>
      </c>
      <c r="D66" s="593">
        <f>SUM(D58+D65)</f>
        <v>25845930</v>
      </c>
      <c r="E66" s="593">
        <f t="shared" si="5"/>
        <v>-39121</v>
      </c>
    </row>
    <row r="67" spans="1:5" ht="11.25" customHeight="1" x14ac:dyDescent="0.2">
      <c r="A67" s="580"/>
      <c r="B67" s="595"/>
      <c r="C67" s="596"/>
      <c r="D67" s="596"/>
      <c r="E67" s="596"/>
    </row>
    <row r="68" spans="1:5" s="421" customFormat="1" x14ac:dyDescent="0.2">
      <c r="A68" s="584" t="s">
        <v>181</v>
      </c>
      <c r="B68" s="597" t="s">
        <v>654</v>
      </c>
      <c r="C68" s="587"/>
      <c r="D68" s="587"/>
      <c r="E68" s="587"/>
    </row>
    <row r="69" spans="1:5" s="421" customFormat="1" x14ac:dyDescent="0.2">
      <c r="A69" s="588">
        <v>1</v>
      </c>
      <c r="B69" s="587" t="s">
        <v>781</v>
      </c>
      <c r="C69" s="590">
        <f t="shared" ref="C69:D75" si="6">C47+C58</f>
        <v>23155548</v>
      </c>
      <c r="D69" s="590">
        <f t="shared" si="6"/>
        <v>21315739</v>
      </c>
      <c r="E69" s="590">
        <f t="shared" ref="E69:E77" si="7">D69-C69</f>
        <v>-1839809</v>
      </c>
    </row>
    <row r="70" spans="1:5" s="421" customFormat="1" x14ac:dyDescent="0.2">
      <c r="A70" s="588">
        <v>2</v>
      </c>
      <c r="B70" s="587" t="s">
        <v>782</v>
      </c>
      <c r="C70" s="590">
        <f t="shared" si="6"/>
        <v>25498542</v>
      </c>
      <c r="D70" s="590">
        <f t="shared" si="6"/>
        <v>23646098</v>
      </c>
      <c r="E70" s="590">
        <f t="shared" si="7"/>
        <v>-1852444</v>
      </c>
    </row>
    <row r="71" spans="1:5" s="421" customFormat="1" x14ac:dyDescent="0.2">
      <c r="A71" s="588">
        <v>3</v>
      </c>
      <c r="B71" s="587" t="s">
        <v>783</v>
      </c>
      <c r="C71" s="590">
        <f t="shared" si="6"/>
        <v>3853076</v>
      </c>
      <c r="D71" s="590">
        <f t="shared" si="6"/>
        <v>4306065</v>
      </c>
      <c r="E71" s="590">
        <f t="shared" si="7"/>
        <v>452989</v>
      </c>
    </row>
    <row r="72" spans="1:5" s="421" customFormat="1" x14ac:dyDescent="0.2">
      <c r="A72" s="588">
        <v>4</v>
      </c>
      <c r="B72" s="587" t="s">
        <v>784</v>
      </c>
      <c r="C72" s="590">
        <f t="shared" si="6"/>
        <v>2090929</v>
      </c>
      <c r="D72" s="590">
        <f t="shared" si="6"/>
        <v>2447356</v>
      </c>
      <c r="E72" s="590">
        <f t="shared" si="7"/>
        <v>356427</v>
      </c>
    </row>
    <row r="73" spans="1:5" s="421" customFormat="1" x14ac:dyDescent="0.2">
      <c r="A73" s="588">
        <v>5</v>
      </c>
      <c r="B73" s="587" t="s">
        <v>785</v>
      </c>
      <c r="C73" s="590">
        <f t="shared" si="6"/>
        <v>1762147</v>
      </c>
      <c r="D73" s="590">
        <f t="shared" si="6"/>
        <v>1858709</v>
      </c>
      <c r="E73" s="590">
        <f t="shared" si="7"/>
        <v>96562</v>
      </c>
    </row>
    <row r="74" spans="1:5" s="421" customFormat="1" x14ac:dyDescent="0.2">
      <c r="A74" s="588">
        <v>6</v>
      </c>
      <c r="B74" s="587" t="s">
        <v>786</v>
      </c>
      <c r="C74" s="590">
        <f t="shared" si="6"/>
        <v>119495</v>
      </c>
      <c r="D74" s="590">
        <f t="shared" si="6"/>
        <v>64984</v>
      </c>
      <c r="E74" s="590">
        <f t="shared" si="7"/>
        <v>-54511</v>
      </c>
    </row>
    <row r="75" spans="1:5" s="421" customFormat="1" x14ac:dyDescent="0.2">
      <c r="A75" s="588">
        <v>7</v>
      </c>
      <c r="B75" s="587" t="s">
        <v>787</v>
      </c>
      <c r="C75" s="590">
        <f t="shared" si="6"/>
        <v>651124</v>
      </c>
      <c r="D75" s="590">
        <f t="shared" si="6"/>
        <v>279386</v>
      </c>
      <c r="E75" s="590">
        <f t="shared" si="7"/>
        <v>-371738</v>
      </c>
    </row>
    <row r="76" spans="1:5" s="421" customFormat="1" x14ac:dyDescent="0.2">
      <c r="A76" s="588"/>
      <c r="B76" s="592" t="s">
        <v>793</v>
      </c>
      <c r="C76" s="593">
        <f>SUM(C70+C71+C74)</f>
        <v>29471113</v>
      </c>
      <c r="D76" s="593">
        <f>SUM(D70+D71+D74)</f>
        <v>28017147</v>
      </c>
      <c r="E76" s="593">
        <f t="shared" si="7"/>
        <v>-1453966</v>
      </c>
    </row>
    <row r="77" spans="1:5" s="421" customFormat="1" x14ac:dyDescent="0.2">
      <c r="A77" s="588"/>
      <c r="B77" s="592" t="s">
        <v>726</v>
      </c>
      <c r="C77" s="593">
        <f>SUM(C69+C76)</f>
        <v>52626661</v>
      </c>
      <c r="D77" s="593">
        <f>SUM(D69+D76)</f>
        <v>49332886</v>
      </c>
      <c r="E77" s="593">
        <f t="shared" si="7"/>
        <v>-3293775</v>
      </c>
    </row>
    <row r="78" spans="1:5" s="421" customFormat="1" x14ac:dyDescent="0.2">
      <c r="A78" s="582"/>
      <c r="B78" s="586"/>
      <c r="C78" s="570"/>
      <c r="D78" s="570"/>
      <c r="E78" s="587"/>
    </row>
    <row r="79" spans="1:5" s="421" customFormat="1" ht="15.75" customHeight="1" x14ac:dyDescent="0.25">
      <c r="A79" s="578" t="s">
        <v>44</v>
      </c>
      <c r="B79" s="579" t="s">
        <v>794</v>
      </c>
      <c r="C79" s="425"/>
      <c r="D79" s="425"/>
      <c r="E79" s="587"/>
    </row>
    <row r="80" spans="1:5" s="421" customFormat="1" x14ac:dyDescent="0.2">
      <c r="A80" s="582"/>
      <c r="B80" s="586"/>
      <c r="C80" s="425"/>
      <c r="D80" s="425"/>
      <c r="E80" s="587"/>
    </row>
    <row r="81" spans="1:5" s="421" customFormat="1" x14ac:dyDescent="0.2">
      <c r="A81" s="584" t="s">
        <v>14</v>
      </c>
      <c r="B81" s="598" t="s">
        <v>795</v>
      </c>
      <c r="C81" s="586"/>
      <c r="D81" s="586"/>
      <c r="E81" s="587"/>
    </row>
    <row r="82" spans="1:5" s="421" customFormat="1" x14ac:dyDescent="0.2">
      <c r="A82" s="588"/>
      <c r="B82" s="587"/>
      <c r="C82" s="590"/>
      <c r="D82" s="590"/>
      <c r="E82" s="587"/>
    </row>
    <row r="83" spans="1:5" s="421" customFormat="1" x14ac:dyDescent="0.2">
      <c r="A83" s="588">
        <v>1</v>
      </c>
      <c r="B83" s="587" t="s">
        <v>656</v>
      </c>
      <c r="C83" s="599">
        <f t="shared" ref="C83:D89" si="8">IF(C$44=0,0,C14/C$44)</f>
        <v>0.10633238064066314</v>
      </c>
      <c r="D83" s="599">
        <f t="shared" si="8"/>
        <v>8.5625646046763995E-2</v>
      </c>
      <c r="E83" s="599">
        <f t="shared" ref="E83:E91" si="9">D83-C83</f>
        <v>-2.0706734593899143E-2</v>
      </c>
    </row>
    <row r="84" spans="1:5" s="421" customFormat="1" x14ac:dyDescent="0.2">
      <c r="A84" s="588">
        <v>2</v>
      </c>
      <c r="B84" s="587" t="s">
        <v>635</v>
      </c>
      <c r="C84" s="599">
        <f t="shared" si="8"/>
        <v>0.26523025386649124</v>
      </c>
      <c r="D84" s="599">
        <f t="shared" si="8"/>
        <v>0.26333761759737895</v>
      </c>
      <c r="E84" s="599">
        <f t="shared" si="9"/>
        <v>-1.8926362691122911E-3</v>
      </c>
    </row>
    <row r="85" spans="1:5" s="421" customFormat="1" x14ac:dyDescent="0.2">
      <c r="A85" s="588">
        <v>3</v>
      </c>
      <c r="B85" s="587" t="s">
        <v>777</v>
      </c>
      <c r="C85" s="599">
        <f t="shared" si="8"/>
        <v>4.4261461472850962E-2</v>
      </c>
      <c r="D85" s="599">
        <f t="shared" si="8"/>
        <v>4.9306160215209581E-2</v>
      </c>
      <c r="E85" s="599">
        <f t="shared" si="9"/>
        <v>5.0446987423586193E-3</v>
      </c>
    </row>
    <row r="86" spans="1:5" s="421" customFormat="1" x14ac:dyDescent="0.2">
      <c r="A86" s="588">
        <v>4</v>
      </c>
      <c r="B86" s="587" t="s">
        <v>115</v>
      </c>
      <c r="C86" s="599">
        <f t="shared" si="8"/>
        <v>2.1538582181208403E-2</v>
      </c>
      <c r="D86" s="599">
        <f t="shared" si="8"/>
        <v>2.6518073721023466E-2</v>
      </c>
      <c r="E86" s="599">
        <f t="shared" si="9"/>
        <v>4.9794915398150633E-3</v>
      </c>
    </row>
    <row r="87" spans="1:5" s="421" customFormat="1" x14ac:dyDescent="0.2">
      <c r="A87" s="588">
        <v>5</v>
      </c>
      <c r="B87" s="587" t="s">
        <v>743</v>
      </c>
      <c r="C87" s="599">
        <f t="shared" si="8"/>
        <v>2.2722879291642555E-2</v>
      </c>
      <c r="D87" s="599">
        <f t="shared" si="8"/>
        <v>2.2788086494186115E-2</v>
      </c>
      <c r="E87" s="599">
        <f t="shared" si="9"/>
        <v>6.5207202543559467E-5</v>
      </c>
    </row>
    <row r="88" spans="1:5" s="421" customFormat="1" x14ac:dyDescent="0.2">
      <c r="A88" s="588">
        <v>6</v>
      </c>
      <c r="B88" s="587" t="s">
        <v>424</v>
      </c>
      <c r="C88" s="599">
        <f t="shared" si="8"/>
        <v>5.7666439986228527E-4</v>
      </c>
      <c r="D88" s="599">
        <f t="shared" si="8"/>
        <v>2.6272221113846149E-4</v>
      </c>
      <c r="E88" s="599">
        <f t="shared" si="9"/>
        <v>-3.1394218872382378E-4</v>
      </c>
    </row>
    <row r="89" spans="1:5" s="421" customFormat="1" x14ac:dyDescent="0.2">
      <c r="A89" s="588">
        <v>7</v>
      </c>
      <c r="B89" s="587" t="s">
        <v>758</v>
      </c>
      <c r="C89" s="599">
        <f t="shared" si="8"/>
        <v>7.3868034654828336E-3</v>
      </c>
      <c r="D89" s="599">
        <f t="shared" si="8"/>
        <v>3.1476449161492166E-3</v>
      </c>
      <c r="E89" s="599">
        <f t="shared" si="9"/>
        <v>-4.2391585493336166E-3</v>
      </c>
    </row>
    <row r="90" spans="1:5" s="421" customFormat="1" x14ac:dyDescent="0.2">
      <c r="A90" s="588"/>
      <c r="B90" s="592" t="s">
        <v>796</v>
      </c>
      <c r="C90" s="600">
        <f>SUM(C84+C85+C88)</f>
        <v>0.31006837973920448</v>
      </c>
      <c r="D90" s="600">
        <f>SUM(D84+D85+D88)</f>
        <v>0.312906500023727</v>
      </c>
      <c r="E90" s="601">
        <f t="shared" si="9"/>
        <v>2.8381202845225162E-3</v>
      </c>
    </row>
    <row r="91" spans="1:5" s="421" customFormat="1" x14ac:dyDescent="0.2">
      <c r="A91" s="588"/>
      <c r="B91" s="592" t="s">
        <v>797</v>
      </c>
      <c r="C91" s="600">
        <f>SUM(C83+C90)</f>
        <v>0.41640076037986762</v>
      </c>
      <c r="D91" s="600">
        <f>SUM(D83+D90)</f>
        <v>0.39853214607049098</v>
      </c>
      <c r="E91" s="601">
        <f t="shared" si="9"/>
        <v>-1.786861430937664E-2</v>
      </c>
    </row>
    <row r="92" spans="1:5" s="421" customFormat="1" x14ac:dyDescent="0.2">
      <c r="A92" s="588"/>
      <c r="B92" s="577"/>
      <c r="C92" s="602"/>
      <c r="D92" s="602"/>
      <c r="E92" s="592"/>
    </row>
    <row r="93" spans="1:5" s="421" customFormat="1" x14ac:dyDescent="0.2">
      <c r="A93" s="584" t="s">
        <v>26</v>
      </c>
      <c r="B93" s="598" t="s">
        <v>798</v>
      </c>
      <c r="C93" s="602"/>
      <c r="D93" s="602"/>
      <c r="E93" s="592"/>
    </row>
    <row r="94" spans="1:5" s="421" customFormat="1" x14ac:dyDescent="0.2">
      <c r="A94" s="588"/>
      <c r="B94" s="587"/>
      <c r="C94" s="602"/>
      <c r="D94" s="602"/>
      <c r="E94" s="592"/>
    </row>
    <row r="95" spans="1:5" s="421" customFormat="1" x14ac:dyDescent="0.2">
      <c r="A95" s="588">
        <v>1</v>
      </c>
      <c r="B95" s="587" t="s">
        <v>656</v>
      </c>
      <c r="C95" s="599">
        <f t="shared" ref="C95:D101" si="10">IF(C$44=0,0,C25/C$44)</f>
        <v>0.26835418051372695</v>
      </c>
      <c r="D95" s="599">
        <f t="shared" si="10"/>
        <v>0.2742358846068666</v>
      </c>
      <c r="E95" s="599">
        <f t="shared" ref="E95:E103" si="11">D95-C95</f>
        <v>5.8817040931396503E-3</v>
      </c>
    </row>
    <row r="96" spans="1:5" s="421" customFormat="1" x14ac:dyDescent="0.2">
      <c r="A96" s="588">
        <v>2</v>
      </c>
      <c r="B96" s="587" t="s">
        <v>635</v>
      </c>
      <c r="C96" s="599">
        <f t="shared" si="10"/>
        <v>0.25037312880629264</v>
      </c>
      <c r="D96" s="599">
        <f t="shared" si="10"/>
        <v>0.2431212812175586</v>
      </c>
      <c r="E96" s="599">
        <f t="shared" si="11"/>
        <v>-7.2518475887340395E-3</v>
      </c>
    </row>
    <row r="97" spans="1:5" s="421" customFormat="1" x14ac:dyDescent="0.2">
      <c r="A97" s="588">
        <v>3</v>
      </c>
      <c r="B97" s="587" t="s">
        <v>777</v>
      </c>
      <c r="C97" s="599">
        <f t="shared" si="10"/>
        <v>6.3579922339398548E-2</v>
      </c>
      <c r="D97" s="599">
        <f t="shared" si="10"/>
        <v>8.2829645235397348E-2</v>
      </c>
      <c r="E97" s="599">
        <f t="shared" si="11"/>
        <v>1.92497228959988E-2</v>
      </c>
    </row>
    <row r="98" spans="1:5" s="421" customFormat="1" x14ac:dyDescent="0.2">
      <c r="A98" s="588">
        <v>4</v>
      </c>
      <c r="B98" s="587" t="s">
        <v>115</v>
      </c>
      <c r="C98" s="599">
        <f t="shared" si="10"/>
        <v>3.5728911899578136E-2</v>
      </c>
      <c r="D98" s="599">
        <f t="shared" si="10"/>
        <v>4.739107097304144E-2</v>
      </c>
      <c r="E98" s="599">
        <f t="shared" si="11"/>
        <v>1.1662159073463303E-2</v>
      </c>
    </row>
    <row r="99" spans="1:5" s="421" customFormat="1" x14ac:dyDescent="0.2">
      <c r="A99" s="588">
        <v>5</v>
      </c>
      <c r="B99" s="587" t="s">
        <v>743</v>
      </c>
      <c r="C99" s="599">
        <f t="shared" si="10"/>
        <v>2.7851010439820412E-2</v>
      </c>
      <c r="D99" s="599">
        <f t="shared" si="10"/>
        <v>3.5438574262355901E-2</v>
      </c>
      <c r="E99" s="599">
        <f t="shared" si="11"/>
        <v>7.5875638225354897E-3</v>
      </c>
    </row>
    <row r="100" spans="1:5" s="421" customFormat="1" x14ac:dyDescent="0.2">
      <c r="A100" s="588">
        <v>6</v>
      </c>
      <c r="B100" s="587" t="s">
        <v>424</v>
      </c>
      <c r="C100" s="599">
        <f t="shared" si="10"/>
        <v>1.2920079607142223E-3</v>
      </c>
      <c r="D100" s="599">
        <f t="shared" si="10"/>
        <v>1.28104286968647E-3</v>
      </c>
      <c r="E100" s="599">
        <f t="shared" si="11"/>
        <v>-1.0965091027752326E-5</v>
      </c>
    </row>
    <row r="101" spans="1:5" s="421" customFormat="1" x14ac:dyDescent="0.2">
      <c r="A101" s="588">
        <v>7</v>
      </c>
      <c r="B101" s="587" t="s">
        <v>758</v>
      </c>
      <c r="C101" s="599">
        <f t="shared" si="10"/>
        <v>1.8402704994447884E-2</v>
      </c>
      <c r="D101" s="599">
        <f t="shared" si="10"/>
        <v>1.6519241092106889E-2</v>
      </c>
      <c r="E101" s="599">
        <f t="shared" si="11"/>
        <v>-1.8834639023409955E-3</v>
      </c>
    </row>
    <row r="102" spans="1:5" s="421" customFormat="1" x14ac:dyDescent="0.2">
      <c r="A102" s="588"/>
      <c r="B102" s="592" t="s">
        <v>799</v>
      </c>
      <c r="C102" s="600">
        <f>SUM(C96+C97+C100)</f>
        <v>0.31524505910640538</v>
      </c>
      <c r="D102" s="600">
        <f>SUM(D96+D97+D100)</f>
        <v>0.32723196932264242</v>
      </c>
      <c r="E102" s="601">
        <f t="shared" si="11"/>
        <v>1.1986910216237046E-2</v>
      </c>
    </row>
    <row r="103" spans="1:5" s="421" customFormat="1" x14ac:dyDescent="0.2">
      <c r="A103" s="588"/>
      <c r="B103" s="592" t="s">
        <v>800</v>
      </c>
      <c r="C103" s="600">
        <f>SUM(C95+C102)</f>
        <v>0.58359923962013238</v>
      </c>
      <c r="D103" s="600">
        <f>SUM(D95+D102)</f>
        <v>0.60146785392950908</v>
      </c>
      <c r="E103" s="601">
        <f t="shared" si="11"/>
        <v>1.7868614309376696E-2</v>
      </c>
    </row>
    <row r="104" spans="1:5" s="421" customFormat="1" x14ac:dyDescent="0.2">
      <c r="A104" s="582"/>
      <c r="B104" s="603"/>
      <c r="C104" s="601"/>
      <c r="D104" s="599"/>
      <c r="E104" s="600"/>
    </row>
    <row r="105" spans="1:5" s="421" customFormat="1" x14ac:dyDescent="0.2">
      <c r="A105" s="582"/>
      <c r="B105" s="603" t="s">
        <v>801</v>
      </c>
      <c r="C105" s="601">
        <f>C91+C103</f>
        <v>1</v>
      </c>
      <c r="D105" s="601">
        <f>D91+D103</f>
        <v>1</v>
      </c>
      <c r="E105" s="601">
        <f>D105-C105</f>
        <v>0</v>
      </c>
    </row>
    <row r="106" spans="1:5" s="421" customFormat="1" x14ac:dyDescent="0.2">
      <c r="A106" s="584"/>
      <c r="B106" s="586"/>
      <c r="C106" s="604"/>
      <c r="D106" s="604"/>
      <c r="E106" s="600"/>
    </row>
    <row r="107" spans="1:5" s="421" customFormat="1" x14ac:dyDescent="0.2">
      <c r="A107" s="584" t="s">
        <v>36</v>
      </c>
      <c r="B107" s="598" t="s">
        <v>802</v>
      </c>
      <c r="C107" s="604"/>
      <c r="D107" s="604"/>
      <c r="E107" s="600"/>
    </row>
    <row r="108" spans="1:5" s="421" customFormat="1" x14ac:dyDescent="0.2">
      <c r="A108" s="584"/>
      <c r="B108" s="586"/>
      <c r="C108" s="604"/>
      <c r="D108" s="604"/>
      <c r="E108" s="600"/>
    </row>
    <row r="109" spans="1:5" s="421" customFormat="1" x14ac:dyDescent="0.2">
      <c r="A109" s="588">
        <v>1</v>
      </c>
      <c r="B109" s="587" t="s">
        <v>656</v>
      </c>
      <c r="C109" s="599">
        <f t="shared" ref="C109:D115" si="12">IF(C$77=0,0,C47/C$77)</f>
        <v>0.12688536329523167</v>
      </c>
      <c r="D109" s="599">
        <f t="shared" si="12"/>
        <v>0.10310911062450309</v>
      </c>
      <c r="E109" s="599">
        <f t="shared" ref="E109:E117" si="13">D109-C109</f>
        <v>-2.3776252670728582E-2</v>
      </c>
    </row>
    <row r="110" spans="1:5" s="421" customFormat="1" x14ac:dyDescent="0.2">
      <c r="A110" s="588">
        <v>2</v>
      </c>
      <c r="B110" s="587" t="s">
        <v>635</v>
      </c>
      <c r="C110" s="599">
        <f t="shared" si="12"/>
        <v>0.34147642389852551</v>
      </c>
      <c r="D110" s="599">
        <f t="shared" si="12"/>
        <v>0.32727108241751762</v>
      </c>
      <c r="E110" s="599">
        <f t="shared" si="13"/>
        <v>-1.4205341481007883E-2</v>
      </c>
    </row>
    <row r="111" spans="1:5" s="421" customFormat="1" x14ac:dyDescent="0.2">
      <c r="A111" s="588">
        <v>3</v>
      </c>
      <c r="B111" s="587" t="s">
        <v>777</v>
      </c>
      <c r="C111" s="599">
        <f t="shared" si="12"/>
        <v>3.830319008838505E-2</v>
      </c>
      <c r="D111" s="599">
        <f t="shared" si="12"/>
        <v>4.5219045161882479E-2</v>
      </c>
      <c r="E111" s="599">
        <f t="shared" si="13"/>
        <v>6.9158550734974289E-3</v>
      </c>
    </row>
    <row r="112" spans="1:5" s="421" customFormat="1" x14ac:dyDescent="0.2">
      <c r="A112" s="588">
        <v>4</v>
      </c>
      <c r="B112" s="587" t="s">
        <v>115</v>
      </c>
      <c r="C112" s="599">
        <f t="shared" si="12"/>
        <v>1.5572962153156553E-2</v>
      </c>
      <c r="D112" s="599">
        <f t="shared" si="12"/>
        <v>2.0146561058682032E-2</v>
      </c>
      <c r="E112" s="599">
        <f t="shared" si="13"/>
        <v>4.5735989055254792E-3</v>
      </c>
    </row>
    <row r="113" spans="1:5" s="421" customFormat="1" x14ac:dyDescent="0.2">
      <c r="A113" s="588">
        <v>5</v>
      </c>
      <c r="B113" s="587" t="s">
        <v>743</v>
      </c>
      <c r="C113" s="599">
        <f t="shared" si="12"/>
        <v>2.2730227935228494E-2</v>
      </c>
      <c r="D113" s="599">
        <f t="shared" si="12"/>
        <v>2.5072484103200451E-2</v>
      </c>
      <c r="E113" s="599">
        <f t="shared" si="13"/>
        <v>2.3422561679719567E-3</v>
      </c>
    </row>
    <row r="114" spans="1:5" s="421" customFormat="1" x14ac:dyDescent="0.2">
      <c r="A114" s="588">
        <v>6</v>
      </c>
      <c r="B114" s="587" t="s">
        <v>424</v>
      </c>
      <c r="C114" s="599">
        <f t="shared" si="12"/>
        <v>1.4730936473435015E-3</v>
      </c>
      <c r="D114" s="599">
        <f t="shared" si="12"/>
        <v>4.9202473173777018E-4</v>
      </c>
      <c r="E114" s="599">
        <f t="shared" si="13"/>
        <v>-9.8106891560573129E-4</v>
      </c>
    </row>
    <row r="115" spans="1:5" s="421" customFormat="1" x14ac:dyDescent="0.2">
      <c r="A115" s="588">
        <v>7</v>
      </c>
      <c r="B115" s="587" t="s">
        <v>758</v>
      </c>
      <c r="C115" s="599">
        <f t="shared" si="12"/>
        <v>4.2617752245387563E-3</v>
      </c>
      <c r="D115" s="599">
        <f t="shared" si="12"/>
        <v>7.4684460990180059E-4</v>
      </c>
      <c r="E115" s="599">
        <f t="shared" si="13"/>
        <v>-3.5149306146369558E-3</v>
      </c>
    </row>
    <row r="116" spans="1:5" s="421" customFormat="1" x14ac:dyDescent="0.2">
      <c r="A116" s="588"/>
      <c r="B116" s="592" t="s">
        <v>796</v>
      </c>
      <c r="C116" s="600">
        <f>SUM(C110+C111+C114)</f>
        <v>0.38125270763425406</v>
      </c>
      <c r="D116" s="600">
        <f>SUM(D110+D111+D114)</f>
        <v>0.37298215231113785</v>
      </c>
      <c r="E116" s="601">
        <f t="shared" si="13"/>
        <v>-8.2705553231162132E-3</v>
      </c>
    </row>
    <row r="117" spans="1:5" s="421" customFormat="1" x14ac:dyDescent="0.2">
      <c r="A117" s="588"/>
      <c r="B117" s="592" t="s">
        <v>797</v>
      </c>
      <c r="C117" s="600">
        <f>SUM(C109+C116)</f>
        <v>0.50813807092948571</v>
      </c>
      <c r="D117" s="600">
        <f>SUM(D109+D116)</f>
        <v>0.47609126293564097</v>
      </c>
      <c r="E117" s="601">
        <f t="shared" si="13"/>
        <v>-3.2046807993844739E-2</v>
      </c>
    </row>
    <row r="118" spans="1:5" s="421" customFormat="1" x14ac:dyDescent="0.2">
      <c r="A118" s="584"/>
      <c r="B118" s="586"/>
      <c r="C118" s="602"/>
      <c r="D118" s="602"/>
      <c r="E118" s="600"/>
    </row>
    <row r="119" spans="1:5" s="421" customFormat="1" x14ac:dyDescent="0.2">
      <c r="A119" s="584" t="s">
        <v>170</v>
      </c>
      <c r="B119" s="598" t="s">
        <v>803</v>
      </c>
      <c r="C119" s="602"/>
      <c r="D119" s="602"/>
      <c r="E119" s="600"/>
    </row>
    <row r="120" spans="1:5" s="421" customFormat="1" x14ac:dyDescent="0.2">
      <c r="A120" s="584"/>
      <c r="B120" s="586"/>
      <c r="C120" s="602"/>
      <c r="D120" s="602"/>
      <c r="E120" s="600"/>
    </row>
    <row r="121" spans="1:5" s="421" customFormat="1" x14ac:dyDescent="0.2">
      <c r="A121" s="588">
        <v>1</v>
      </c>
      <c r="B121" s="587" t="s">
        <v>656</v>
      </c>
      <c r="C121" s="599">
        <f t="shared" ref="C121:D127" si="14">IF(C$77=0,0,C58/C$77)</f>
        <v>0.31311116242012771</v>
      </c>
      <c r="D121" s="599">
        <f t="shared" si="14"/>
        <v>0.32897059782798843</v>
      </c>
      <c r="E121" s="599">
        <f t="shared" ref="E121:E129" si="15">D121-C121</f>
        <v>1.5859435407860722E-2</v>
      </c>
    </row>
    <row r="122" spans="1:5" s="421" customFormat="1" x14ac:dyDescent="0.2">
      <c r="A122" s="588">
        <v>2</v>
      </c>
      <c r="B122" s="587" t="s">
        <v>635</v>
      </c>
      <c r="C122" s="599">
        <f t="shared" si="14"/>
        <v>0.14304114790790165</v>
      </c>
      <c r="D122" s="599">
        <f t="shared" si="14"/>
        <v>0.15204606112036503</v>
      </c>
      <c r="E122" s="599">
        <f t="shared" si="15"/>
        <v>9.0049132124633835E-3</v>
      </c>
    </row>
    <row r="123" spans="1:5" s="421" customFormat="1" x14ac:dyDescent="0.2">
      <c r="A123" s="588">
        <v>3</v>
      </c>
      <c r="B123" s="587" t="s">
        <v>777</v>
      </c>
      <c r="C123" s="599">
        <f t="shared" si="14"/>
        <v>3.4912095221089554E-2</v>
      </c>
      <c r="D123" s="599">
        <f t="shared" si="14"/>
        <v>4.2066847660199733E-2</v>
      </c>
      <c r="E123" s="599">
        <f t="shared" si="15"/>
        <v>7.1547524391101791E-3</v>
      </c>
    </row>
    <row r="124" spans="1:5" s="421" customFormat="1" x14ac:dyDescent="0.2">
      <c r="A124" s="588">
        <v>4</v>
      </c>
      <c r="B124" s="587" t="s">
        <v>115</v>
      </c>
      <c r="C124" s="599">
        <f t="shared" si="14"/>
        <v>2.4158401385183832E-2</v>
      </c>
      <c r="D124" s="599">
        <f t="shared" si="14"/>
        <v>2.9462456342002778E-2</v>
      </c>
      <c r="E124" s="599">
        <f t="shared" si="15"/>
        <v>5.304054956818946E-3</v>
      </c>
    </row>
    <row r="125" spans="1:5" s="421" customFormat="1" x14ac:dyDescent="0.2">
      <c r="A125" s="588">
        <v>5</v>
      </c>
      <c r="B125" s="587" t="s">
        <v>743</v>
      </c>
      <c r="C125" s="599">
        <f t="shared" si="14"/>
        <v>1.0753693835905721E-2</v>
      </c>
      <c r="D125" s="599">
        <f t="shared" si="14"/>
        <v>1.2604391318196953E-2</v>
      </c>
      <c r="E125" s="599">
        <f t="shared" si="15"/>
        <v>1.8506974822912314E-3</v>
      </c>
    </row>
    <row r="126" spans="1:5" s="421" customFormat="1" x14ac:dyDescent="0.2">
      <c r="A126" s="588">
        <v>6</v>
      </c>
      <c r="B126" s="587" t="s">
        <v>424</v>
      </c>
      <c r="C126" s="599">
        <f t="shared" si="14"/>
        <v>7.9752352139536272E-4</v>
      </c>
      <c r="D126" s="599">
        <f t="shared" si="14"/>
        <v>8.2523045580588982E-4</v>
      </c>
      <c r="E126" s="599">
        <f t="shared" si="15"/>
        <v>2.7706934410527098E-5</v>
      </c>
    </row>
    <row r="127" spans="1:5" s="421" customFormat="1" x14ac:dyDescent="0.2">
      <c r="A127" s="588">
        <v>7</v>
      </c>
      <c r="B127" s="587" t="s">
        <v>758</v>
      </c>
      <c r="C127" s="599">
        <f t="shared" si="14"/>
        <v>8.1107368753643716E-3</v>
      </c>
      <c r="D127" s="599">
        <f t="shared" si="14"/>
        <v>4.9164364720117931E-3</v>
      </c>
      <c r="E127" s="599">
        <f t="shared" si="15"/>
        <v>-3.1943004033525785E-3</v>
      </c>
    </row>
    <row r="128" spans="1:5" s="421" customFormat="1" x14ac:dyDescent="0.2">
      <c r="A128" s="588"/>
      <c r="B128" s="592" t="s">
        <v>799</v>
      </c>
      <c r="C128" s="600">
        <f>SUM(C122+C123+C126)</f>
        <v>0.17875076665038656</v>
      </c>
      <c r="D128" s="600">
        <f>SUM(D122+D123+D126)</f>
        <v>0.19493813923637066</v>
      </c>
      <c r="E128" s="601">
        <f t="shared" si="15"/>
        <v>1.61873725859841E-2</v>
      </c>
    </row>
    <row r="129" spans="1:5" s="421" customFormat="1" x14ac:dyDescent="0.2">
      <c r="A129" s="588"/>
      <c r="B129" s="592" t="s">
        <v>800</v>
      </c>
      <c r="C129" s="600">
        <f>SUM(C121+C128)</f>
        <v>0.49186192907051429</v>
      </c>
      <c r="D129" s="600">
        <f>SUM(D121+D128)</f>
        <v>0.52390873706435914</v>
      </c>
      <c r="E129" s="601">
        <f t="shared" si="15"/>
        <v>3.204680799384485E-2</v>
      </c>
    </row>
    <row r="130" spans="1:5" s="421" customFormat="1" x14ac:dyDescent="0.2">
      <c r="A130" s="588"/>
      <c r="B130" s="592"/>
      <c r="C130" s="601"/>
      <c r="D130" s="599"/>
      <c r="E130" s="600"/>
    </row>
    <row r="131" spans="1:5" s="421" customFormat="1" x14ac:dyDescent="0.2">
      <c r="A131" s="588"/>
      <c r="B131" s="603" t="s">
        <v>804</v>
      </c>
      <c r="C131" s="601">
        <f>C117+C129</f>
        <v>1</v>
      </c>
      <c r="D131" s="601">
        <f>D117+D129</f>
        <v>1</v>
      </c>
      <c r="E131" s="601">
        <f>D131-C131</f>
        <v>0</v>
      </c>
    </row>
    <row r="132" spans="1:5" s="421" customFormat="1" x14ac:dyDescent="0.2">
      <c r="A132" s="588"/>
      <c r="B132" s="587"/>
      <c r="C132" s="590"/>
      <c r="D132" s="590"/>
      <c r="E132" s="587"/>
    </row>
    <row r="133" spans="1:5" s="421" customFormat="1" ht="15.75" customHeight="1" x14ac:dyDescent="0.25">
      <c r="A133" s="605" t="s">
        <v>135</v>
      </c>
      <c r="B133" s="579" t="s">
        <v>805</v>
      </c>
      <c r="C133" s="570"/>
      <c r="D133" s="570"/>
      <c r="E133" s="592"/>
    </row>
    <row r="134" spans="1:5" s="421" customFormat="1" x14ac:dyDescent="0.2">
      <c r="A134" s="588"/>
      <c r="B134" s="587"/>
      <c r="C134" s="425"/>
      <c r="D134" s="425"/>
      <c r="E134" s="587"/>
    </row>
    <row r="135" spans="1:5" s="421" customFormat="1" x14ac:dyDescent="0.2">
      <c r="A135" s="584" t="s">
        <v>14</v>
      </c>
      <c r="B135" s="585" t="s">
        <v>806</v>
      </c>
      <c r="C135" s="425"/>
      <c r="D135" s="425"/>
      <c r="E135" s="587"/>
    </row>
    <row r="136" spans="1:5" s="421" customFormat="1" x14ac:dyDescent="0.2">
      <c r="A136" s="588"/>
      <c r="B136" s="587"/>
      <c r="C136" s="587"/>
      <c r="D136" s="587"/>
      <c r="E136" s="587"/>
    </row>
    <row r="137" spans="1:5" s="421" customFormat="1" x14ac:dyDescent="0.2">
      <c r="A137" s="588">
        <v>1</v>
      </c>
      <c r="B137" s="587" t="s">
        <v>656</v>
      </c>
      <c r="C137" s="606">
        <v>830</v>
      </c>
      <c r="D137" s="606">
        <v>703</v>
      </c>
      <c r="E137" s="607">
        <f t="shared" ref="E137:E145" si="16">D137-C137</f>
        <v>-127</v>
      </c>
    </row>
    <row r="138" spans="1:5" s="421" customFormat="1" x14ac:dyDescent="0.2">
      <c r="A138" s="588">
        <v>2</v>
      </c>
      <c r="B138" s="587" t="s">
        <v>635</v>
      </c>
      <c r="C138" s="606">
        <v>1614</v>
      </c>
      <c r="D138" s="606">
        <v>1461</v>
      </c>
      <c r="E138" s="607">
        <f t="shared" si="16"/>
        <v>-153</v>
      </c>
    </row>
    <row r="139" spans="1:5" s="421" customFormat="1" x14ac:dyDescent="0.2">
      <c r="A139" s="588">
        <v>3</v>
      </c>
      <c r="B139" s="587" t="s">
        <v>777</v>
      </c>
      <c r="C139" s="606">
        <f>C140+C141</f>
        <v>425</v>
      </c>
      <c r="D139" s="606">
        <f>D140+D141</f>
        <v>447</v>
      </c>
      <c r="E139" s="607">
        <f t="shared" si="16"/>
        <v>22</v>
      </c>
    </row>
    <row r="140" spans="1:5" s="421" customFormat="1" x14ac:dyDescent="0.2">
      <c r="A140" s="588">
        <v>4</v>
      </c>
      <c r="B140" s="587" t="s">
        <v>115</v>
      </c>
      <c r="C140" s="606">
        <v>217</v>
      </c>
      <c r="D140" s="606">
        <v>235</v>
      </c>
      <c r="E140" s="607">
        <f t="shared" si="16"/>
        <v>18</v>
      </c>
    </row>
    <row r="141" spans="1:5" s="421" customFormat="1" x14ac:dyDescent="0.2">
      <c r="A141" s="588">
        <v>5</v>
      </c>
      <c r="B141" s="587" t="s">
        <v>743</v>
      </c>
      <c r="C141" s="606">
        <v>208</v>
      </c>
      <c r="D141" s="606">
        <v>212</v>
      </c>
      <c r="E141" s="607">
        <f t="shared" si="16"/>
        <v>4</v>
      </c>
    </row>
    <row r="142" spans="1:5" s="421" customFormat="1" x14ac:dyDescent="0.2">
      <c r="A142" s="588">
        <v>6</v>
      </c>
      <c r="B142" s="587" t="s">
        <v>424</v>
      </c>
      <c r="C142" s="606">
        <v>9</v>
      </c>
      <c r="D142" s="606">
        <v>5</v>
      </c>
      <c r="E142" s="607">
        <f t="shared" si="16"/>
        <v>-4</v>
      </c>
    </row>
    <row r="143" spans="1:5" s="421" customFormat="1" x14ac:dyDescent="0.2">
      <c r="A143" s="588">
        <v>7</v>
      </c>
      <c r="B143" s="587" t="s">
        <v>758</v>
      </c>
      <c r="C143" s="606">
        <v>93</v>
      </c>
      <c r="D143" s="606">
        <v>40</v>
      </c>
      <c r="E143" s="607">
        <f t="shared" si="16"/>
        <v>-53</v>
      </c>
    </row>
    <row r="144" spans="1:5" s="421" customFormat="1" x14ac:dyDescent="0.2">
      <c r="A144" s="588"/>
      <c r="B144" s="592" t="s">
        <v>807</v>
      </c>
      <c r="C144" s="608">
        <f>SUM(C138+C139+C142)</f>
        <v>2048</v>
      </c>
      <c r="D144" s="608">
        <f>SUM(D138+D139+D142)</f>
        <v>1913</v>
      </c>
      <c r="E144" s="609">
        <f t="shared" si="16"/>
        <v>-135</v>
      </c>
    </row>
    <row r="145" spans="1:5" s="421" customFormat="1" x14ac:dyDescent="0.2">
      <c r="A145" s="588"/>
      <c r="B145" s="592" t="s">
        <v>138</v>
      </c>
      <c r="C145" s="608">
        <f>SUM(C137+C144)</f>
        <v>2878</v>
      </c>
      <c r="D145" s="608">
        <f>SUM(D137+D144)</f>
        <v>2616</v>
      </c>
      <c r="E145" s="609">
        <f t="shared" si="16"/>
        <v>-262</v>
      </c>
    </row>
    <row r="146" spans="1:5" s="421" customFormat="1" x14ac:dyDescent="0.2">
      <c r="A146" s="588"/>
      <c r="B146" s="587"/>
      <c r="C146" s="610"/>
      <c r="D146" s="610"/>
      <c r="E146" s="587"/>
    </row>
    <row r="147" spans="1:5" s="421" customFormat="1" x14ac:dyDescent="0.2">
      <c r="A147" s="584" t="s">
        <v>26</v>
      </c>
      <c r="B147" s="585" t="s">
        <v>139</v>
      </c>
      <c r="C147" s="610"/>
      <c r="D147" s="610"/>
      <c r="E147" s="587"/>
    </row>
    <row r="148" spans="1:5" s="421" customFormat="1" x14ac:dyDescent="0.2">
      <c r="A148" s="588"/>
      <c r="B148" s="587"/>
      <c r="C148" s="610"/>
      <c r="D148" s="610"/>
      <c r="E148" s="587"/>
    </row>
    <row r="149" spans="1:5" s="421" customFormat="1" x14ac:dyDescent="0.2">
      <c r="A149" s="588">
        <v>1</v>
      </c>
      <c r="B149" s="587" t="s">
        <v>656</v>
      </c>
      <c r="C149" s="610">
        <v>2558</v>
      </c>
      <c r="D149" s="610">
        <v>2110</v>
      </c>
      <c r="E149" s="607">
        <f t="shared" ref="E149:E157" si="17">D149-C149</f>
        <v>-448</v>
      </c>
    </row>
    <row r="150" spans="1:5" s="421" customFormat="1" x14ac:dyDescent="0.2">
      <c r="A150" s="588">
        <v>2</v>
      </c>
      <c r="B150" s="587" t="s">
        <v>635</v>
      </c>
      <c r="C150" s="610">
        <v>8491</v>
      </c>
      <c r="D150" s="610">
        <v>8225</v>
      </c>
      <c r="E150" s="607">
        <f t="shared" si="17"/>
        <v>-266</v>
      </c>
    </row>
    <row r="151" spans="1:5" s="421" customFormat="1" x14ac:dyDescent="0.2">
      <c r="A151" s="588">
        <v>3</v>
      </c>
      <c r="B151" s="587" t="s">
        <v>777</v>
      </c>
      <c r="C151" s="610">
        <f>C152+C153</f>
        <v>1268</v>
      </c>
      <c r="D151" s="610">
        <f>D152+D153</f>
        <v>1345</v>
      </c>
      <c r="E151" s="607">
        <f t="shared" si="17"/>
        <v>77</v>
      </c>
    </row>
    <row r="152" spans="1:5" s="421" customFormat="1" x14ac:dyDescent="0.2">
      <c r="A152" s="588">
        <v>4</v>
      </c>
      <c r="B152" s="587" t="s">
        <v>115</v>
      </c>
      <c r="C152" s="610">
        <v>615</v>
      </c>
      <c r="D152" s="610">
        <v>711</v>
      </c>
      <c r="E152" s="607">
        <f t="shared" si="17"/>
        <v>96</v>
      </c>
    </row>
    <row r="153" spans="1:5" s="421" customFormat="1" x14ac:dyDescent="0.2">
      <c r="A153" s="588">
        <v>5</v>
      </c>
      <c r="B153" s="587" t="s">
        <v>743</v>
      </c>
      <c r="C153" s="611">
        <v>653</v>
      </c>
      <c r="D153" s="610">
        <v>634</v>
      </c>
      <c r="E153" s="607">
        <f t="shared" si="17"/>
        <v>-19</v>
      </c>
    </row>
    <row r="154" spans="1:5" s="421" customFormat="1" x14ac:dyDescent="0.2">
      <c r="A154" s="588">
        <v>6</v>
      </c>
      <c r="B154" s="587" t="s">
        <v>424</v>
      </c>
      <c r="C154" s="610">
        <v>21</v>
      </c>
      <c r="D154" s="610">
        <v>10</v>
      </c>
      <c r="E154" s="607">
        <f t="shared" si="17"/>
        <v>-11</v>
      </c>
    </row>
    <row r="155" spans="1:5" s="421" customFormat="1" x14ac:dyDescent="0.2">
      <c r="A155" s="588">
        <v>7</v>
      </c>
      <c r="B155" s="587" t="s">
        <v>758</v>
      </c>
      <c r="C155" s="610">
        <v>241</v>
      </c>
      <c r="D155" s="610">
        <v>93</v>
      </c>
      <c r="E155" s="607">
        <f t="shared" si="17"/>
        <v>-148</v>
      </c>
    </row>
    <row r="156" spans="1:5" s="421" customFormat="1" x14ac:dyDescent="0.2">
      <c r="A156" s="588"/>
      <c r="B156" s="592" t="s">
        <v>808</v>
      </c>
      <c r="C156" s="608">
        <f>SUM(C150+C151+C154)</f>
        <v>9780</v>
      </c>
      <c r="D156" s="608">
        <f>SUM(D150+D151+D154)</f>
        <v>9580</v>
      </c>
      <c r="E156" s="609">
        <f t="shared" si="17"/>
        <v>-200</v>
      </c>
    </row>
    <row r="157" spans="1:5" s="421" customFormat="1" x14ac:dyDescent="0.2">
      <c r="A157" s="588"/>
      <c r="B157" s="592" t="s">
        <v>140</v>
      </c>
      <c r="C157" s="608">
        <f>SUM(C149+C156)</f>
        <v>12338</v>
      </c>
      <c r="D157" s="608">
        <f>SUM(D149+D156)</f>
        <v>11690</v>
      </c>
      <c r="E157" s="609">
        <f t="shared" si="17"/>
        <v>-648</v>
      </c>
    </row>
    <row r="158" spans="1:5" s="421" customFormat="1" x14ac:dyDescent="0.2">
      <c r="A158" s="588"/>
      <c r="B158" s="587"/>
      <c r="C158" s="610"/>
      <c r="D158" s="610"/>
      <c r="E158" s="587"/>
    </row>
    <row r="159" spans="1:5" s="421" customFormat="1" x14ac:dyDescent="0.2">
      <c r="A159" s="584" t="s">
        <v>36</v>
      </c>
      <c r="B159" s="585" t="s">
        <v>809</v>
      </c>
      <c r="C159" s="610"/>
      <c r="D159" s="610"/>
      <c r="E159" s="587"/>
    </row>
    <row r="160" spans="1:5" s="421" customFormat="1" x14ac:dyDescent="0.2">
      <c r="A160" s="588"/>
      <c r="B160" s="587"/>
      <c r="C160" s="610"/>
      <c r="D160" s="610"/>
      <c r="E160" s="587"/>
    </row>
    <row r="161" spans="1:5" s="421" customFormat="1" x14ac:dyDescent="0.2">
      <c r="A161" s="588">
        <v>1</v>
      </c>
      <c r="B161" s="587" t="s">
        <v>656</v>
      </c>
      <c r="C161" s="612">
        <f t="shared" ref="C161:D169" si="18">IF(C137=0,0,C149/C137)</f>
        <v>3.0819277108433734</v>
      </c>
      <c r="D161" s="612">
        <f t="shared" si="18"/>
        <v>3.0014224751066858</v>
      </c>
      <c r="E161" s="613">
        <f t="shared" ref="E161:E169" si="19">D161-C161</f>
        <v>-8.0505235736687553E-2</v>
      </c>
    </row>
    <row r="162" spans="1:5" s="421" customFormat="1" x14ac:dyDescent="0.2">
      <c r="A162" s="588">
        <v>2</v>
      </c>
      <c r="B162" s="587" t="s">
        <v>635</v>
      </c>
      <c r="C162" s="612">
        <f t="shared" si="18"/>
        <v>5.2608426270136306</v>
      </c>
      <c r="D162" s="612">
        <f t="shared" si="18"/>
        <v>5.6297056810403836</v>
      </c>
      <c r="E162" s="613">
        <f t="shared" si="19"/>
        <v>0.36886305402675301</v>
      </c>
    </row>
    <row r="163" spans="1:5" s="421" customFormat="1" x14ac:dyDescent="0.2">
      <c r="A163" s="588">
        <v>3</v>
      </c>
      <c r="B163" s="587" t="s">
        <v>777</v>
      </c>
      <c r="C163" s="612">
        <f t="shared" si="18"/>
        <v>2.9835294117647058</v>
      </c>
      <c r="D163" s="612">
        <f t="shared" si="18"/>
        <v>3.0089485458612977</v>
      </c>
      <c r="E163" s="613">
        <f t="shared" si="19"/>
        <v>2.5419134096591911E-2</v>
      </c>
    </row>
    <row r="164" spans="1:5" s="421" customFormat="1" x14ac:dyDescent="0.2">
      <c r="A164" s="588">
        <v>4</v>
      </c>
      <c r="B164" s="587" t="s">
        <v>115</v>
      </c>
      <c r="C164" s="612">
        <f t="shared" si="18"/>
        <v>2.8341013824884791</v>
      </c>
      <c r="D164" s="612">
        <f t="shared" si="18"/>
        <v>3.0255319148936168</v>
      </c>
      <c r="E164" s="613">
        <f t="shared" si="19"/>
        <v>0.19143053240513774</v>
      </c>
    </row>
    <row r="165" spans="1:5" s="421" customFormat="1" x14ac:dyDescent="0.2">
      <c r="A165" s="588">
        <v>5</v>
      </c>
      <c r="B165" s="587" t="s">
        <v>743</v>
      </c>
      <c r="C165" s="612">
        <f t="shared" si="18"/>
        <v>3.1394230769230771</v>
      </c>
      <c r="D165" s="612">
        <f t="shared" si="18"/>
        <v>2.9905660377358489</v>
      </c>
      <c r="E165" s="613">
        <f t="shared" si="19"/>
        <v>-0.14885703918722815</v>
      </c>
    </row>
    <row r="166" spans="1:5" s="421" customFormat="1" x14ac:dyDescent="0.2">
      <c r="A166" s="588">
        <v>6</v>
      </c>
      <c r="B166" s="587" t="s">
        <v>424</v>
      </c>
      <c r="C166" s="612">
        <f t="shared" si="18"/>
        <v>2.3333333333333335</v>
      </c>
      <c r="D166" s="612">
        <f t="shared" si="18"/>
        <v>2</v>
      </c>
      <c r="E166" s="613">
        <f t="shared" si="19"/>
        <v>-0.33333333333333348</v>
      </c>
    </row>
    <row r="167" spans="1:5" s="421" customFormat="1" x14ac:dyDescent="0.2">
      <c r="A167" s="588">
        <v>7</v>
      </c>
      <c r="B167" s="587" t="s">
        <v>758</v>
      </c>
      <c r="C167" s="612">
        <f t="shared" si="18"/>
        <v>2.5913978494623655</v>
      </c>
      <c r="D167" s="612">
        <f t="shared" si="18"/>
        <v>2.3250000000000002</v>
      </c>
      <c r="E167" s="613">
        <f t="shared" si="19"/>
        <v>-0.26639784946236533</v>
      </c>
    </row>
    <row r="168" spans="1:5" s="421" customFormat="1" x14ac:dyDescent="0.2">
      <c r="A168" s="588"/>
      <c r="B168" s="592" t="s">
        <v>810</v>
      </c>
      <c r="C168" s="614">
        <f t="shared" si="18"/>
        <v>4.775390625</v>
      </c>
      <c r="D168" s="614">
        <f t="shared" si="18"/>
        <v>5.0078410872974386</v>
      </c>
      <c r="E168" s="615">
        <f t="shared" si="19"/>
        <v>0.2324504622974386</v>
      </c>
    </row>
    <row r="169" spans="1:5" s="421" customFormat="1" x14ac:dyDescent="0.2">
      <c r="A169" s="588"/>
      <c r="B169" s="592" t="s">
        <v>744</v>
      </c>
      <c r="C169" s="614">
        <f t="shared" si="18"/>
        <v>4.2870048644892282</v>
      </c>
      <c r="D169" s="614">
        <f t="shared" si="18"/>
        <v>4.4686544342507641</v>
      </c>
      <c r="E169" s="615">
        <f t="shared" si="19"/>
        <v>0.1816495697615359</v>
      </c>
    </row>
    <row r="170" spans="1:5" s="421" customFormat="1" x14ac:dyDescent="0.2">
      <c r="A170" s="588"/>
      <c r="B170" s="587"/>
      <c r="C170" s="610"/>
      <c r="D170" s="610"/>
      <c r="E170" s="616"/>
    </row>
    <row r="171" spans="1:5" s="421" customFormat="1" x14ac:dyDescent="0.2">
      <c r="A171" s="584" t="s">
        <v>170</v>
      </c>
      <c r="B171" s="585" t="s">
        <v>811</v>
      </c>
      <c r="C171" s="587"/>
      <c r="D171" s="587"/>
      <c r="E171" s="616"/>
    </row>
    <row r="172" spans="1:5" s="421" customFormat="1" x14ac:dyDescent="0.2">
      <c r="A172" s="588"/>
      <c r="B172" s="587"/>
      <c r="C172" s="587"/>
      <c r="D172" s="587"/>
      <c r="E172" s="616"/>
    </row>
    <row r="173" spans="1:5" s="421" customFormat="1" x14ac:dyDescent="0.2">
      <c r="A173" s="588">
        <v>1</v>
      </c>
      <c r="B173" s="587" t="s">
        <v>656</v>
      </c>
      <c r="C173" s="617">
        <f t="shared" ref="C173:D181" si="20">IF(C137=0,0,C203/C137)</f>
        <v>1.0066999999999999</v>
      </c>
      <c r="D173" s="617">
        <f t="shared" si="20"/>
        <v>0.92369999999999997</v>
      </c>
      <c r="E173" s="618">
        <f t="shared" ref="E173:E181" si="21">D173-C173</f>
        <v>-8.2999999999999963E-2</v>
      </c>
    </row>
    <row r="174" spans="1:5" s="421" customFormat="1" x14ac:dyDescent="0.2">
      <c r="A174" s="588">
        <v>2</v>
      </c>
      <c r="B174" s="587" t="s">
        <v>635</v>
      </c>
      <c r="C174" s="617">
        <f t="shared" si="20"/>
        <v>1.1823999999999999</v>
      </c>
      <c r="D174" s="617">
        <f t="shared" si="20"/>
        <v>1.1961999999999999</v>
      </c>
      <c r="E174" s="618">
        <f t="shared" si="21"/>
        <v>1.3800000000000034E-2</v>
      </c>
    </row>
    <row r="175" spans="1:5" s="421" customFormat="1" x14ac:dyDescent="0.2">
      <c r="A175" s="588">
        <v>3</v>
      </c>
      <c r="B175" s="587" t="s">
        <v>777</v>
      </c>
      <c r="C175" s="617">
        <f t="shared" si="20"/>
        <v>0.93546000000000007</v>
      </c>
      <c r="D175" s="617">
        <f t="shared" si="20"/>
        <v>0.90741387024608511</v>
      </c>
      <c r="E175" s="618">
        <f t="shared" si="21"/>
        <v>-2.8046129753914961E-2</v>
      </c>
    </row>
    <row r="176" spans="1:5" s="421" customFormat="1" x14ac:dyDescent="0.2">
      <c r="A176" s="588">
        <v>4</v>
      </c>
      <c r="B176" s="587" t="s">
        <v>115</v>
      </c>
      <c r="C176" s="617">
        <f t="shared" si="20"/>
        <v>0.91049999999999998</v>
      </c>
      <c r="D176" s="617">
        <f t="shared" si="20"/>
        <v>0.93440000000000001</v>
      </c>
      <c r="E176" s="618">
        <f t="shared" si="21"/>
        <v>2.3900000000000032E-2</v>
      </c>
    </row>
    <row r="177" spans="1:5" s="421" customFormat="1" x14ac:dyDescent="0.2">
      <c r="A177" s="588">
        <v>5</v>
      </c>
      <c r="B177" s="587" t="s">
        <v>743</v>
      </c>
      <c r="C177" s="617">
        <f t="shared" si="20"/>
        <v>0.96150000000000013</v>
      </c>
      <c r="D177" s="617">
        <f t="shared" si="20"/>
        <v>0.87750000000000006</v>
      </c>
      <c r="E177" s="618">
        <f t="shared" si="21"/>
        <v>-8.4000000000000075E-2</v>
      </c>
    </row>
    <row r="178" spans="1:5" s="421" customFormat="1" x14ac:dyDescent="0.2">
      <c r="A178" s="588">
        <v>6</v>
      </c>
      <c r="B178" s="587" t="s">
        <v>424</v>
      </c>
      <c r="C178" s="617">
        <f t="shared" si="20"/>
        <v>1.0219</v>
      </c>
      <c r="D178" s="617">
        <f t="shared" si="20"/>
        <v>0.68859999999999999</v>
      </c>
      <c r="E178" s="618">
        <f t="shared" si="21"/>
        <v>-0.33330000000000004</v>
      </c>
    </row>
    <row r="179" spans="1:5" s="421" customFormat="1" x14ac:dyDescent="0.2">
      <c r="A179" s="588">
        <v>7</v>
      </c>
      <c r="B179" s="587" t="s">
        <v>758</v>
      </c>
      <c r="C179" s="617">
        <f t="shared" si="20"/>
        <v>0.89090000000000003</v>
      </c>
      <c r="D179" s="617">
        <f t="shared" si="20"/>
        <v>0.75600000000000001</v>
      </c>
      <c r="E179" s="618">
        <f t="shared" si="21"/>
        <v>-0.13490000000000002</v>
      </c>
    </row>
    <row r="180" spans="1:5" s="421" customFormat="1" x14ac:dyDescent="0.2">
      <c r="A180" s="588"/>
      <c r="B180" s="592" t="s">
        <v>812</v>
      </c>
      <c r="C180" s="619">
        <f t="shared" si="20"/>
        <v>1.1304498046875</v>
      </c>
      <c r="D180" s="619">
        <f t="shared" si="20"/>
        <v>1.1273942498693155</v>
      </c>
      <c r="E180" s="620">
        <f t="shared" si="21"/>
        <v>-3.055554818184536E-3</v>
      </c>
    </row>
    <row r="181" spans="1:5" s="421" customFormat="1" x14ac:dyDescent="0.2">
      <c r="A181" s="588"/>
      <c r="B181" s="592" t="s">
        <v>723</v>
      </c>
      <c r="C181" s="619">
        <f t="shared" si="20"/>
        <v>1.0947610145934676</v>
      </c>
      <c r="D181" s="619">
        <f t="shared" si="20"/>
        <v>1.0726553134556576</v>
      </c>
      <c r="E181" s="620">
        <f t="shared" si="21"/>
        <v>-2.2105701137810074E-2</v>
      </c>
    </row>
    <row r="182" spans="1:5" s="421" customFormat="1" x14ac:dyDescent="0.2">
      <c r="A182" s="584"/>
      <c r="B182" s="587"/>
      <c r="C182" s="621"/>
      <c r="D182" s="621"/>
      <c r="E182" s="587"/>
    </row>
    <row r="183" spans="1:5" s="421" customFormat="1" x14ac:dyDescent="0.2">
      <c r="A183" s="584" t="s">
        <v>175</v>
      </c>
      <c r="B183" s="585" t="s">
        <v>813</v>
      </c>
      <c r="C183" s="425"/>
      <c r="D183" s="425"/>
      <c r="E183" s="587"/>
    </row>
    <row r="184" spans="1:5" s="421" customFormat="1" x14ac:dyDescent="0.2">
      <c r="A184" s="582"/>
      <c r="B184" s="587"/>
      <c r="C184" s="621"/>
      <c r="D184" s="621"/>
      <c r="E184" s="587"/>
    </row>
    <row r="185" spans="1:5" s="421" customFormat="1" ht="25.5" x14ac:dyDescent="0.2">
      <c r="A185" s="588">
        <v>1</v>
      </c>
      <c r="B185" s="587" t="s">
        <v>814</v>
      </c>
      <c r="C185" s="589">
        <v>55244177</v>
      </c>
      <c r="D185" s="589">
        <v>52241943</v>
      </c>
      <c r="E185" s="590">
        <f>D185-C185</f>
        <v>-3002234</v>
      </c>
    </row>
    <row r="186" spans="1:5" s="421" customFormat="1" ht="25.5" x14ac:dyDescent="0.2">
      <c r="A186" s="588">
        <v>2</v>
      </c>
      <c r="B186" s="587" t="s">
        <v>815</v>
      </c>
      <c r="C186" s="589">
        <v>27839311</v>
      </c>
      <c r="D186" s="589">
        <v>25479835</v>
      </c>
      <c r="E186" s="590">
        <f>D186-C186</f>
        <v>-2359476</v>
      </c>
    </row>
    <row r="187" spans="1:5" s="421" customFormat="1" x14ac:dyDescent="0.2">
      <c r="A187" s="588"/>
      <c r="B187" s="587" t="s">
        <v>668</v>
      </c>
      <c r="C187" s="586"/>
      <c r="D187" s="586"/>
      <c r="E187" s="587"/>
    </row>
    <row r="188" spans="1:5" s="421" customFormat="1" x14ac:dyDescent="0.2">
      <c r="A188" s="588">
        <v>3</v>
      </c>
      <c r="B188" s="587" t="s">
        <v>747</v>
      </c>
      <c r="C188" s="622">
        <f>+C185-C186</f>
        <v>27404866</v>
      </c>
      <c r="D188" s="622">
        <f>+D185-D186</f>
        <v>26762108</v>
      </c>
      <c r="E188" s="590">
        <f t="shared" ref="E188:E197" si="22">D188-C188</f>
        <v>-642758</v>
      </c>
    </row>
    <row r="189" spans="1:5" s="421" customFormat="1" x14ac:dyDescent="0.2">
      <c r="A189" s="588">
        <v>4</v>
      </c>
      <c r="B189" s="587" t="s">
        <v>670</v>
      </c>
      <c r="C189" s="623">
        <f>IF(C185=0,0,+C188/C185)</f>
        <v>0.49606795662826147</v>
      </c>
      <c r="D189" s="623">
        <f>IF(D185=0,0,+D188/D185)</f>
        <v>0.51227244744706379</v>
      </c>
      <c r="E189" s="599">
        <f t="shared" si="22"/>
        <v>1.620449081880232E-2</v>
      </c>
    </row>
    <row r="190" spans="1:5" s="421" customFormat="1" x14ac:dyDescent="0.2">
      <c r="A190" s="588">
        <v>5</v>
      </c>
      <c r="B190" s="587" t="s">
        <v>762</v>
      </c>
      <c r="C190" s="589">
        <v>2174989</v>
      </c>
      <c r="D190" s="589">
        <v>1748963</v>
      </c>
      <c r="E190" s="622">
        <f t="shared" si="22"/>
        <v>-426026</v>
      </c>
    </row>
    <row r="191" spans="1:5" s="421" customFormat="1" x14ac:dyDescent="0.2">
      <c r="A191" s="588">
        <v>6</v>
      </c>
      <c r="B191" s="587" t="s">
        <v>748</v>
      </c>
      <c r="C191" s="589">
        <v>1448354</v>
      </c>
      <c r="D191" s="589">
        <v>1000434</v>
      </c>
      <c r="E191" s="622">
        <f t="shared" si="22"/>
        <v>-447920</v>
      </c>
    </row>
    <row r="192" spans="1:5" ht="29.25" x14ac:dyDescent="0.2">
      <c r="A192" s="588">
        <v>7</v>
      </c>
      <c r="B192" s="624" t="s">
        <v>816</v>
      </c>
      <c r="C192" s="589">
        <v>0</v>
      </c>
      <c r="D192" s="589">
        <v>0</v>
      </c>
      <c r="E192" s="622">
        <f t="shared" si="22"/>
        <v>0</v>
      </c>
    </row>
    <row r="193" spans="1:5" s="421" customFormat="1" x14ac:dyDescent="0.2">
      <c r="A193" s="588">
        <v>8</v>
      </c>
      <c r="B193" s="587" t="s">
        <v>817</v>
      </c>
      <c r="C193" s="589">
        <v>941923</v>
      </c>
      <c r="D193" s="589">
        <v>892961</v>
      </c>
      <c r="E193" s="622">
        <f t="shared" si="22"/>
        <v>-48962</v>
      </c>
    </row>
    <row r="194" spans="1:5" s="421" customFormat="1" x14ac:dyDescent="0.2">
      <c r="A194" s="588">
        <v>9</v>
      </c>
      <c r="B194" s="587" t="s">
        <v>818</v>
      </c>
      <c r="C194" s="589">
        <v>2293507</v>
      </c>
      <c r="D194" s="589">
        <v>2270701</v>
      </c>
      <c r="E194" s="622">
        <f t="shared" si="22"/>
        <v>-22806</v>
      </c>
    </row>
    <row r="195" spans="1:5" s="421" customFormat="1" x14ac:dyDescent="0.2">
      <c r="A195" s="588">
        <v>10</v>
      </c>
      <c r="B195" s="587" t="s">
        <v>819</v>
      </c>
      <c r="C195" s="589">
        <f>+C193+C194</f>
        <v>3235430</v>
      </c>
      <c r="D195" s="589">
        <f>+D193+D194</f>
        <v>3163662</v>
      </c>
      <c r="E195" s="625">
        <f t="shared" si="22"/>
        <v>-71768</v>
      </c>
    </row>
    <row r="196" spans="1:5" s="421" customFormat="1" x14ac:dyDescent="0.2">
      <c r="A196" s="588">
        <v>11</v>
      </c>
      <c r="B196" s="587" t="s">
        <v>820</v>
      </c>
      <c r="C196" s="589">
        <v>429185</v>
      </c>
      <c r="D196" s="589">
        <v>1092483</v>
      </c>
      <c r="E196" s="622">
        <f t="shared" si="22"/>
        <v>663298</v>
      </c>
    </row>
    <row r="197" spans="1:5" s="421" customFormat="1" x14ac:dyDescent="0.2">
      <c r="A197" s="588">
        <v>12</v>
      </c>
      <c r="B197" s="587" t="s">
        <v>710</v>
      </c>
      <c r="C197" s="589">
        <v>49401485</v>
      </c>
      <c r="D197" s="589">
        <v>48236048</v>
      </c>
      <c r="E197" s="622">
        <f t="shared" si="22"/>
        <v>-1165437</v>
      </c>
    </row>
    <row r="198" spans="1:5" s="421" customFormat="1" x14ac:dyDescent="0.2">
      <c r="A198" s="588"/>
      <c r="B198" s="587"/>
      <c r="C198" s="589"/>
      <c r="D198" s="589"/>
      <c r="E198" s="586"/>
    </row>
    <row r="199" spans="1:5" s="421" customFormat="1" ht="15.75" customHeight="1" x14ac:dyDescent="0.25">
      <c r="A199" s="605" t="s">
        <v>143</v>
      </c>
      <c r="B199" s="626" t="s">
        <v>821</v>
      </c>
      <c r="C199" s="586"/>
      <c r="D199" s="586"/>
      <c r="E199" s="586"/>
    </row>
    <row r="200" spans="1:5" s="421" customFormat="1" x14ac:dyDescent="0.2">
      <c r="A200" s="584"/>
      <c r="B200" s="627"/>
      <c r="C200" s="586"/>
      <c r="D200" s="586"/>
      <c r="E200" s="586"/>
    </row>
    <row r="201" spans="1:5" s="421" customFormat="1" x14ac:dyDescent="0.2">
      <c r="A201" s="584" t="s">
        <v>14</v>
      </c>
      <c r="B201" s="585" t="s">
        <v>822</v>
      </c>
      <c r="C201" s="586"/>
      <c r="D201" s="586"/>
      <c r="E201" s="586"/>
    </row>
    <row r="202" spans="1:5" s="421" customFormat="1" x14ac:dyDescent="0.2">
      <c r="B202" s="628"/>
      <c r="C202" s="586"/>
      <c r="D202" s="586"/>
      <c r="E202" s="586"/>
    </row>
    <row r="203" spans="1:5" s="421" customFormat="1" x14ac:dyDescent="0.2">
      <c r="A203" s="588">
        <v>1</v>
      </c>
      <c r="B203" s="587" t="s">
        <v>656</v>
      </c>
      <c r="C203" s="629">
        <v>835.56099999999992</v>
      </c>
      <c r="D203" s="629">
        <v>649.36109999999996</v>
      </c>
      <c r="E203" s="630">
        <f t="shared" ref="E203:E211" si="23">D203-C203</f>
        <v>-186.19989999999996</v>
      </c>
    </row>
    <row r="204" spans="1:5" s="421" customFormat="1" x14ac:dyDescent="0.2">
      <c r="A204" s="588">
        <v>2</v>
      </c>
      <c r="B204" s="587" t="s">
        <v>635</v>
      </c>
      <c r="C204" s="629">
        <v>1908.3935999999999</v>
      </c>
      <c r="D204" s="629">
        <v>1747.6481999999999</v>
      </c>
      <c r="E204" s="630">
        <f t="shared" si="23"/>
        <v>-160.74540000000002</v>
      </c>
    </row>
    <row r="205" spans="1:5" s="421" customFormat="1" x14ac:dyDescent="0.2">
      <c r="A205" s="588">
        <v>3</v>
      </c>
      <c r="B205" s="587" t="s">
        <v>777</v>
      </c>
      <c r="C205" s="629">
        <f>C206+C207</f>
        <v>397.57050000000004</v>
      </c>
      <c r="D205" s="629">
        <f>D206+D207</f>
        <v>405.61400000000003</v>
      </c>
      <c r="E205" s="630">
        <f t="shared" si="23"/>
        <v>8.0434999999999945</v>
      </c>
    </row>
    <row r="206" spans="1:5" s="421" customFormat="1" x14ac:dyDescent="0.2">
      <c r="A206" s="588">
        <v>4</v>
      </c>
      <c r="B206" s="587" t="s">
        <v>115</v>
      </c>
      <c r="C206" s="629">
        <v>197.57849999999999</v>
      </c>
      <c r="D206" s="629">
        <v>219.584</v>
      </c>
      <c r="E206" s="630">
        <f t="shared" si="23"/>
        <v>22.005500000000012</v>
      </c>
    </row>
    <row r="207" spans="1:5" s="421" customFormat="1" x14ac:dyDescent="0.2">
      <c r="A207" s="588">
        <v>5</v>
      </c>
      <c r="B207" s="587" t="s">
        <v>743</v>
      </c>
      <c r="C207" s="629">
        <v>199.99200000000002</v>
      </c>
      <c r="D207" s="629">
        <v>186.03</v>
      </c>
      <c r="E207" s="630">
        <f t="shared" si="23"/>
        <v>-13.962000000000018</v>
      </c>
    </row>
    <row r="208" spans="1:5" s="421" customFormat="1" x14ac:dyDescent="0.2">
      <c r="A208" s="588">
        <v>6</v>
      </c>
      <c r="B208" s="587" t="s">
        <v>424</v>
      </c>
      <c r="C208" s="629">
        <v>9.1971000000000007</v>
      </c>
      <c r="D208" s="629">
        <v>3.4430000000000001</v>
      </c>
      <c r="E208" s="630">
        <f t="shared" si="23"/>
        <v>-5.7541000000000011</v>
      </c>
    </row>
    <row r="209" spans="1:5" s="421" customFormat="1" x14ac:dyDescent="0.2">
      <c r="A209" s="588">
        <v>7</v>
      </c>
      <c r="B209" s="587" t="s">
        <v>758</v>
      </c>
      <c r="C209" s="629">
        <v>82.853700000000003</v>
      </c>
      <c r="D209" s="629">
        <v>30.240000000000002</v>
      </c>
      <c r="E209" s="630">
        <f t="shared" si="23"/>
        <v>-52.613700000000001</v>
      </c>
    </row>
    <row r="210" spans="1:5" s="421" customFormat="1" x14ac:dyDescent="0.2">
      <c r="A210" s="588"/>
      <c r="B210" s="592" t="s">
        <v>823</v>
      </c>
      <c r="C210" s="631">
        <f>C204+C205+C208</f>
        <v>2315.1612</v>
      </c>
      <c r="D210" s="631">
        <f>D204+D205+D208</f>
        <v>2156.7052000000003</v>
      </c>
      <c r="E210" s="632">
        <f t="shared" si="23"/>
        <v>-158.45599999999968</v>
      </c>
    </row>
    <row r="211" spans="1:5" s="421" customFormat="1" x14ac:dyDescent="0.2">
      <c r="A211" s="588"/>
      <c r="B211" s="592" t="s">
        <v>724</v>
      </c>
      <c r="C211" s="631">
        <f>C210+C203</f>
        <v>3150.7222000000002</v>
      </c>
      <c r="D211" s="631">
        <f>D210+D203</f>
        <v>2806.0663000000004</v>
      </c>
      <c r="E211" s="632">
        <f t="shared" si="23"/>
        <v>-344.65589999999975</v>
      </c>
    </row>
    <row r="212" spans="1:5" s="421" customFormat="1" x14ac:dyDescent="0.2">
      <c r="A212" s="588"/>
      <c r="B212" s="627"/>
      <c r="C212" s="586"/>
      <c r="D212" s="586"/>
      <c r="E212" s="631"/>
    </row>
    <row r="213" spans="1:5" s="421" customFormat="1" x14ac:dyDescent="0.2">
      <c r="A213" s="584" t="s">
        <v>26</v>
      </c>
      <c r="B213" s="585" t="s">
        <v>824</v>
      </c>
      <c r="C213" s="586"/>
      <c r="D213" s="586"/>
      <c r="E213" s="631"/>
    </row>
    <row r="214" spans="1:5" s="421" customFormat="1" x14ac:dyDescent="0.2">
      <c r="A214" s="582"/>
      <c r="B214" s="627"/>
      <c r="C214" s="586"/>
      <c r="D214" s="586"/>
      <c r="E214" s="586"/>
    </row>
    <row r="215" spans="1:5" s="421" customFormat="1" x14ac:dyDescent="0.2">
      <c r="A215" s="588">
        <v>1</v>
      </c>
      <c r="B215" s="587" t="s">
        <v>656</v>
      </c>
      <c r="C215" s="633">
        <f>IF(C14*C137=0,0,C25/C14*C137)</f>
        <v>2094.6955996320139</v>
      </c>
      <c r="D215" s="633">
        <f>IF(D14*D137=0,0,D25/D14*D137)</f>
        <v>2251.5196763985546</v>
      </c>
      <c r="E215" s="633">
        <f t="shared" ref="E215:E223" si="24">D215-C215</f>
        <v>156.82407676654066</v>
      </c>
    </row>
    <row r="216" spans="1:5" s="421" customFormat="1" x14ac:dyDescent="0.2">
      <c r="A216" s="588">
        <v>2</v>
      </c>
      <c r="B216" s="587" t="s">
        <v>635</v>
      </c>
      <c r="C216" s="633">
        <f>IF(C15*C138=0,0,C26/C15*C138)</f>
        <v>1523.5902541373312</v>
      </c>
      <c r="D216" s="633">
        <f>IF(D15*D138=0,0,D26/D15*D138)</f>
        <v>1348.8395433193457</v>
      </c>
      <c r="E216" s="633">
        <f t="shared" si="24"/>
        <v>-174.75071081798546</v>
      </c>
    </row>
    <row r="217" spans="1:5" s="421" customFormat="1" x14ac:dyDescent="0.2">
      <c r="A217" s="588">
        <v>3</v>
      </c>
      <c r="B217" s="587" t="s">
        <v>777</v>
      </c>
      <c r="C217" s="633">
        <f>C218+C219</f>
        <v>614.90850174592003</v>
      </c>
      <c r="D217" s="633">
        <f>D218+D219</f>
        <v>749.66284443897234</v>
      </c>
      <c r="E217" s="633">
        <f t="shared" si="24"/>
        <v>134.75434269305231</v>
      </c>
    </row>
    <row r="218" spans="1:5" s="421" customFormat="1" x14ac:dyDescent="0.2">
      <c r="A218" s="588">
        <v>4</v>
      </c>
      <c r="B218" s="587" t="s">
        <v>115</v>
      </c>
      <c r="C218" s="633">
        <f t="shared" ref="C218:D221" si="25">IF(C17*C140=0,0,C28/C17*C140)</f>
        <v>359.9667711170332</v>
      </c>
      <c r="D218" s="633">
        <f t="shared" si="25"/>
        <v>419.97400700471803</v>
      </c>
      <c r="E218" s="633">
        <f t="shared" si="24"/>
        <v>60.007235887684828</v>
      </c>
    </row>
    <row r="219" spans="1:5" s="421" customFormat="1" x14ac:dyDescent="0.2">
      <c r="A219" s="588">
        <v>5</v>
      </c>
      <c r="B219" s="587" t="s">
        <v>743</v>
      </c>
      <c r="C219" s="633">
        <f t="shared" si="25"/>
        <v>254.9417306288868</v>
      </c>
      <c r="D219" s="633">
        <f t="shared" si="25"/>
        <v>329.68883743425425</v>
      </c>
      <c r="E219" s="633">
        <f t="shared" si="24"/>
        <v>74.747106805367451</v>
      </c>
    </row>
    <row r="220" spans="1:5" s="421" customFormat="1" x14ac:dyDescent="0.2">
      <c r="A220" s="588">
        <v>6</v>
      </c>
      <c r="B220" s="587" t="s">
        <v>424</v>
      </c>
      <c r="C220" s="633">
        <f t="shared" si="25"/>
        <v>20.164365355664284</v>
      </c>
      <c r="D220" s="633">
        <f t="shared" si="25"/>
        <v>24.380178290508653</v>
      </c>
      <c r="E220" s="633">
        <f t="shared" si="24"/>
        <v>4.2158129348443687</v>
      </c>
    </row>
    <row r="221" spans="1:5" s="421" customFormat="1" x14ac:dyDescent="0.2">
      <c r="A221" s="588">
        <v>7</v>
      </c>
      <c r="B221" s="587" t="s">
        <v>758</v>
      </c>
      <c r="C221" s="633">
        <f t="shared" si="25"/>
        <v>231.69041554725933</v>
      </c>
      <c r="D221" s="633">
        <f t="shared" si="25"/>
        <v>209.92509043639251</v>
      </c>
      <c r="E221" s="633">
        <f t="shared" si="24"/>
        <v>-21.765325110866826</v>
      </c>
    </row>
    <row r="222" spans="1:5" s="421" customFormat="1" x14ac:dyDescent="0.2">
      <c r="A222" s="588"/>
      <c r="B222" s="592" t="s">
        <v>825</v>
      </c>
      <c r="C222" s="634">
        <f>C216+C218+C219+C220</f>
        <v>2158.6631212389157</v>
      </c>
      <c r="D222" s="634">
        <f>D216+D218+D219+D220</f>
        <v>2122.8825660488269</v>
      </c>
      <c r="E222" s="634">
        <f t="shared" si="24"/>
        <v>-35.780555190088762</v>
      </c>
    </row>
    <row r="223" spans="1:5" s="421" customFormat="1" x14ac:dyDescent="0.2">
      <c r="A223" s="588"/>
      <c r="B223" s="592" t="s">
        <v>826</v>
      </c>
      <c r="C223" s="634">
        <f>C215+C222</f>
        <v>4253.3587208709296</v>
      </c>
      <c r="D223" s="634">
        <f>D215+D222</f>
        <v>4374.4022424473815</v>
      </c>
      <c r="E223" s="634">
        <f t="shared" si="24"/>
        <v>121.04352157645189</v>
      </c>
    </row>
    <row r="224" spans="1:5" s="421" customFormat="1" x14ac:dyDescent="0.2">
      <c r="A224" s="582"/>
      <c r="B224" s="627"/>
      <c r="C224" s="586"/>
      <c r="D224" s="586"/>
      <c r="E224" s="635"/>
    </row>
    <row r="225" spans="1:5" s="421" customFormat="1" x14ac:dyDescent="0.2">
      <c r="A225" s="584" t="s">
        <v>36</v>
      </c>
      <c r="B225" s="585" t="s">
        <v>827</v>
      </c>
      <c r="C225" s="586"/>
      <c r="D225" s="586"/>
      <c r="E225" s="635"/>
    </row>
    <row r="226" spans="1:5" s="421" customFormat="1" x14ac:dyDescent="0.2">
      <c r="A226" s="582"/>
      <c r="B226" s="627"/>
      <c r="C226" s="586"/>
      <c r="D226" s="586"/>
      <c r="E226" s="635"/>
    </row>
    <row r="227" spans="1:5" s="421" customFormat="1" x14ac:dyDescent="0.2">
      <c r="A227" s="588">
        <v>1</v>
      </c>
      <c r="B227" s="587" t="s">
        <v>656</v>
      </c>
      <c r="C227" s="636">
        <f t="shared" ref="C227:D235" si="26">IF(C203=0,0,C47/C203)</f>
        <v>7991.7001870599524</v>
      </c>
      <c r="D227" s="636">
        <f t="shared" si="26"/>
        <v>7833.3457301338194</v>
      </c>
      <c r="E227" s="636">
        <f t="shared" ref="E227:E235" si="27">D227-C227</f>
        <v>-158.35445692613303</v>
      </c>
    </row>
    <row r="228" spans="1:5" s="421" customFormat="1" x14ac:dyDescent="0.2">
      <c r="A228" s="588">
        <v>2</v>
      </c>
      <c r="B228" s="587" t="s">
        <v>635</v>
      </c>
      <c r="C228" s="636">
        <f t="shared" si="26"/>
        <v>9416.6968491195948</v>
      </c>
      <c r="D228" s="636">
        <f t="shared" si="26"/>
        <v>9238.2591645160628</v>
      </c>
      <c r="E228" s="636">
        <f t="shared" si="27"/>
        <v>-178.43768460353203</v>
      </c>
    </row>
    <row r="229" spans="1:5" s="421" customFormat="1" x14ac:dyDescent="0.2">
      <c r="A229" s="588">
        <v>3</v>
      </c>
      <c r="B229" s="587" t="s">
        <v>777</v>
      </c>
      <c r="C229" s="636">
        <f t="shared" si="26"/>
        <v>5070.2177349677595</v>
      </c>
      <c r="D229" s="636">
        <f t="shared" si="26"/>
        <v>5499.7756487695196</v>
      </c>
      <c r="E229" s="636">
        <f t="shared" si="27"/>
        <v>429.55791380176015</v>
      </c>
    </row>
    <row r="230" spans="1:5" s="421" customFormat="1" x14ac:dyDescent="0.2">
      <c r="A230" s="588">
        <v>4</v>
      </c>
      <c r="B230" s="587" t="s">
        <v>115</v>
      </c>
      <c r="C230" s="636">
        <f t="shared" si="26"/>
        <v>4147.9867495704239</v>
      </c>
      <c r="D230" s="636">
        <f t="shared" si="26"/>
        <v>4526.2314194112505</v>
      </c>
      <c r="E230" s="636">
        <f t="shared" si="27"/>
        <v>378.24466984082665</v>
      </c>
    </row>
    <row r="231" spans="1:5" s="421" customFormat="1" x14ac:dyDescent="0.2">
      <c r="A231" s="588">
        <v>5</v>
      </c>
      <c r="B231" s="587" t="s">
        <v>743</v>
      </c>
      <c r="C231" s="636">
        <f t="shared" si="26"/>
        <v>5981.3192527701103</v>
      </c>
      <c r="D231" s="636">
        <f t="shared" si="26"/>
        <v>6648.9168413696716</v>
      </c>
      <c r="E231" s="636">
        <f t="shared" si="27"/>
        <v>667.59758859956128</v>
      </c>
    </row>
    <row r="232" spans="1:5" s="421" customFormat="1" x14ac:dyDescent="0.2">
      <c r="A232" s="588">
        <v>6</v>
      </c>
      <c r="B232" s="587" t="s">
        <v>424</v>
      </c>
      <c r="C232" s="636">
        <f t="shared" si="26"/>
        <v>8429.1787628709044</v>
      </c>
      <c r="D232" s="636">
        <f t="shared" si="26"/>
        <v>7049.9564333430144</v>
      </c>
      <c r="E232" s="636">
        <f t="shared" si="27"/>
        <v>-1379.22232952789</v>
      </c>
    </row>
    <row r="233" spans="1:5" s="421" customFormat="1" x14ac:dyDescent="0.2">
      <c r="A233" s="588">
        <v>7</v>
      </c>
      <c r="B233" s="587" t="s">
        <v>758</v>
      </c>
      <c r="C233" s="636">
        <f t="shared" si="26"/>
        <v>2706.9762726347767</v>
      </c>
      <c r="D233" s="636">
        <f t="shared" si="26"/>
        <v>1218.3862433862432</v>
      </c>
      <c r="E233" s="636">
        <f t="shared" si="27"/>
        <v>-1488.5900292485335</v>
      </c>
    </row>
    <row r="234" spans="1:5" x14ac:dyDescent="0.2">
      <c r="A234" s="588"/>
      <c r="B234" s="592" t="s">
        <v>828</v>
      </c>
      <c r="C234" s="637">
        <f t="shared" si="26"/>
        <v>8666.3758013912811</v>
      </c>
      <c r="D234" s="637">
        <f t="shared" si="26"/>
        <v>8531.6648747357758</v>
      </c>
      <c r="E234" s="637">
        <f t="shared" si="27"/>
        <v>-134.71092665550532</v>
      </c>
    </row>
    <row r="235" spans="1:5" s="421" customFormat="1" x14ac:dyDescent="0.2">
      <c r="A235" s="588"/>
      <c r="B235" s="592" t="s">
        <v>829</v>
      </c>
      <c r="C235" s="637">
        <f t="shared" si="26"/>
        <v>8487.4540827496621</v>
      </c>
      <c r="D235" s="637">
        <f t="shared" si="26"/>
        <v>8370.064527698436</v>
      </c>
      <c r="E235" s="637">
        <f t="shared" si="27"/>
        <v>-117.38955505122613</v>
      </c>
    </row>
    <row r="236" spans="1:5" s="421" customFormat="1" x14ac:dyDescent="0.2">
      <c r="A236" s="582"/>
      <c r="B236" s="627"/>
      <c r="C236" s="586"/>
      <c r="D236" s="586"/>
      <c r="E236" s="637"/>
    </row>
    <row r="237" spans="1:5" s="421" customFormat="1" x14ac:dyDescent="0.2">
      <c r="A237" s="584" t="s">
        <v>170</v>
      </c>
      <c r="B237" s="585" t="s">
        <v>830</v>
      </c>
      <c r="C237" s="425"/>
      <c r="D237" s="425"/>
      <c r="E237" s="637"/>
    </row>
    <row r="238" spans="1:5" s="421" customFormat="1" x14ac:dyDescent="0.2">
      <c r="A238" s="582"/>
      <c r="B238" s="595"/>
      <c r="C238" s="596"/>
      <c r="D238" s="596"/>
      <c r="E238" s="596"/>
    </row>
    <row r="239" spans="1:5" s="421" customFormat="1" x14ac:dyDescent="0.2">
      <c r="A239" s="588">
        <v>1</v>
      </c>
      <c r="B239" s="587" t="s">
        <v>656</v>
      </c>
      <c r="C239" s="636">
        <f t="shared" ref="C239:D247" si="28">IF(C215=0,0,C58/C215)</f>
        <v>7866.5344038030034</v>
      </c>
      <c r="D239" s="636">
        <f t="shared" si="28"/>
        <v>7208.0511532368228</v>
      </c>
      <c r="E239" s="638">
        <f t="shared" ref="E239:E247" si="29">D239-C239</f>
        <v>-658.48325056618069</v>
      </c>
    </row>
    <row r="240" spans="1:5" s="421" customFormat="1" x14ac:dyDescent="0.2">
      <c r="A240" s="588">
        <v>2</v>
      </c>
      <c r="B240" s="587" t="s">
        <v>635</v>
      </c>
      <c r="C240" s="636">
        <f t="shared" si="28"/>
        <v>4940.8152746830792</v>
      </c>
      <c r="D240" s="636">
        <f t="shared" si="28"/>
        <v>5560.9809462889725</v>
      </c>
      <c r="E240" s="638">
        <f t="shared" si="29"/>
        <v>620.16567160589329</v>
      </c>
    </row>
    <row r="241" spans="1:5" x14ac:dyDescent="0.2">
      <c r="A241" s="588">
        <v>3</v>
      </c>
      <c r="B241" s="587" t="s">
        <v>777</v>
      </c>
      <c r="C241" s="636">
        <f t="shared" si="28"/>
        <v>2987.9355949434807</v>
      </c>
      <c r="D241" s="636">
        <f t="shared" si="28"/>
        <v>2768.2831227324377</v>
      </c>
      <c r="E241" s="638">
        <f t="shared" si="29"/>
        <v>-219.652472211043</v>
      </c>
    </row>
    <row r="242" spans="1:5" x14ac:dyDescent="0.2">
      <c r="A242" s="588">
        <v>4</v>
      </c>
      <c r="B242" s="587" t="s">
        <v>115</v>
      </c>
      <c r="C242" s="636">
        <f t="shared" si="28"/>
        <v>3531.9260054330052</v>
      </c>
      <c r="D242" s="636">
        <f t="shared" si="28"/>
        <v>3460.8522807547743</v>
      </c>
      <c r="E242" s="638">
        <f t="shared" si="29"/>
        <v>-71.073724678230974</v>
      </c>
    </row>
    <row r="243" spans="1:5" x14ac:dyDescent="0.2">
      <c r="A243" s="588">
        <v>5</v>
      </c>
      <c r="B243" s="587" t="s">
        <v>743</v>
      </c>
      <c r="C243" s="636">
        <f t="shared" si="28"/>
        <v>2219.8445056600544</v>
      </c>
      <c r="D243" s="636">
        <f t="shared" si="28"/>
        <v>1886.0541498436387</v>
      </c>
      <c r="E243" s="638">
        <f t="shared" si="29"/>
        <v>-333.79035581641574</v>
      </c>
    </row>
    <row r="244" spans="1:5" x14ac:dyDescent="0.2">
      <c r="A244" s="588">
        <v>6</v>
      </c>
      <c r="B244" s="587" t="s">
        <v>424</v>
      </c>
      <c r="C244" s="636">
        <f t="shared" si="28"/>
        <v>2081.444134725029</v>
      </c>
      <c r="D244" s="636">
        <f t="shared" si="28"/>
        <v>1669.8401264706515</v>
      </c>
      <c r="E244" s="638">
        <f t="shared" si="29"/>
        <v>-411.6040082543775</v>
      </c>
    </row>
    <row r="245" spans="1:5" x14ac:dyDescent="0.2">
      <c r="A245" s="588">
        <v>7</v>
      </c>
      <c r="B245" s="587" t="s">
        <v>758</v>
      </c>
      <c r="C245" s="636">
        <f t="shared" si="28"/>
        <v>1842.2902777043644</v>
      </c>
      <c r="D245" s="636">
        <f t="shared" si="28"/>
        <v>1155.3740407866608</v>
      </c>
      <c r="E245" s="638">
        <f t="shared" si="29"/>
        <v>-686.9162369177036</v>
      </c>
    </row>
    <row r="246" spans="1:5" ht="25.5" x14ac:dyDescent="0.2">
      <c r="A246" s="588"/>
      <c r="B246" s="592" t="s">
        <v>831</v>
      </c>
      <c r="C246" s="637">
        <f t="shared" si="28"/>
        <v>4357.8156811244517</v>
      </c>
      <c r="D246" s="637">
        <f t="shared" si="28"/>
        <v>4530.0956132958363</v>
      </c>
      <c r="E246" s="639">
        <f t="shared" si="29"/>
        <v>172.27993217138464</v>
      </c>
    </row>
    <row r="247" spans="1:5" x14ac:dyDescent="0.2">
      <c r="A247" s="588"/>
      <c r="B247" s="592" t="s">
        <v>832</v>
      </c>
      <c r="C247" s="637">
        <f t="shared" si="28"/>
        <v>6085.7907124042677</v>
      </c>
      <c r="D247" s="637">
        <f t="shared" si="28"/>
        <v>5908.4484159233998</v>
      </c>
      <c r="E247" s="639">
        <f t="shared" si="29"/>
        <v>-177.34229648086784</v>
      </c>
    </row>
    <row r="248" spans="1:5" x14ac:dyDescent="0.2">
      <c r="A248" s="582"/>
      <c r="B248" s="595"/>
      <c r="C248" s="636"/>
      <c r="D248" s="636"/>
      <c r="E248" s="639"/>
    </row>
    <row r="249" spans="1:5" s="421" customFormat="1" ht="15.75" customHeight="1" x14ac:dyDescent="0.25">
      <c r="A249" s="605" t="s">
        <v>760</v>
      </c>
      <c r="B249" s="626" t="s">
        <v>757</v>
      </c>
      <c r="C249" s="596"/>
      <c r="D249" s="596"/>
      <c r="E249" s="637"/>
    </row>
    <row r="250" spans="1:5" x14ac:dyDescent="0.2">
      <c r="A250" s="582"/>
      <c r="B250" s="595"/>
      <c r="C250" s="636"/>
      <c r="D250" s="636"/>
      <c r="E250" s="637"/>
    </row>
    <row r="251" spans="1:5" x14ac:dyDescent="0.2">
      <c r="A251" s="588">
        <v>1</v>
      </c>
      <c r="B251" s="587" t="s">
        <v>115</v>
      </c>
      <c r="C251" s="622">
        <f>((IF((IF(C15=0,0,C26/C15)*C138)=0,0,C59/(IF(C15=0,0,C26/C15)*C138)))-(IF((IF(C17=0,0,C28/C17)*C140)=0,0,C61/(IF(C17=0,0,C28/C17)*C140))))*(IF(C17=0,0,C28/C17)*C140)</f>
        <v>507153.32111338555</v>
      </c>
      <c r="D251" s="622">
        <f>((IF((IF(D15=0,0,D26/D15)*D138)=0,0,D59/(IF(D15=0,0,D26/D15)*D138)))-(IF((IF(D17=0,0,D28/D17)*D140)=0,0,D61/(IF(D17=0,0,D28/D17)*D140))))*(IF(D17=0,0,D28/D17)*D140)</f>
        <v>881999.45088986855</v>
      </c>
      <c r="E251" s="622">
        <f>D251-C251</f>
        <v>374846.12977648299</v>
      </c>
    </row>
    <row r="252" spans="1:5" x14ac:dyDescent="0.2">
      <c r="A252" s="588">
        <v>2</v>
      </c>
      <c r="B252" s="587" t="s">
        <v>743</v>
      </c>
      <c r="C252" s="622">
        <f>IF(C231=0,0,(C228-C231)*C207)+IF(C243=0,0,(C240-C243)*C219)</f>
        <v>1380737.033094469</v>
      </c>
      <c r="D252" s="622">
        <f>IF(D231=0,0,(D228-D231)*D207)+IF(D243=0,0,(D240-D243)*D219)</f>
        <v>1693277.6955509735</v>
      </c>
      <c r="E252" s="622">
        <f>D252-C252</f>
        <v>312540.66245650453</v>
      </c>
    </row>
    <row r="253" spans="1:5" x14ac:dyDescent="0.2">
      <c r="A253" s="588">
        <v>3</v>
      </c>
      <c r="B253" s="587" t="s">
        <v>758</v>
      </c>
      <c r="C253" s="622">
        <f>IF(C233=0,0,(C228-C233)*C209+IF(C221=0,0,(C240-C245)*C221))</f>
        <v>1273823.7198614692</v>
      </c>
      <c r="D253" s="622">
        <f>IF(D233=0,0,(D228-D233)*D209+IF(D221=0,0,(D240-D245)*D221))</f>
        <v>1167368.3851997338</v>
      </c>
      <c r="E253" s="622">
        <f>D253-C253</f>
        <v>-106455.33466173545</v>
      </c>
    </row>
    <row r="254" spans="1:5" ht="15" customHeight="1" x14ac:dyDescent="0.2">
      <c r="A254" s="588"/>
      <c r="B254" s="592" t="s">
        <v>759</v>
      </c>
      <c r="C254" s="640">
        <f>+C251+C252+C253</f>
        <v>3161714.0740693239</v>
      </c>
      <c r="D254" s="640">
        <f>+D251+D252+D253</f>
        <v>3742645.5316405762</v>
      </c>
      <c r="E254" s="640">
        <f>D254-C254</f>
        <v>580931.45757125225</v>
      </c>
    </row>
    <row r="255" spans="1:5" x14ac:dyDescent="0.2">
      <c r="A255" s="580"/>
      <c r="B255" s="595"/>
      <c r="C255" s="596"/>
      <c r="D255" s="596"/>
      <c r="E255" s="640"/>
    </row>
    <row r="256" spans="1:5" ht="15.75" customHeight="1" x14ac:dyDescent="0.25">
      <c r="A256" s="605" t="s">
        <v>833</v>
      </c>
      <c r="B256" s="626" t="s">
        <v>834</v>
      </c>
      <c r="C256" s="596"/>
      <c r="D256" s="596"/>
      <c r="E256" s="640"/>
    </row>
    <row r="257" spans="1:5" ht="11.25" customHeight="1" x14ac:dyDescent="0.2">
      <c r="A257" s="580"/>
      <c r="B257" s="595"/>
      <c r="C257" s="596"/>
      <c r="D257" s="596"/>
      <c r="E257" s="596"/>
    </row>
    <row r="258" spans="1:5" x14ac:dyDescent="0.2">
      <c r="A258" s="588">
        <v>1</v>
      </c>
      <c r="B258" s="587" t="s">
        <v>725</v>
      </c>
      <c r="C258" s="622">
        <f>+C44</f>
        <v>147441042</v>
      </c>
      <c r="D258" s="625">
        <f>+D44</f>
        <v>145172347</v>
      </c>
      <c r="E258" s="622">
        <f t="shared" ref="E258:E271" si="30">D258-C258</f>
        <v>-2268695</v>
      </c>
    </row>
    <row r="259" spans="1:5" x14ac:dyDescent="0.2">
      <c r="A259" s="588">
        <v>2</v>
      </c>
      <c r="B259" s="587" t="s">
        <v>742</v>
      </c>
      <c r="C259" s="622">
        <f>+(C43-C76)</f>
        <v>62725752</v>
      </c>
      <c r="D259" s="625">
        <f>+(D43-D76)</f>
        <v>64913257</v>
      </c>
      <c r="E259" s="622">
        <f t="shared" si="30"/>
        <v>2187505</v>
      </c>
    </row>
    <row r="260" spans="1:5" x14ac:dyDescent="0.2">
      <c r="A260" s="588">
        <v>3</v>
      </c>
      <c r="B260" s="587" t="s">
        <v>746</v>
      </c>
      <c r="C260" s="622">
        <f>C195</f>
        <v>3235430</v>
      </c>
      <c r="D260" s="622">
        <f>D195</f>
        <v>3163662</v>
      </c>
      <c r="E260" s="622">
        <f t="shared" si="30"/>
        <v>-71768</v>
      </c>
    </row>
    <row r="261" spans="1:5" x14ac:dyDescent="0.2">
      <c r="A261" s="588">
        <v>4</v>
      </c>
      <c r="B261" s="587" t="s">
        <v>747</v>
      </c>
      <c r="C261" s="622">
        <f>C188</f>
        <v>27404866</v>
      </c>
      <c r="D261" s="622">
        <f>D188</f>
        <v>26762108</v>
      </c>
      <c r="E261" s="622">
        <f t="shared" si="30"/>
        <v>-642758</v>
      </c>
    </row>
    <row r="262" spans="1:5" x14ac:dyDescent="0.2">
      <c r="A262" s="588">
        <v>5</v>
      </c>
      <c r="B262" s="587" t="s">
        <v>748</v>
      </c>
      <c r="C262" s="622">
        <f>C191</f>
        <v>1448354</v>
      </c>
      <c r="D262" s="622">
        <f>D191</f>
        <v>1000434</v>
      </c>
      <c r="E262" s="622">
        <f t="shared" si="30"/>
        <v>-447920</v>
      </c>
    </row>
    <row r="263" spans="1:5" x14ac:dyDescent="0.2">
      <c r="A263" s="588">
        <v>6</v>
      </c>
      <c r="B263" s="587" t="s">
        <v>749</v>
      </c>
      <c r="C263" s="622">
        <f>+C259+C260+C261+C262</f>
        <v>94814402</v>
      </c>
      <c r="D263" s="622">
        <f>+D259+D260+D261+D262</f>
        <v>95839461</v>
      </c>
      <c r="E263" s="622">
        <f t="shared" si="30"/>
        <v>1025059</v>
      </c>
    </row>
    <row r="264" spans="1:5" x14ac:dyDescent="0.2">
      <c r="A264" s="588">
        <v>7</v>
      </c>
      <c r="B264" s="587" t="s">
        <v>654</v>
      </c>
      <c r="C264" s="622">
        <f>+C258-C263</f>
        <v>52626640</v>
      </c>
      <c r="D264" s="622">
        <f>+D258-D263</f>
        <v>49332886</v>
      </c>
      <c r="E264" s="622">
        <f t="shared" si="30"/>
        <v>-3293754</v>
      </c>
    </row>
    <row r="265" spans="1:5" x14ac:dyDescent="0.2">
      <c r="A265" s="588">
        <v>8</v>
      </c>
      <c r="B265" s="587" t="s">
        <v>835</v>
      </c>
      <c r="C265" s="641">
        <f>C192</f>
        <v>0</v>
      </c>
      <c r="D265" s="641">
        <f>D192</f>
        <v>0</v>
      </c>
      <c r="E265" s="622">
        <f t="shared" si="30"/>
        <v>0</v>
      </c>
    </row>
    <row r="266" spans="1:5" x14ac:dyDescent="0.2">
      <c r="A266" s="588">
        <v>9</v>
      </c>
      <c r="B266" s="587" t="s">
        <v>836</v>
      </c>
      <c r="C266" s="622">
        <f>+C264+C265</f>
        <v>52626640</v>
      </c>
      <c r="D266" s="622">
        <f>+D264+D265</f>
        <v>49332886</v>
      </c>
      <c r="E266" s="641">
        <f t="shared" si="30"/>
        <v>-3293754</v>
      </c>
    </row>
    <row r="267" spans="1:5" x14ac:dyDescent="0.2">
      <c r="A267" s="588">
        <v>10</v>
      </c>
      <c r="B267" s="587" t="s">
        <v>837</v>
      </c>
      <c r="C267" s="642">
        <f>IF(C258=0,0,C266/C258)</f>
        <v>0.35693345140629162</v>
      </c>
      <c r="D267" s="642">
        <f>IF(D258=0,0,D266/D258)</f>
        <v>0.33982288651708581</v>
      </c>
      <c r="E267" s="643">
        <f t="shared" si="30"/>
        <v>-1.7110564889205815E-2</v>
      </c>
    </row>
    <row r="268" spans="1:5" x14ac:dyDescent="0.2">
      <c r="A268" s="588">
        <v>11</v>
      </c>
      <c r="B268" s="587" t="s">
        <v>716</v>
      </c>
      <c r="C268" s="622">
        <f>+C260*C267</f>
        <v>1154833.1966834581</v>
      </c>
      <c r="D268" s="644">
        <f>+D260*D267</f>
        <v>1075084.7528044167</v>
      </c>
      <c r="E268" s="622">
        <f t="shared" si="30"/>
        <v>-79748.443879041355</v>
      </c>
    </row>
    <row r="269" spans="1:5" x14ac:dyDescent="0.2">
      <c r="A269" s="588">
        <v>12</v>
      </c>
      <c r="B269" s="587" t="s">
        <v>838</v>
      </c>
      <c r="C269" s="622">
        <f>((C17+C18+C28+C29)*C267)-(C50+C51+C61+C62)</f>
        <v>1822253.6829890832</v>
      </c>
      <c r="D269" s="644">
        <f>((D17+D18+D28+D29)*D267)-(D50+D51+D61+D62)</f>
        <v>2212575.6268129703</v>
      </c>
      <c r="E269" s="622">
        <f t="shared" si="30"/>
        <v>390321.94382388704</v>
      </c>
    </row>
    <row r="270" spans="1:5" s="648" customFormat="1" x14ac:dyDescent="0.2">
      <c r="A270" s="645">
        <v>13</v>
      </c>
      <c r="B270" s="646" t="s">
        <v>839</v>
      </c>
      <c r="C270" s="647">
        <v>0</v>
      </c>
      <c r="D270" s="647">
        <v>0</v>
      </c>
      <c r="E270" s="622">
        <f t="shared" si="30"/>
        <v>0</v>
      </c>
    </row>
    <row r="271" spans="1:5" ht="25.5" x14ac:dyDescent="0.2">
      <c r="A271" s="588">
        <v>14</v>
      </c>
      <c r="B271" s="587" t="s">
        <v>840</v>
      </c>
      <c r="C271" s="622">
        <f>+C268+C269+C270</f>
        <v>2977086.8796725413</v>
      </c>
      <c r="D271" s="622">
        <f>+D268+D269+D270</f>
        <v>3287660.379617387</v>
      </c>
      <c r="E271" s="625">
        <f t="shared" si="30"/>
        <v>310573.49994484568</v>
      </c>
    </row>
    <row r="272" spans="1:5" x14ac:dyDescent="0.2">
      <c r="A272" s="588"/>
      <c r="B272" s="587"/>
      <c r="C272" s="622"/>
      <c r="D272" s="622"/>
      <c r="E272" s="640"/>
    </row>
    <row r="273" spans="1:5" ht="15.75" customHeight="1" x14ac:dyDescent="0.2">
      <c r="A273" s="578" t="s">
        <v>841</v>
      </c>
      <c r="B273" s="626" t="s">
        <v>842</v>
      </c>
      <c r="C273" s="622"/>
      <c r="D273" s="622"/>
      <c r="E273" s="640"/>
    </row>
    <row r="274" spans="1:5" ht="15.75" customHeight="1" x14ac:dyDescent="0.2">
      <c r="A274" s="584"/>
      <c r="B274" s="649"/>
      <c r="C274" s="622"/>
      <c r="D274" s="622"/>
      <c r="E274" s="640"/>
    </row>
    <row r="275" spans="1:5" x14ac:dyDescent="0.2">
      <c r="A275" s="425" t="s">
        <v>14</v>
      </c>
      <c r="B275" s="585" t="s">
        <v>843</v>
      </c>
      <c r="C275" s="425"/>
      <c r="D275" s="425"/>
      <c r="E275" s="596"/>
    </row>
    <row r="276" spans="1:5" x14ac:dyDescent="0.2">
      <c r="A276" s="588">
        <v>1</v>
      </c>
      <c r="B276" s="587" t="s">
        <v>656</v>
      </c>
      <c r="C276" s="623">
        <f t="shared" ref="C276:D284" si="31">IF(C14=0,0,+C47/C14)</f>
        <v>0.42592527744880854</v>
      </c>
      <c r="D276" s="623">
        <f t="shared" si="31"/>
        <v>0.40920959100842158</v>
      </c>
      <c r="E276" s="650">
        <f t="shared" ref="E276:E284" si="32">D276-C276</f>
        <v>-1.6715686440386957E-2</v>
      </c>
    </row>
    <row r="277" spans="1:5" x14ac:dyDescent="0.2">
      <c r="A277" s="588">
        <v>2</v>
      </c>
      <c r="B277" s="587" t="s">
        <v>635</v>
      </c>
      <c r="C277" s="623">
        <f t="shared" si="31"/>
        <v>0.45954187131968194</v>
      </c>
      <c r="D277" s="623">
        <f t="shared" si="31"/>
        <v>0.42232554891086271</v>
      </c>
      <c r="E277" s="650">
        <f t="shared" si="32"/>
        <v>-3.7216322408819225E-2</v>
      </c>
    </row>
    <row r="278" spans="1:5" x14ac:dyDescent="0.2">
      <c r="A278" s="588">
        <v>3</v>
      </c>
      <c r="B278" s="587" t="s">
        <v>777</v>
      </c>
      <c r="C278" s="623">
        <f t="shared" si="31"/>
        <v>0.30888485916852643</v>
      </c>
      <c r="D278" s="623">
        <f t="shared" si="31"/>
        <v>0.31165408917235538</v>
      </c>
      <c r="E278" s="650">
        <f t="shared" si="32"/>
        <v>2.7692300038289486E-3</v>
      </c>
    </row>
    <row r="279" spans="1:5" x14ac:dyDescent="0.2">
      <c r="A279" s="588">
        <v>4</v>
      </c>
      <c r="B279" s="587" t="s">
        <v>115</v>
      </c>
      <c r="C279" s="623">
        <f t="shared" si="31"/>
        <v>0.25807238848104858</v>
      </c>
      <c r="D279" s="623">
        <f t="shared" si="31"/>
        <v>0.2581734482066223</v>
      </c>
      <c r="E279" s="650">
        <f t="shared" si="32"/>
        <v>1.0105972557372667E-4</v>
      </c>
    </row>
    <row r="280" spans="1:5" x14ac:dyDescent="0.2">
      <c r="A280" s="588">
        <v>5</v>
      </c>
      <c r="B280" s="587" t="s">
        <v>743</v>
      </c>
      <c r="C280" s="623">
        <f t="shared" si="31"/>
        <v>0.35704902717231518</v>
      </c>
      <c r="D280" s="623">
        <f t="shared" si="31"/>
        <v>0.3738885194365516</v>
      </c>
      <c r="E280" s="650">
        <f t="shared" si="32"/>
        <v>1.6839492264236422E-2</v>
      </c>
    </row>
    <row r="281" spans="1:5" x14ac:dyDescent="0.2">
      <c r="A281" s="588">
        <v>6</v>
      </c>
      <c r="B281" s="587" t="s">
        <v>424</v>
      </c>
      <c r="C281" s="623">
        <f t="shared" si="31"/>
        <v>0.91178961234474976</v>
      </c>
      <c r="D281" s="623">
        <f t="shared" si="31"/>
        <v>0.63641845831148403</v>
      </c>
      <c r="E281" s="650">
        <f t="shared" si="32"/>
        <v>-0.27537115403326573</v>
      </c>
    </row>
    <row r="282" spans="1:5" x14ac:dyDescent="0.2">
      <c r="A282" s="588">
        <v>7</v>
      </c>
      <c r="B282" s="587" t="s">
        <v>758</v>
      </c>
      <c r="C282" s="623">
        <f t="shared" si="31"/>
        <v>0.20593085414068998</v>
      </c>
      <c r="D282" s="623">
        <f t="shared" si="31"/>
        <v>8.0630089440662134E-2</v>
      </c>
      <c r="E282" s="650">
        <f t="shared" si="32"/>
        <v>-0.12530076470002785</v>
      </c>
    </row>
    <row r="283" spans="1:5" ht="29.25" customHeight="1" x14ac:dyDescent="0.2">
      <c r="A283" s="588"/>
      <c r="B283" s="592" t="s">
        <v>844</v>
      </c>
      <c r="C283" s="651">
        <f t="shared" si="31"/>
        <v>0.43887706063448662</v>
      </c>
      <c r="D283" s="651">
        <f t="shared" si="31"/>
        <v>0.40506627893033609</v>
      </c>
      <c r="E283" s="652">
        <f t="shared" si="32"/>
        <v>-3.3810781704150528E-2</v>
      </c>
    </row>
    <row r="284" spans="1:5" x14ac:dyDescent="0.2">
      <c r="A284" s="588"/>
      <c r="B284" s="592" t="s">
        <v>845</v>
      </c>
      <c r="C284" s="651">
        <f t="shared" si="31"/>
        <v>0.43556968449420652</v>
      </c>
      <c r="D284" s="651">
        <f t="shared" si="31"/>
        <v>0.40595648007711305</v>
      </c>
      <c r="E284" s="652">
        <f t="shared" si="32"/>
        <v>-2.9613204417093475E-2</v>
      </c>
    </row>
    <row r="285" spans="1:5" ht="11.25" customHeight="1" x14ac:dyDescent="0.2">
      <c r="A285" s="580"/>
      <c r="B285" s="595"/>
      <c r="C285" s="596"/>
      <c r="D285" s="596"/>
      <c r="E285" s="596"/>
    </row>
    <row r="286" spans="1:5" x14ac:dyDescent="0.2">
      <c r="A286" s="425" t="s">
        <v>26</v>
      </c>
      <c r="B286" s="585" t="s">
        <v>846</v>
      </c>
      <c r="C286" s="596"/>
      <c r="D286" s="596"/>
      <c r="E286" s="596"/>
    </row>
    <row r="287" spans="1:5" x14ac:dyDescent="0.2">
      <c r="A287" s="588">
        <v>1</v>
      </c>
      <c r="B287" s="587" t="s">
        <v>656</v>
      </c>
      <c r="C287" s="623">
        <f t="shared" ref="C287:D295" si="33">IF(C25=0,0,+C58/C25)</f>
        <v>0.41646413802411236</v>
      </c>
      <c r="D287" s="623">
        <f t="shared" si="33"/>
        <v>0.40764810299504917</v>
      </c>
      <c r="E287" s="650">
        <f t="shared" ref="E287:E295" si="34">D287-C287</f>
        <v>-8.8160350290631961E-3</v>
      </c>
    </row>
    <row r="288" spans="1:5" x14ac:dyDescent="0.2">
      <c r="A288" s="588">
        <v>2</v>
      </c>
      <c r="B288" s="587" t="s">
        <v>635</v>
      </c>
      <c r="C288" s="623">
        <f t="shared" si="33"/>
        <v>0.20392040964072461</v>
      </c>
      <c r="D288" s="623">
        <f t="shared" si="33"/>
        <v>0.21252245428584923</v>
      </c>
      <c r="E288" s="650">
        <f t="shared" si="34"/>
        <v>8.6020446451246235E-3</v>
      </c>
    </row>
    <row r="289" spans="1:5" x14ac:dyDescent="0.2">
      <c r="A289" s="588">
        <v>3</v>
      </c>
      <c r="B289" s="587" t="s">
        <v>777</v>
      </c>
      <c r="C289" s="623">
        <f t="shared" si="33"/>
        <v>0.19599425663170225</v>
      </c>
      <c r="D289" s="623">
        <f t="shared" si="33"/>
        <v>0.17258648830303677</v>
      </c>
      <c r="E289" s="650">
        <f t="shared" si="34"/>
        <v>-2.3407768328665479E-2</v>
      </c>
    </row>
    <row r="290" spans="1:5" x14ac:dyDescent="0.2">
      <c r="A290" s="588">
        <v>4</v>
      </c>
      <c r="B290" s="587" t="s">
        <v>115</v>
      </c>
      <c r="C290" s="623">
        <f t="shared" si="33"/>
        <v>0.24134362255377276</v>
      </c>
      <c r="D290" s="623">
        <f t="shared" si="33"/>
        <v>0.21126378350298036</v>
      </c>
      <c r="E290" s="650">
        <f t="shared" si="34"/>
        <v>-3.0079839050792395E-2</v>
      </c>
    </row>
    <row r="291" spans="1:5" x14ac:dyDescent="0.2">
      <c r="A291" s="588">
        <v>5</v>
      </c>
      <c r="B291" s="587" t="s">
        <v>743</v>
      </c>
      <c r="C291" s="623">
        <f t="shared" si="33"/>
        <v>0.13781742663006025</v>
      </c>
      <c r="D291" s="623">
        <f t="shared" si="33"/>
        <v>0.120864361213606</v>
      </c>
      <c r="E291" s="650">
        <f t="shared" si="34"/>
        <v>-1.6953065416454249E-2</v>
      </c>
    </row>
    <row r="292" spans="1:5" x14ac:dyDescent="0.2">
      <c r="A292" s="588">
        <v>6</v>
      </c>
      <c r="B292" s="587" t="s">
        <v>424</v>
      </c>
      <c r="C292" s="623">
        <f t="shared" si="33"/>
        <v>0.22032599280821019</v>
      </c>
      <c r="D292" s="623">
        <f t="shared" si="33"/>
        <v>0.21890929817391866</v>
      </c>
      <c r="E292" s="650">
        <f t="shared" si="34"/>
        <v>-1.4166946342915321E-3</v>
      </c>
    </row>
    <row r="293" spans="1:5" x14ac:dyDescent="0.2">
      <c r="A293" s="588">
        <v>7</v>
      </c>
      <c r="B293" s="587" t="s">
        <v>758</v>
      </c>
      <c r="C293" s="623">
        <f t="shared" si="33"/>
        <v>0.15731352876961532</v>
      </c>
      <c r="D293" s="623">
        <f t="shared" si="33"/>
        <v>0.10113767478671985</v>
      </c>
      <c r="E293" s="650">
        <f t="shared" si="34"/>
        <v>-5.6175853982895471E-2</v>
      </c>
    </row>
    <row r="294" spans="1:5" ht="29.25" customHeight="1" x14ac:dyDescent="0.2">
      <c r="A294" s="588"/>
      <c r="B294" s="592" t="s">
        <v>847</v>
      </c>
      <c r="C294" s="651">
        <f t="shared" si="33"/>
        <v>0.20238906748399205</v>
      </c>
      <c r="D294" s="651">
        <f t="shared" si="33"/>
        <v>0.20243878159183681</v>
      </c>
      <c r="E294" s="652">
        <f t="shared" si="34"/>
        <v>4.9714107844767152E-5</v>
      </c>
    </row>
    <row r="295" spans="1:5" x14ac:dyDescent="0.2">
      <c r="A295" s="588"/>
      <c r="B295" s="592" t="s">
        <v>848</v>
      </c>
      <c r="C295" s="651">
        <f t="shared" si="33"/>
        <v>0.30082637895239878</v>
      </c>
      <c r="D295" s="651">
        <f t="shared" si="33"/>
        <v>0.29600281733692946</v>
      </c>
      <c r="E295" s="652">
        <f t="shared" si="34"/>
        <v>-4.8235616154693184E-3</v>
      </c>
    </row>
    <row r="296" spans="1:5" x14ac:dyDescent="0.2">
      <c r="A296" s="580"/>
      <c r="B296" s="595"/>
      <c r="C296" s="595"/>
      <c r="D296" s="596"/>
      <c r="E296" s="652"/>
    </row>
    <row r="297" spans="1:5" ht="15.75" customHeight="1" x14ac:dyDescent="0.25">
      <c r="A297" s="578" t="s">
        <v>849</v>
      </c>
      <c r="B297" s="579" t="s">
        <v>850</v>
      </c>
      <c r="C297" s="425"/>
      <c r="E297" s="652"/>
    </row>
    <row r="298" spans="1:5" ht="15.75" customHeight="1" x14ac:dyDescent="0.25">
      <c r="A298" s="425"/>
      <c r="B298" s="653"/>
      <c r="C298" s="577"/>
      <c r="E298" s="652"/>
    </row>
    <row r="299" spans="1:5" x14ac:dyDescent="0.2">
      <c r="A299" s="584" t="s">
        <v>14</v>
      </c>
      <c r="B299" s="585" t="s">
        <v>851</v>
      </c>
      <c r="C299" s="586"/>
      <c r="D299" s="586"/>
      <c r="E299" s="652"/>
    </row>
    <row r="300" spans="1:5" x14ac:dyDescent="0.2">
      <c r="A300" s="587"/>
      <c r="B300" s="587"/>
      <c r="C300" s="586"/>
      <c r="D300" s="586"/>
      <c r="E300" s="652"/>
    </row>
    <row r="301" spans="1:5" x14ac:dyDescent="0.2">
      <c r="A301" s="588">
        <v>1</v>
      </c>
      <c r="B301" s="587" t="s">
        <v>654</v>
      </c>
      <c r="C301" s="590">
        <f>+C48+C47+C50+C51+C52+C59+C58+C61+C62+C63</f>
        <v>52626661</v>
      </c>
      <c r="D301" s="590">
        <f>+D48+D47+D50+D51+D52+D59+D58+D61+D62+D63</f>
        <v>49332886</v>
      </c>
      <c r="E301" s="590">
        <f>D301-C301</f>
        <v>-3293775</v>
      </c>
    </row>
    <row r="302" spans="1:5" ht="25.5" x14ac:dyDescent="0.2">
      <c r="A302" s="588">
        <v>2</v>
      </c>
      <c r="B302" s="587" t="s">
        <v>852</v>
      </c>
      <c r="C302" s="622">
        <f>C265</f>
        <v>0</v>
      </c>
      <c r="D302" s="622">
        <f>D265</f>
        <v>0</v>
      </c>
      <c r="E302" s="590">
        <f>D302-C302</f>
        <v>0</v>
      </c>
    </row>
    <row r="303" spans="1:5" x14ac:dyDescent="0.2">
      <c r="A303" s="588"/>
      <c r="B303" s="592" t="s">
        <v>853</v>
      </c>
      <c r="C303" s="593">
        <f>+C301+C302</f>
        <v>52626661</v>
      </c>
      <c r="D303" s="593">
        <f>+D301+D302</f>
        <v>49332886</v>
      </c>
      <c r="E303" s="593">
        <f>D303-C303</f>
        <v>-3293775</v>
      </c>
    </row>
    <row r="304" spans="1:5" x14ac:dyDescent="0.2">
      <c r="A304" s="588"/>
      <c r="B304" s="587"/>
      <c r="C304" s="587"/>
      <c r="D304" s="587"/>
      <c r="E304" s="590"/>
    </row>
    <row r="305" spans="1:5" x14ac:dyDescent="0.2">
      <c r="A305" s="588">
        <v>3</v>
      </c>
      <c r="B305" s="587" t="s">
        <v>854</v>
      </c>
      <c r="C305" s="589">
        <v>1120243</v>
      </c>
      <c r="D305" s="654">
        <v>753030</v>
      </c>
      <c r="E305" s="655">
        <f>D305-C305</f>
        <v>-367213</v>
      </c>
    </row>
    <row r="306" spans="1:5" x14ac:dyDescent="0.2">
      <c r="A306" s="588">
        <v>4</v>
      </c>
      <c r="B306" s="592" t="s">
        <v>855</v>
      </c>
      <c r="C306" s="593">
        <f>+C303+C305+C194+C190-C191</f>
        <v>56767046</v>
      </c>
      <c r="D306" s="593">
        <f>+D303+D305</f>
        <v>50085916</v>
      </c>
      <c r="E306" s="656">
        <f>D306-C306</f>
        <v>-6681130</v>
      </c>
    </row>
    <row r="307" spans="1:5" x14ac:dyDescent="0.2">
      <c r="A307" s="588"/>
      <c r="B307" s="586"/>
      <c r="C307" s="586"/>
      <c r="D307" s="586"/>
      <c r="E307" s="590"/>
    </row>
    <row r="308" spans="1:5" ht="25.5" x14ac:dyDescent="0.2">
      <c r="A308" s="588">
        <v>5</v>
      </c>
      <c r="B308" s="587" t="s">
        <v>856</v>
      </c>
      <c r="C308" s="589">
        <v>53746903</v>
      </c>
      <c r="D308" s="589">
        <v>50085912</v>
      </c>
      <c r="E308" s="590">
        <f>D308-C308</f>
        <v>-3660991</v>
      </c>
    </row>
    <row r="309" spans="1:5" x14ac:dyDescent="0.2">
      <c r="A309" s="588"/>
      <c r="B309" s="587"/>
      <c r="C309" s="587"/>
      <c r="D309" s="587"/>
      <c r="E309" s="590"/>
    </row>
    <row r="310" spans="1:5" x14ac:dyDescent="0.2">
      <c r="A310" s="588">
        <v>6</v>
      </c>
      <c r="B310" s="592" t="s">
        <v>857</v>
      </c>
      <c r="C310" s="657">
        <f>C306-C308</f>
        <v>3020143</v>
      </c>
      <c r="D310" s="658">
        <f>D306-D308</f>
        <v>4</v>
      </c>
      <c r="E310" s="656">
        <f>D310-C310</f>
        <v>-3020139</v>
      </c>
    </row>
    <row r="311" spans="1:5" x14ac:dyDescent="0.2">
      <c r="A311" s="588"/>
      <c r="B311" s="587"/>
      <c r="C311" s="587"/>
      <c r="D311" s="587"/>
      <c r="E311" s="590"/>
    </row>
    <row r="312" spans="1:5" x14ac:dyDescent="0.2">
      <c r="A312" s="425" t="s">
        <v>26</v>
      </c>
      <c r="B312" s="585" t="s">
        <v>858</v>
      </c>
      <c r="C312" s="586"/>
      <c r="D312" s="586"/>
      <c r="E312" s="590"/>
    </row>
    <row r="313" spans="1:5" x14ac:dyDescent="0.2">
      <c r="A313" s="586"/>
      <c r="B313" s="627"/>
      <c r="C313" s="586"/>
      <c r="D313" s="586"/>
      <c r="E313" s="590"/>
    </row>
    <row r="314" spans="1:5" x14ac:dyDescent="0.2">
      <c r="A314" s="588">
        <v>1</v>
      </c>
      <c r="B314" s="587" t="s">
        <v>859</v>
      </c>
      <c r="C314" s="590">
        <f>+C14+C15+C16+C19+C25+C26+C27+C30</f>
        <v>147441042</v>
      </c>
      <c r="D314" s="590">
        <f>+D14+D15+D16+D19+D25+D26+D27+D30</f>
        <v>145172347</v>
      </c>
      <c r="E314" s="590">
        <f>D314-C314</f>
        <v>-2268695</v>
      </c>
    </row>
    <row r="315" spans="1:5" x14ac:dyDescent="0.2">
      <c r="A315" s="588">
        <v>2</v>
      </c>
      <c r="B315" s="659" t="s">
        <v>860</v>
      </c>
      <c r="C315" s="589">
        <v>0</v>
      </c>
      <c r="D315" s="589">
        <v>0</v>
      </c>
      <c r="E315" s="590">
        <f>D315-C315</f>
        <v>0</v>
      </c>
    </row>
    <row r="316" spans="1:5" x14ac:dyDescent="0.2">
      <c r="A316" s="588"/>
      <c r="B316" s="592" t="s">
        <v>861</v>
      </c>
      <c r="C316" s="657">
        <f>C314+C315</f>
        <v>147441042</v>
      </c>
      <c r="D316" s="657">
        <f>D314+D315</f>
        <v>145172347</v>
      </c>
      <c r="E316" s="593">
        <f>D316-C316</f>
        <v>-2268695</v>
      </c>
    </row>
    <row r="317" spans="1:5" x14ac:dyDescent="0.2">
      <c r="A317" s="588"/>
      <c r="B317" s="586"/>
      <c r="C317" s="589"/>
      <c r="D317" s="589"/>
      <c r="E317" s="590"/>
    </row>
    <row r="318" spans="1:5" ht="25.5" x14ac:dyDescent="0.2">
      <c r="A318" s="588">
        <v>3</v>
      </c>
      <c r="B318" s="587" t="s">
        <v>862</v>
      </c>
      <c r="C318" s="589">
        <v>147441041</v>
      </c>
      <c r="D318" s="589">
        <v>145172348</v>
      </c>
      <c r="E318" s="590">
        <f>D318-C318</f>
        <v>-2268693</v>
      </c>
    </row>
    <row r="319" spans="1:5" x14ac:dyDescent="0.2">
      <c r="A319" s="588"/>
      <c r="B319" s="587"/>
      <c r="C319" s="589"/>
      <c r="D319" s="589"/>
      <c r="E319" s="590"/>
    </row>
    <row r="320" spans="1:5" x14ac:dyDescent="0.2">
      <c r="A320" s="588">
        <v>4</v>
      </c>
      <c r="B320" s="592" t="s">
        <v>857</v>
      </c>
      <c r="C320" s="657">
        <f>C316-C318</f>
        <v>1</v>
      </c>
      <c r="D320" s="657">
        <f>D316-D318</f>
        <v>-1</v>
      </c>
      <c r="E320" s="593">
        <f>D320-C320</f>
        <v>-2</v>
      </c>
    </row>
    <row r="321" spans="1:5" x14ac:dyDescent="0.2">
      <c r="A321" s="587"/>
      <c r="B321" s="586"/>
      <c r="C321" s="586"/>
      <c r="D321" s="586"/>
      <c r="E321" s="590"/>
    </row>
    <row r="322" spans="1:5" x14ac:dyDescent="0.2">
      <c r="A322" s="584" t="s">
        <v>36</v>
      </c>
      <c r="B322" s="585" t="s">
        <v>863</v>
      </c>
      <c r="C322" s="586"/>
      <c r="D322" s="586"/>
      <c r="E322" s="590"/>
    </row>
    <row r="323" spans="1:5" x14ac:dyDescent="0.2">
      <c r="A323" s="586"/>
      <c r="B323" s="627"/>
      <c r="C323" s="586"/>
      <c r="D323" s="586"/>
      <c r="E323" s="590"/>
    </row>
    <row r="324" spans="1:5" x14ac:dyDescent="0.2">
      <c r="A324" s="588">
        <v>1</v>
      </c>
      <c r="B324" s="587" t="s">
        <v>864</v>
      </c>
      <c r="C324" s="589">
        <f>+C193+C194</f>
        <v>3235430</v>
      </c>
      <c r="D324" s="589">
        <f>+D193+D194</f>
        <v>3163662</v>
      </c>
      <c r="E324" s="590">
        <f>D324-C324</f>
        <v>-71768</v>
      </c>
    </row>
    <row r="325" spans="1:5" x14ac:dyDescent="0.2">
      <c r="A325" s="588">
        <v>2</v>
      </c>
      <c r="B325" s="587" t="s">
        <v>865</v>
      </c>
      <c r="C325" s="589">
        <v>0</v>
      </c>
      <c r="D325" s="589">
        <v>0</v>
      </c>
      <c r="E325" s="590">
        <f>D325-C325</f>
        <v>0</v>
      </c>
    </row>
    <row r="326" spans="1:5" x14ac:dyDescent="0.2">
      <c r="A326" s="588"/>
      <c r="B326" s="592" t="s">
        <v>866</v>
      </c>
      <c r="C326" s="657">
        <f>C324+C325</f>
        <v>3235430</v>
      </c>
      <c r="D326" s="657">
        <f>D324+D325</f>
        <v>3163662</v>
      </c>
      <c r="E326" s="593">
        <f>D326-C326</f>
        <v>-71768</v>
      </c>
    </row>
    <row r="327" spans="1:5" x14ac:dyDescent="0.2">
      <c r="A327" s="588"/>
      <c r="B327" s="586"/>
      <c r="C327" s="589"/>
      <c r="D327" s="589"/>
      <c r="E327" s="590"/>
    </row>
    <row r="328" spans="1:5" ht="25.5" x14ac:dyDescent="0.2">
      <c r="A328" s="588">
        <v>3</v>
      </c>
      <c r="B328" s="587" t="s">
        <v>867</v>
      </c>
      <c r="C328" s="589">
        <v>3235430</v>
      </c>
      <c r="D328" s="589">
        <v>3163662</v>
      </c>
      <c r="E328" s="590">
        <f>D328-C328</f>
        <v>-71768</v>
      </c>
    </row>
    <row r="329" spans="1:5" x14ac:dyDescent="0.2">
      <c r="A329" s="588"/>
      <c r="B329" s="587"/>
      <c r="C329" s="589"/>
      <c r="D329" s="589"/>
      <c r="E329" s="590"/>
    </row>
    <row r="330" spans="1:5" x14ac:dyDescent="0.2">
      <c r="A330" s="588">
        <v>4</v>
      </c>
      <c r="B330" s="592" t="s">
        <v>868</v>
      </c>
      <c r="C330" s="657">
        <f>C326-C328</f>
        <v>0</v>
      </c>
      <c r="D330" s="657">
        <f>D326-D328</f>
        <v>0</v>
      </c>
      <c r="E330" s="593">
        <f>D330-C330</f>
        <v>0</v>
      </c>
    </row>
  </sheetData>
  <mergeCells count="7">
    <mergeCell ref="A7:E7"/>
    <mergeCell ref="A1:E1"/>
    <mergeCell ref="A2:E2"/>
    <mergeCell ref="A3:E3"/>
    <mergeCell ref="A4:E4"/>
    <mergeCell ref="A5:E5"/>
    <mergeCell ref="A6:E6"/>
  </mergeCells>
  <printOptions gridLines="1"/>
  <pageMargins left="0.5" right="0.5" top="0.5" bottom="0.5" header="0.25" footer="0.25"/>
  <pageSetup scale="69" fitToHeight="0" orientation="portrait" horizontalDpi="1200" verticalDpi="1200" r:id="rId1"/>
  <headerFooter>
    <oddHeader>_x000D_
                &amp;LOFFICE OF HEALTH CARE ACCESS&amp;CTWELVE MONTHS ACTUAL FILING&amp;RESSENT-SHARON HOSPITAL</oddHeader>
    <oddFooter>&amp;LREPORT 550&amp;CPAGE &amp;P of &amp;N&amp;R&amp;D, &amp;T</oddFooter>
  </headerFooter>
  <rowBreaks count="5" manualBreakCount="5">
    <brk id="78" max="16383" man="1"/>
    <brk id="132" max="16383" man="1"/>
    <brk id="198" max="16383" man="1"/>
    <brk id="248" max="16383" man="1"/>
    <brk id="296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F143"/>
  <sheetViews>
    <sheetView zoomScaleSheetLayoutView="75" workbookViewId="0"/>
  </sheetViews>
  <sheetFormatPr defaultRowHeight="15" x14ac:dyDescent="0.2"/>
  <cols>
    <col min="1" max="1" width="6.7109375" style="675" customWidth="1"/>
    <col min="2" max="2" width="104.7109375" style="676" customWidth="1"/>
    <col min="3" max="3" width="16.7109375" style="675" customWidth="1"/>
    <col min="4" max="4" width="12.7109375" style="674" bestFit="1" customWidth="1"/>
    <col min="5" max="43" width="9.140625" style="675"/>
    <col min="44" max="44" width="9.140625" style="676"/>
    <col min="45" max="16384" width="9.140625" style="675"/>
  </cols>
  <sheetData>
    <row r="2" spans="1:58" s="662" customFormat="1" ht="15.75" customHeight="1" x14ac:dyDescent="0.25">
      <c r="A2" s="823" t="s">
        <v>0</v>
      </c>
      <c r="B2" s="824"/>
      <c r="C2" s="825"/>
      <c r="D2" s="661"/>
    </row>
    <row r="3" spans="1:58" s="662" customFormat="1" ht="15.75" customHeight="1" x14ac:dyDescent="0.25">
      <c r="A3" s="823" t="s">
        <v>629</v>
      </c>
      <c r="B3" s="824"/>
      <c r="C3" s="825"/>
      <c r="D3" s="661"/>
    </row>
    <row r="4" spans="1:58" s="662" customFormat="1" ht="15.75" customHeight="1" x14ac:dyDescent="0.25">
      <c r="A4" s="823" t="s">
        <v>2</v>
      </c>
      <c r="B4" s="824"/>
      <c r="C4" s="825"/>
      <c r="D4" s="661"/>
    </row>
    <row r="5" spans="1:58" s="662" customFormat="1" ht="15.75" customHeight="1" x14ac:dyDescent="0.25">
      <c r="A5" s="823" t="s">
        <v>869</v>
      </c>
      <c r="B5" s="824"/>
      <c r="C5" s="825"/>
      <c r="D5" s="661"/>
    </row>
    <row r="6" spans="1:58" s="662" customFormat="1" ht="15.75" customHeight="1" x14ac:dyDescent="0.25">
      <c r="A6" s="823" t="s">
        <v>870</v>
      </c>
      <c r="B6" s="824"/>
      <c r="C6" s="825"/>
      <c r="D6" s="661"/>
    </row>
    <row r="7" spans="1:58" s="662" customFormat="1" ht="15.75" customHeight="1" x14ac:dyDescent="0.25">
      <c r="A7" s="823"/>
      <c r="B7" s="824"/>
      <c r="C7" s="825"/>
      <c r="D7" s="661"/>
    </row>
    <row r="8" spans="1:58" s="662" customFormat="1" ht="15.75" customHeight="1" x14ac:dyDescent="0.25">
      <c r="A8" s="663">
        <v>-1</v>
      </c>
      <c r="B8" s="663">
        <v>-2</v>
      </c>
      <c r="C8" s="663">
        <v>-3</v>
      </c>
      <c r="D8" s="664"/>
    </row>
    <row r="9" spans="1:58" s="662" customFormat="1" ht="31.5" customHeight="1" x14ac:dyDescent="0.25">
      <c r="A9" s="665" t="s">
        <v>8</v>
      </c>
      <c r="B9" s="572" t="s">
        <v>9</v>
      </c>
      <c r="C9" s="573" t="s">
        <v>871</v>
      </c>
      <c r="D9" s="664"/>
      <c r="E9" s="666"/>
      <c r="F9" s="666"/>
      <c r="G9" s="666"/>
      <c r="H9" s="666"/>
      <c r="I9" s="666"/>
      <c r="J9" s="666"/>
      <c r="K9" s="666"/>
      <c r="L9" s="666"/>
      <c r="M9" s="666"/>
      <c r="N9" s="666"/>
      <c r="O9" s="666"/>
      <c r="P9" s="666"/>
      <c r="Q9" s="666"/>
      <c r="R9" s="666"/>
      <c r="S9" s="666"/>
      <c r="T9" s="666"/>
      <c r="U9" s="666"/>
      <c r="V9" s="666"/>
      <c r="W9" s="666"/>
      <c r="X9" s="666"/>
      <c r="Y9" s="666"/>
      <c r="Z9" s="666"/>
      <c r="AA9" s="666"/>
      <c r="AB9" s="666"/>
      <c r="AC9" s="666"/>
      <c r="AD9" s="666"/>
      <c r="AE9" s="666"/>
      <c r="AF9" s="666"/>
      <c r="AG9" s="666"/>
      <c r="AH9" s="666"/>
      <c r="AI9" s="666"/>
      <c r="AJ9" s="666"/>
      <c r="AK9" s="666"/>
      <c r="AL9" s="666"/>
      <c r="AM9" s="666"/>
      <c r="AN9" s="666"/>
      <c r="AO9" s="666"/>
      <c r="AP9" s="666"/>
      <c r="AQ9" s="666"/>
      <c r="AS9" s="666"/>
      <c r="AT9" s="666"/>
      <c r="AU9" s="666"/>
      <c r="AV9" s="666"/>
      <c r="AW9" s="666"/>
      <c r="AX9" s="666"/>
      <c r="AY9" s="666"/>
      <c r="AZ9" s="666"/>
      <c r="BA9" s="666"/>
      <c r="BB9" s="666"/>
      <c r="BC9" s="666"/>
      <c r="BD9" s="666"/>
      <c r="BE9" s="666"/>
      <c r="BF9" s="666"/>
    </row>
    <row r="10" spans="1:58" s="662" customFormat="1" ht="14.25" customHeight="1" x14ac:dyDescent="0.25">
      <c r="A10" s="665"/>
      <c r="B10" s="667"/>
      <c r="C10" s="571"/>
      <c r="D10" s="664"/>
      <c r="E10" s="666"/>
      <c r="F10" s="666"/>
      <c r="G10" s="666"/>
      <c r="H10" s="666"/>
      <c r="I10" s="666"/>
      <c r="J10" s="666"/>
      <c r="K10" s="666"/>
      <c r="L10" s="666"/>
      <c r="M10" s="666"/>
      <c r="N10" s="666"/>
      <c r="O10" s="666"/>
      <c r="P10" s="666"/>
      <c r="Q10" s="666"/>
      <c r="R10" s="666"/>
      <c r="S10" s="666"/>
      <c r="T10" s="666"/>
      <c r="U10" s="666"/>
      <c r="V10" s="666"/>
      <c r="W10" s="666"/>
      <c r="X10" s="666"/>
      <c r="Y10" s="666"/>
      <c r="Z10" s="666"/>
      <c r="AA10" s="666"/>
      <c r="AB10" s="666"/>
      <c r="AC10" s="666"/>
      <c r="AD10" s="666"/>
      <c r="AE10" s="666"/>
      <c r="AF10" s="666"/>
      <c r="AG10" s="666"/>
      <c r="AH10" s="666"/>
      <c r="AI10" s="666"/>
      <c r="AJ10" s="666"/>
      <c r="AK10" s="666"/>
      <c r="AL10" s="666"/>
      <c r="AM10" s="666"/>
      <c r="AN10" s="666"/>
      <c r="AO10" s="666"/>
      <c r="AP10" s="666"/>
      <c r="AQ10" s="666"/>
      <c r="AS10" s="666"/>
      <c r="AT10" s="666"/>
      <c r="AU10" s="666"/>
      <c r="AV10" s="666"/>
      <c r="AW10" s="666"/>
      <c r="AX10" s="666"/>
      <c r="AY10" s="666"/>
      <c r="AZ10" s="666"/>
      <c r="BA10" s="666"/>
      <c r="BB10" s="666"/>
      <c r="BC10" s="666"/>
      <c r="BD10" s="666"/>
      <c r="BE10" s="666"/>
      <c r="BF10" s="666"/>
    </row>
    <row r="11" spans="1:58" s="662" customFormat="1" ht="15.75" customHeight="1" x14ac:dyDescent="0.25">
      <c r="A11" s="578" t="s">
        <v>12</v>
      </c>
      <c r="B11" s="579" t="s">
        <v>872</v>
      </c>
      <c r="C11" s="570"/>
      <c r="D11" s="664"/>
      <c r="E11" s="666"/>
      <c r="F11" s="666"/>
      <c r="G11" s="666"/>
      <c r="H11" s="666"/>
      <c r="I11" s="666"/>
      <c r="J11" s="666"/>
      <c r="K11" s="666"/>
      <c r="L11" s="666"/>
      <c r="M11" s="666"/>
      <c r="N11" s="666"/>
      <c r="O11" s="666"/>
      <c r="P11" s="666"/>
      <c r="Q11" s="666"/>
      <c r="R11" s="666"/>
      <c r="S11" s="666"/>
      <c r="T11" s="666"/>
      <c r="U11" s="666"/>
      <c r="V11" s="666"/>
      <c r="W11" s="666"/>
      <c r="X11" s="666"/>
      <c r="Y11" s="666"/>
      <c r="Z11" s="666"/>
      <c r="AA11" s="666"/>
      <c r="AB11" s="666"/>
      <c r="AC11" s="666"/>
      <c r="AD11" s="666"/>
      <c r="AE11" s="666"/>
      <c r="AF11" s="666"/>
      <c r="AG11" s="666"/>
      <c r="AH11" s="666"/>
      <c r="AI11" s="666"/>
      <c r="AJ11" s="666"/>
      <c r="AK11" s="666"/>
      <c r="AL11" s="666"/>
      <c r="AM11" s="666"/>
      <c r="AN11" s="666"/>
      <c r="AO11" s="666"/>
      <c r="AP11" s="666"/>
      <c r="AQ11" s="666"/>
      <c r="AS11" s="666"/>
      <c r="AT11" s="666"/>
      <c r="AU11" s="666"/>
      <c r="AV11" s="666"/>
      <c r="AW11" s="666"/>
      <c r="AX11" s="666"/>
      <c r="AY11" s="666"/>
      <c r="AZ11" s="666"/>
      <c r="BA11" s="666"/>
      <c r="BB11" s="666"/>
      <c r="BC11" s="666"/>
      <c r="BD11" s="666"/>
      <c r="BE11" s="666"/>
      <c r="BF11" s="666"/>
    </row>
    <row r="12" spans="1:58" s="583" customFormat="1" ht="12.75" x14ac:dyDescent="0.2">
      <c r="A12" s="582"/>
      <c r="B12" s="577"/>
      <c r="C12" s="425"/>
      <c r="D12" s="664"/>
      <c r="E12" s="666"/>
      <c r="F12" s="666"/>
      <c r="G12" s="666"/>
      <c r="H12" s="666"/>
      <c r="I12" s="666"/>
      <c r="J12" s="666"/>
      <c r="K12" s="666"/>
      <c r="L12" s="666"/>
      <c r="M12" s="666"/>
      <c r="N12" s="666"/>
      <c r="O12" s="666"/>
      <c r="P12" s="666"/>
      <c r="Q12" s="666"/>
      <c r="R12" s="666"/>
      <c r="S12" s="666"/>
      <c r="T12" s="666"/>
      <c r="U12" s="666"/>
      <c r="V12" s="666"/>
      <c r="W12" s="666"/>
      <c r="X12" s="666"/>
      <c r="Y12" s="666"/>
      <c r="Z12" s="666"/>
      <c r="AA12" s="666"/>
      <c r="AB12" s="666"/>
      <c r="AC12" s="666"/>
      <c r="AD12" s="666"/>
      <c r="AE12" s="666"/>
      <c r="AF12" s="666"/>
      <c r="AG12" s="666"/>
      <c r="AH12" s="666"/>
      <c r="AI12" s="666"/>
      <c r="AJ12" s="666"/>
      <c r="AK12" s="666"/>
      <c r="AL12" s="666"/>
      <c r="AM12" s="666"/>
      <c r="AN12" s="666"/>
      <c r="AO12" s="666"/>
      <c r="AP12" s="666"/>
      <c r="AQ12" s="666"/>
      <c r="AS12" s="666"/>
      <c r="AT12" s="666"/>
      <c r="AU12" s="666"/>
      <c r="AV12" s="666"/>
      <c r="AW12" s="666"/>
      <c r="AX12" s="666"/>
      <c r="AY12" s="666"/>
      <c r="AZ12" s="666"/>
      <c r="BA12" s="666"/>
      <c r="BB12" s="666"/>
      <c r="BC12" s="666"/>
      <c r="BD12" s="666"/>
      <c r="BE12" s="666"/>
      <c r="BF12" s="666"/>
    </row>
    <row r="13" spans="1:58" s="421" customFormat="1" ht="12.75" x14ac:dyDescent="0.2">
      <c r="A13" s="584" t="s">
        <v>14</v>
      </c>
      <c r="B13" s="585" t="s">
        <v>776</v>
      </c>
      <c r="C13" s="425"/>
      <c r="D13" s="664"/>
      <c r="E13" s="668"/>
      <c r="F13" s="668"/>
      <c r="G13" s="668"/>
      <c r="H13" s="668"/>
      <c r="I13" s="668"/>
      <c r="J13" s="668"/>
      <c r="K13" s="668"/>
      <c r="L13" s="668"/>
      <c r="M13" s="668"/>
      <c r="N13" s="668"/>
      <c r="O13" s="668"/>
      <c r="P13" s="668"/>
      <c r="Q13" s="668"/>
      <c r="R13" s="668"/>
      <c r="S13" s="666"/>
      <c r="T13" s="666"/>
      <c r="U13" s="666"/>
      <c r="V13" s="666"/>
      <c r="W13" s="666"/>
      <c r="X13" s="666"/>
      <c r="Y13" s="666"/>
      <c r="Z13" s="666"/>
      <c r="AA13" s="666"/>
      <c r="AB13" s="666"/>
      <c r="AC13" s="666"/>
      <c r="AD13" s="666"/>
      <c r="AE13" s="666"/>
      <c r="AF13" s="666"/>
      <c r="AG13" s="666"/>
      <c r="AH13" s="666"/>
      <c r="AI13" s="666"/>
      <c r="AJ13" s="666"/>
      <c r="AK13" s="666"/>
      <c r="AL13" s="666"/>
      <c r="AM13" s="666"/>
      <c r="AN13" s="666"/>
      <c r="AO13" s="666"/>
      <c r="AP13" s="666"/>
      <c r="AQ13" s="666"/>
      <c r="AR13" s="485"/>
      <c r="AS13" s="666"/>
      <c r="AT13" s="666"/>
      <c r="AU13" s="666"/>
      <c r="AV13" s="666"/>
      <c r="AW13" s="666"/>
      <c r="AX13" s="666"/>
      <c r="AY13" s="666"/>
      <c r="AZ13" s="666"/>
      <c r="BA13" s="666"/>
      <c r="BB13" s="666"/>
      <c r="BC13" s="666"/>
      <c r="BD13" s="666"/>
      <c r="BE13" s="666"/>
      <c r="BF13" s="666"/>
    </row>
    <row r="14" spans="1:58" s="421" customFormat="1" ht="12.75" x14ac:dyDescent="0.2">
      <c r="A14" s="588">
        <v>1</v>
      </c>
      <c r="B14" s="669" t="s">
        <v>656</v>
      </c>
      <c r="C14" s="589">
        <v>12430476</v>
      </c>
      <c r="D14" s="664"/>
      <c r="E14" s="668"/>
      <c r="F14" s="668"/>
      <c r="M14" s="668"/>
      <c r="N14" s="668"/>
      <c r="O14" s="668"/>
      <c r="P14" s="668"/>
      <c r="Q14" s="668"/>
      <c r="R14" s="668"/>
      <c r="S14" s="668"/>
      <c r="T14" s="668"/>
      <c r="U14" s="668"/>
      <c r="V14" s="668"/>
      <c r="W14" s="668"/>
      <c r="X14" s="668"/>
      <c r="Y14" s="668"/>
      <c r="Z14" s="668"/>
      <c r="AA14" s="668"/>
      <c r="AB14" s="668"/>
      <c r="AC14" s="668"/>
      <c r="AD14" s="668"/>
      <c r="AE14" s="668"/>
      <c r="AF14" s="668"/>
      <c r="AG14" s="668"/>
      <c r="AH14" s="668"/>
      <c r="AI14" s="668"/>
      <c r="AJ14" s="668"/>
      <c r="AK14" s="668"/>
      <c r="AL14" s="668"/>
      <c r="AM14" s="668"/>
      <c r="AN14" s="668"/>
      <c r="AO14" s="668"/>
      <c r="AP14" s="668"/>
      <c r="AQ14" s="668"/>
      <c r="AR14" s="485"/>
      <c r="AS14" s="670"/>
      <c r="AT14" s="670"/>
      <c r="AU14" s="670"/>
      <c r="AV14" s="670"/>
      <c r="AW14" s="670"/>
      <c r="AX14" s="670"/>
      <c r="AY14" s="670"/>
      <c r="AZ14" s="670"/>
      <c r="BA14" s="670"/>
      <c r="BB14" s="670"/>
      <c r="BC14" s="670"/>
      <c r="BD14" s="670"/>
      <c r="BE14" s="666"/>
      <c r="BF14" s="666"/>
    </row>
    <row r="15" spans="1:58" s="421" customFormat="1" ht="12.75" x14ac:dyDescent="0.2">
      <c r="A15" s="588">
        <v>2</v>
      </c>
      <c r="B15" s="669" t="s">
        <v>635</v>
      </c>
      <c r="C15" s="591">
        <v>38229340</v>
      </c>
      <c r="D15" s="664"/>
      <c r="E15" s="668"/>
      <c r="F15" s="668"/>
      <c r="M15" s="668"/>
      <c r="N15" s="668"/>
      <c r="O15" s="668"/>
      <c r="P15" s="668"/>
      <c r="Q15" s="668"/>
      <c r="R15" s="668"/>
      <c r="S15" s="668"/>
      <c r="T15" s="668"/>
      <c r="U15" s="668"/>
      <c r="V15" s="668"/>
      <c r="W15" s="668"/>
      <c r="X15" s="668"/>
      <c r="Y15" s="668"/>
      <c r="Z15" s="668"/>
      <c r="AA15" s="668"/>
      <c r="AB15" s="668"/>
      <c r="AC15" s="668"/>
      <c r="AD15" s="668"/>
      <c r="AE15" s="668"/>
      <c r="AF15" s="668"/>
      <c r="AG15" s="668"/>
      <c r="AH15" s="668"/>
      <c r="AI15" s="668"/>
      <c r="AJ15" s="668"/>
      <c r="AK15" s="668"/>
      <c r="AL15" s="668"/>
      <c r="AM15" s="668"/>
      <c r="AN15" s="668"/>
      <c r="AO15" s="668"/>
      <c r="AP15" s="668"/>
      <c r="AQ15" s="668"/>
      <c r="AR15" s="485"/>
      <c r="AS15" s="670"/>
      <c r="AT15" s="670"/>
      <c r="AU15" s="670"/>
      <c r="AV15" s="670"/>
      <c r="AW15" s="670"/>
      <c r="AX15" s="670"/>
      <c r="AY15" s="670"/>
      <c r="AZ15" s="670"/>
      <c r="BA15" s="670"/>
      <c r="BB15" s="670"/>
      <c r="BC15" s="670"/>
      <c r="BD15" s="670"/>
      <c r="BE15" s="666"/>
      <c r="BF15" s="666"/>
    </row>
    <row r="16" spans="1:58" s="421" customFormat="1" ht="12.75" x14ac:dyDescent="0.2">
      <c r="A16" s="588">
        <v>3</v>
      </c>
      <c r="B16" s="669" t="s">
        <v>777</v>
      </c>
      <c r="C16" s="591">
        <v>7157891</v>
      </c>
      <c r="D16" s="664"/>
      <c r="E16" s="668"/>
      <c r="F16" s="668"/>
      <c r="M16" s="668"/>
      <c r="N16" s="668"/>
      <c r="O16" s="668"/>
      <c r="P16" s="668"/>
      <c r="Q16" s="668"/>
      <c r="R16" s="668"/>
      <c r="S16" s="668"/>
      <c r="T16" s="668"/>
      <c r="U16" s="668"/>
      <c r="V16" s="668"/>
      <c r="W16" s="668"/>
      <c r="X16" s="668"/>
      <c r="Y16" s="668"/>
      <c r="Z16" s="668"/>
      <c r="AA16" s="668"/>
      <c r="AB16" s="668"/>
      <c r="AC16" s="668"/>
      <c r="AD16" s="668"/>
      <c r="AE16" s="668"/>
      <c r="AF16" s="668"/>
      <c r="AG16" s="668"/>
      <c r="AH16" s="668"/>
      <c r="AI16" s="668"/>
      <c r="AJ16" s="668"/>
      <c r="AK16" s="668"/>
      <c r="AL16" s="668"/>
      <c r="AM16" s="668"/>
      <c r="AN16" s="668"/>
      <c r="AO16" s="668"/>
      <c r="AP16" s="668"/>
      <c r="AQ16" s="668"/>
      <c r="AR16" s="485"/>
      <c r="AS16" s="670"/>
      <c r="AT16" s="670"/>
      <c r="AU16" s="670"/>
      <c r="AV16" s="670"/>
      <c r="AW16" s="670"/>
      <c r="AX16" s="670"/>
      <c r="AY16" s="670"/>
      <c r="AZ16" s="670"/>
      <c r="BA16" s="670"/>
      <c r="BB16" s="670"/>
      <c r="BC16" s="670"/>
      <c r="BD16" s="670"/>
      <c r="BE16" s="666"/>
      <c r="BF16" s="666"/>
    </row>
    <row r="17" spans="1:58" s="421" customFormat="1" ht="12.75" x14ac:dyDescent="0.2">
      <c r="A17" s="588">
        <v>4</v>
      </c>
      <c r="B17" s="669" t="s">
        <v>115</v>
      </c>
      <c r="C17" s="591">
        <v>3849691</v>
      </c>
      <c r="D17" s="664"/>
      <c r="E17" s="668"/>
      <c r="F17" s="668"/>
      <c r="M17" s="668"/>
      <c r="N17" s="668"/>
      <c r="O17" s="668"/>
      <c r="P17" s="668"/>
      <c r="Q17" s="668"/>
      <c r="R17" s="668"/>
      <c r="S17" s="668"/>
      <c r="T17" s="668"/>
      <c r="U17" s="668"/>
      <c r="V17" s="668"/>
      <c r="W17" s="668"/>
      <c r="X17" s="668"/>
      <c r="Y17" s="668"/>
      <c r="Z17" s="668"/>
      <c r="AA17" s="668"/>
      <c r="AB17" s="668"/>
      <c r="AC17" s="668"/>
      <c r="AD17" s="668"/>
      <c r="AE17" s="668"/>
      <c r="AF17" s="668"/>
      <c r="AG17" s="668"/>
      <c r="AH17" s="668"/>
      <c r="AI17" s="668"/>
      <c r="AJ17" s="668"/>
      <c r="AK17" s="668"/>
      <c r="AL17" s="668"/>
      <c r="AM17" s="668"/>
      <c r="AN17" s="668"/>
      <c r="AO17" s="668"/>
      <c r="AP17" s="668"/>
      <c r="AQ17" s="668"/>
      <c r="AR17" s="485"/>
      <c r="AS17" s="670"/>
      <c r="AT17" s="670"/>
      <c r="AU17" s="670"/>
      <c r="AV17" s="670"/>
      <c r="AW17" s="670"/>
      <c r="AX17" s="670"/>
      <c r="AY17" s="670"/>
      <c r="AZ17" s="670"/>
      <c r="BA17" s="670"/>
      <c r="BB17" s="670"/>
      <c r="BC17" s="670"/>
      <c r="BD17" s="670"/>
      <c r="BE17" s="666"/>
      <c r="BF17" s="666"/>
    </row>
    <row r="18" spans="1:58" s="421" customFormat="1" ht="12.75" x14ac:dyDescent="0.2">
      <c r="A18" s="588">
        <v>5</v>
      </c>
      <c r="B18" s="669" t="s">
        <v>743</v>
      </c>
      <c r="C18" s="591">
        <v>3308200</v>
      </c>
      <c r="D18" s="664"/>
      <c r="E18" s="668"/>
      <c r="F18" s="668"/>
      <c r="M18" s="668"/>
      <c r="N18" s="668"/>
      <c r="O18" s="668"/>
      <c r="P18" s="668"/>
      <c r="Q18" s="668"/>
      <c r="R18" s="668"/>
      <c r="S18" s="668"/>
      <c r="T18" s="668"/>
      <c r="U18" s="668"/>
      <c r="V18" s="668"/>
      <c r="W18" s="668"/>
      <c r="X18" s="668"/>
      <c r="Y18" s="668"/>
      <c r="Z18" s="668"/>
      <c r="AA18" s="668"/>
      <c r="AB18" s="668"/>
      <c r="AC18" s="668"/>
      <c r="AD18" s="668"/>
      <c r="AE18" s="668"/>
      <c r="AF18" s="668"/>
      <c r="AG18" s="668"/>
      <c r="AH18" s="668"/>
      <c r="AI18" s="668"/>
      <c r="AJ18" s="668"/>
      <c r="AK18" s="668"/>
      <c r="AL18" s="668"/>
      <c r="AM18" s="668"/>
      <c r="AN18" s="668"/>
      <c r="AO18" s="668"/>
      <c r="AP18" s="668"/>
      <c r="AQ18" s="668"/>
      <c r="AR18" s="485"/>
      <c r="AS18" s="670"/>
      <c r="AT18" s="670"/>
      <c r="AU18" s="670"/>
      <c r="AV18" s="670"/>
      <c r="AW18" s="670"/>
      <c r="AX18" s="670"/>
      <c r="AY18" s="670"/>
      <c r="AZ18" s="670"/>
      <c r="BA18" s="670"/>
      <c r="BB18" s="670"/>
      <c r="BC18" s="670"/>
      <c r="BD18" s="670"/>
      <c r="BE18" s="666"/>
      <c r="BF18" s="666"/>
    </row>
    <row r="19" spans="1:58" s="421" customFormat="1" ht="12.75" x14ac:dyDescent="0.2">
      <c r="A19" s="588">
        <v>6</v>
      </c>
      <c r="B19" s="669" t="s">
        <v>424</v>
      </c>
      <c r="C19" s="591">
        <v>38140</v>
      </c>
      <c r="D19" s="664"/>
      <c r="E19" s="668"/>
      <c r="F19" s="668"/>
      <c r="M19" s="668"/>
      <c r="N19" s="668"/>
      <c r="O19" s="668"/>
      <c r="P19" s="668"/>
      <c r="Q19" s="668"/>
      <c r="R19" s="668"/>
      <c r="S19" s="668"/>
      <c r="T19" s="668"/>
      <c r="U19" s="668"/>
      <c r="V19" s="668"/>
      <c r="W19" s="668"/>
      <c r="X19" s="668"/>
      <c r="Y19" s="668"/>
      <c r="Z19" s="668"/>
      <c r="AA19" s="668"/>
      <c r="AB19" s="668"/>
      <c r="AC19" s="668"/>
      <c r="AD19" s="668"/>
      <c r="AE19" s="668"/>
      <c r="AF19" s="668"/>
      <c r="AG19" s="668"/>
      <c r="AH19" s="668"/>
      <c r="AI19" s="668"/>
      <c r="AJ19" s="668"/>
      <c r="AK19" s="668"/>
      <c r="AL19" s="668"/>
      <c r="AM19" s="668"/>
      <c r="AN19" s="668"/>
      <c r="AO19" s="668"/>
      <c r="AP19" s="668"/>
      <c r="AQ19" s="668"/>
      <c r="AR19" s="485"/>
      <c r="AS19" s="670"/>
      <c r="AT19" s="670"/>
      <c r="AU19" s="670"/>
      <c r="AV19" s="670"/>
      <c r="AW19" s="670"/>
      <c r="AX19" s="670"/>
      <c r="AY19" s="670"/>
      <c r="AZ19" s="670"/>
      <c r="BA19" s="670"/>
      <c r="BB19" s="670"/>
      <c r="BC19" s="670"/>
      <c r="BD19" s="670"/>
      <c r="BE19" s="666"/>
      <c r="BF19" s="666"/>
    </row>
    <row r="20" spans="1:58" s="421" customFormat="1" ht="12.75" x14ac:dyDescent="0.2">
      <c r="A20" s="588">
        <v>7</v>
      </c>
      <c r="B20" s="669" t="s">
        <v>758</v>
      </c>
      <c r="C20" s="591">
        <v>456951</v>
      </c>
      <c r="D20" s="664"/>
      <c r="E20" s="668"/>
      <c r="F20" s="668"/>
      <c r="M20" s="668"/>
      <c r="N20" s="668"/>
      <c r="O20" s="668"/>
      <c r="P20" s="668"/>
      <c r="Q20" s="668"/>
      <c r="R20" s="668"/>
      <c r="S20" s="668"/>
      <c r="T20" s="668"/>
      <c r="U20" s="668"/>
      <c r="V20" s="668"/>
      <c r="W20" s="668"/>
      <c r="X20" s="668"/>
      <c r="Y20" s="668"/>
      <c r="Z20" s="668"/>
      <c r="AA20" s="668"/>
      <c r="AB20" s="668"/>
      <c r="AC20" s="668"/>
      <c r="AD20" s="668"/>
      <c r="AE20" s="668"/>
      <c r="AF20" s="668"/>
      <c r="AG20" s="668"/>
      <c r="AH20" s="668"/>
      <c r="AI20" s="668"/>
      <c r="AJ20" s="668"/>
      <c r="AK20" s="668"/>
      <c r="AL20" s="668"/>
      <c r="AM20" s="668"/>
      <c r="AN20" s="668"/>
      <c r="AO20" s="668"/>
      <c r="AP20" s="668"/>
      <c r="AQ20" s="668"/>
      <c r="AR20" s="485"/>
      <c r="AS20" s="670"/>
      <c r="AT20" s="670"/>
      <c r="AU20" s="670"/>
      <c r="AV20" s="670"/>
      <c r="AW20" s="670"/>
      <c r="AX20" s="670"/>
      <c r="AY20" s="670"/>
      <c r="AZ20" s="670"/>
      <c r="BA20" s="670"/>
      <c r="BB20" s="670"/>
      <c r="BC20" s="670"/>
      <c r="BD20" s="670"/>
      <c r="BE20" s="666"/>
      <c r="BF20" s="666"/>
    </row>
    <row r="21" spans="1:58" s="421" customFormat="1" ht="12.75" x14ac:dyDescent="0.2">
      <c r="A21" s="588"/>
      <c r="B21" s="671" t="s">
        <v>778</v>
      </c>
      <c r="C21" s="593">
        <f>SUM(C15+C16+C19)</f>
        <v>45425371</v>
      </c>
      <c r="D21" s="664"/>
      <c r="E21" s="668"/>
      <c r="F21" s="668"/>
      <c r="M21" s="668"/>
      <c r="N21" s="668"/>
      <c r="O21" s="668"/>
      <c r="P21" s="668"/>
      <c r="Q21" s="668"/>
      <c r="R21" s="668"/>
      <c r="S21" s="668"/>
      <c r="T21" s="668"/>
      <c r="U21" s="668"/>
      <c r="V21" s="668"/>
      <c r="W21" s="668"/>
      <c r="X21" s="668"/>
      <c r="Y21" s="668"/>
      <c r="Z21" s="668"/>
      <c r="AA21" s="668"/>
      <c r="AB21" s="668"/>
      <c r="AC21" s="668"/>
      <c r="AD21" s="668"/>
      <c r="AE21" s="668"/>
      <c r="AF21" s="668"/>
      <c r="AG21" s="668"/>
      <c r="AH21" s="668"/>
      <c r="AI21" s="668"/>
      <c r="AJ21" s="668"/>
      <c r="AK21" s="668"/>
      <c r="AL21" s="668"/>
      <c r="AM21" s="668"/>
      <c r="AN21" s="668"/>
      <c r="AO21" s="668"/>
      <c r="AP21" s="668"/>
      <c r="AQ21" s="668"/>
      <c r="AR21" s="485"/>
      <c r="AS21" s="668"/>
      <c r="AT21" s="668"/>
      <c r="AU21" s="670"/>
      <c r="AV21" s="670"/>
      <c r="AW21" s="670"/>
      <c r="AX21" s="670"/>
      <c r="AY21" s="670"/>
      <c r="AZ21" s="670"/>
      <c r="BA21" s="670"/>
      <c r="BB21" s="670"/>
      <c r="BC21" s="670"/>
      <c r="BD21" s="670"/>
      <c r="BE21" s="666"/>
      <c r="BF21" s="666"/>
    </row>
    <row r="22" spans="1:58" s="421" customFormat="1" ht="12.75" x14ac:dyDescent="0.2">
      <c r="A22" s="588"/>
      <c r="B22" s="671" t="s">
        <v>465</v>
      </c>
      <c r="C22" s="593">
        <f>SUM(C14+C21)</f>
        <v>57855847</v>
      </c>
      <c r="D22" s="664"/>
      <c r="E22" s="668"/>
      <c r="F22" s="668"/>
      <c r="M22" s="668"/>
      <c r="N22" s="668"/>
      <c r="O22" s="668"/>
      <c r="P22" s="668"/>
      <c r="Q22" s="668"/>
      <c r="R22" s="668"/>
      <c r="S22" s="668"/>
      <c r="T22" s="668"/>
      <c r="U22" s="668"/>
      <c r="V22" s="668"/>
      <c r="W22" s="668"/>
      <c r="X22" s="668"/>
      <c r="Y22" s="668"/>
      <c r="Z22" s="668"/>
      <c r="AA22" s="668"/>
      <c r="AB22" s="668"/>
      <c r="AC22" s="668"/>
      <c r="AD22" s="668"/>
      <c r="AE22" s="668"/>
      <c r="AF22" s="668"/>
      <c r="AG22" s="668"/>
      <c r="AH22" s="668"/>
      <c r="AI22" s="668"/>
      <c r="AJ22" s="668"/>
      <c r="AK22" s="668"/>
      <c r="AL22" s="668"/>
      <c r="AM22" s="668"/>
      <c r="AN22" s="668"/>
      <c r="AO22" s="668"/>
      <c r="AP22" s="668"/>
      <c r="AQ22" s="668"/>
      <c r="AR22" s="485"/>
      <c r="AS22" s="668"/>
      <c r="AT22" s="670"/>
      <c r="AU22" s="670"/>
      <c r="AV22" s="670"/>
      <c r="AW22" s="670"/>
      <c r="AX22" s="670"/>
      <c r="AY22" s="670"/>
      <c r="AZ22" s="670"/>
      <c r="BA22" s="670"/>
      <c r="BB22" s="670"/>
      <c r="BC22" s="670"/>
      <c r="BD22" s="670"/>
      <c r="BE22" s="666"/>
      <c r="BF22" s="666"/>
    </row>
    <row r="23" spans="1:58" s="421" customFormat="1" ht="12.75" x14ac:dyDescent="0.2">
      <c r="A23" s="669"/>
      <c r="B23" s="669"/>
      <c r="C23" s="669"/>
      <c r="D23" s="664"/>
      <c r="E23" s="668"/>
      <c r="F23" s="668"/>
      <c r="G23" s="668"/>
      <c r="H23" s="668"/>
      <c r="I23" s="668"/>
      <c r="J23" s="668"/>
      <c r="K23" s="668"/>
      <c r="L23" s="668"/>
      <c r="M23" s="668"/>
      <c r="N23" s="668"/>
      <c r="O23" s="668"/>
      <c r="P23" s="668"/>
      <c r="Q23" s="668"/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668"/>
      <c r="AE23" s="668"/>
      <c r="AF23" s="668"/>
      <c r="AG23" s="668"/>
      <c r="AH23" s="668"/>
      <c r="AI23" s="668"/>
      <c r="AJ23" s="668"/>
      <c r="AK23" s="668"/>
      <c r="AL23" s="668"/>
      <c r="AM23" s="668"/>
      <c r="AN23" s="668"/>
      <c r="AO23" s="668"/>
      <c r="AP23" s="668"/>
      <c r="AQ23" s="668"/>
      <c r="AR23" s="485"/>
      <c r="AS23" s="668"/>
      <c r="AT23" s="668"/>
      <c r="AU23" s="668"/>
      <c r="AV23" s="668"/>
      <c r="AW23" s="668"/>
      <c r="AX23" s="668"/>
      <c r="AY23" s="668"/>
      <c r="AZ23" s="668"/>
      <c r="BA23" s="668"/>
      <c r="BB23" s="668"/>
      <c r="BC23" s="668"/>
      <c r="BD23" s="668"/>
      <c r="BE23" s="668"/>
      <c r="BF23" s="668"/>
    </row>
    <row r="24" spans="1:58" s="421" customFormat="1" ht="12.75" x14ac:dyDescent="0.2">
      <c r="A24" s="584" t="s">
        <v>26</v>
      </c>
      <c r="B24" s="585" t="s">
        <v>779</v>
      </c>
      <c r="C24" s="669"/>
      <c r="D24" s="664"/>
      <c r="E24" s="668"/>
      <c r="F24" s="668"/>
      <c r="G24" s="668"/>
      <c r="H24" s="668"/>
      <c r="I24" s="668"/>
      <c r="J24" s="668"/>
      <c r="K24" s="668"/>
      <c r="L24" s="668"/>
      <c r="M24" s="668"/>
      <c r="N24" s="668"/>
      <c r="O24" s="668"/>
      <c r="P24" s="668"/>
      <c r="Q24" s="668"/>
      <c r="R24" s="668"/>
      <c r="S24" s="668"/>
      <c r="T24" s="668"/>
      <c r="U24" s="668"/>
      <c r="V24" s="668"/>
      <c r="W24" s="668"/>
      <c r="X24" s="668"/>
      <c r="Y24" s="668"/>
      <c r="Z24" s="668"/>
      <c r="AA24" s="668"/>
      <c r="AB24" s="668"/>
      <c r="AC24" s="668"/>
      <c r="AD24" s="668"/>
      <c r="AE24" s="668"/>
      <c r="AF24" s="668"/>
      <c r="AG24" s="668"/>
      <c r="AH24" s="668"/>
      <c r="AI24" s="668"/>
      <c r="AJ24" s="668"/>
      <c r="AK24" s="668"/>
      <c r="AL24" s="668"/>
      <c r="AM24" s="668"/>
      <c r="AN24" s="668"/>
      <c r="AO24" s="668"/>
      <c r="AP24" s="668"/>
      <c r="AQ24" s="668"/>
      <c r="AR24" s="485"/>
      <c r="AS24" s="668"/>
      <c r="AT24" s="668"/>
      <c r="AU24" s="668"/>
      <c r="AV24" s="668"/>
      <c r="AW24" s="668"/>
      <c r="AX24" s="668"/>
      <c r="AY24" s="668"/>
      <c r="AZ24" s="668"/>
      <c r="BA24" s="668"/>
      <c r="BB24" s="668"/>
      <c r="BC24" s="668"/>
      <c r="BD24" s="668"/>
      <c r="BE24" s="668"/>
      <c r="BF24" s="668"/>
    </row>
    <row r="25" spans="1:58" s="421" customFormat="1" ht="12.75" x14ac:dyDescent="0.2">
      <c r="A25" s="588">
        <v>1</v>
      </c>
      <c r="B25" s="669" t="s">
        <v>656</v>
      </c>
      <c r="C25" s="589">
        <v>39811467</v>
      </c>
      <c r="D25" s="664"/>
      <c r="E25" s="668"/>
      <c r="F25" s="668"/>
      <c r="G25" s="668"/>
      <c r="H25" s="668"/>
      <c r="I25" s="668"/>
      <c r="J25" s="668"/>
      <c r="K25" s="668"/>
      <c r="L25" s="668"/>
      <c r="M25" s="668"/>
      <c r="N25" s="668"/>
      <c r="O25" s="668"/>
      <c r="P25" s="668"/>
      <c r="Q25" s="668"/>
      <c r="R25" s="668"/>
      <c r="S25" s="668"/>
      <c r="T25" s="668"/>
      <c r="U25" s="668"/>
      <c r="V25" s="668"/>
      <c r="W25" s="668"/>
      <c r="X25" s="668"/>
      <c r="Y25" s="668"/>
      <c r="Z25" s="668"/>
      <c r="AA25" s="668"/>
      <c r="AB25" s="668"/>
      <c r="AC25" s="668"/>
      <c r="AD25" s="668"/>
      <c r="AE25" s="668"/>
      <c r="AF25" s="668"/>
      <c r="AG25" s="668"/>
      <c r="AH25" s="668"/>
      <c r="AI25" s="668"/>
      <c r="AJ25" s="668"/>
      <c r="AK25" s="668"/>
      <c r="AL25" s="668"/>
      <c r="AM25" s="668"/>
      <c r="AN25" s="668"/>
      <c r="AO25" s="668"/>
      <c r="AP25" s="668"/>
      <c r="AQ25" s="668"/>
      <c r="AR25" s="485"/>
      <c r="AS25" s="668"/>
      <c r="AT25" s="668"/>
      <c r="AU25" s="668"/>
      <c r="AV25" s="668"/>
      <c r="AW25" s="668"/>
      <c r="AX25" s="668"/>
      <c r="AY25" s="668"/>
      <c r="AZ25" s="668"/>
      <c r="BA25" s="668"/>
      <c r="BB25" s="668"/>
      <c r="BC25" s="668"/>
      <c r="BD25" s="668"/>
      <c r="BE25" s="668"/>
      <c r="BF25" s="668"/>
    </row>
    <row r="26" spans="1:58" s="421" customFormat="1" ht="12.75" x14ac:dyDescent="0.2">
      <c r="A26" s="588">
        <v>2</v>
      </c>
      <c r="B26" s="669" t="s">
        <v>635</v>
      </c>
      <c r="C26" s="591">
        <v>35294487</v>
      </c>
      <c r="D26" s="664"/>
      <c r="E26" s="668"/>
      <c r="G26" s="668"/>
      <c r="H26" s="668"/>
      <c r="I26" s="668"/>
      <c r="J26" s="668"/>
      <c r="K26" s="668"/>
      <c r="L26" s="668"/>
      <c r="M26" s="668"/>
      <c r="N26" s="668"/>
      <c r="O26" s="668"/>
      <c r="P26" s="668"/>
      <c r="Q26" s="668"/>
      <c r="R26" s="668"/>
      <c r="S26" s="668"/>
      <c r="T26" s="668"/>
      <c r="U26" s="668"/>
      <c r="V26" s="668"/>
      <c r="W26" s="668"/>
      <c r="X26" s="668"/>
      <c r="Y26" s="668"/>
      <c r="Z26" s="668"/>
      <c r="AA26" s="668"/>
      <c r="AB26" s="668"/>
      <c r="AC26" s="668"/>
      <c r="AD26" s="668"/>
      <c r="AE26" s="668"/>
      <c r="AF26" s="668"/>
      <c r="AG26" s="668"/>
      <c r="AH26" s="668"/>
      <c r="AI26" s="668"/>
      <c r="AJ26" s="668"/>
      <c r="AK26" s="668"/>
      <c r="AL26" s="668"/>
      <c r="AM26" s="668"/>
      <c r="AN26" s="668"/>
      <c r="AO26" s="668"/>
      <c r="AP26" s="668"/>
      <c r="AQ26" s="668"/>
      <c r="AR26" s="485"/>
      <c r="AS26" s="670"/>
      <c r="AT26" s="670"/>
      <c r="AU26" s="670"/>
      <c r="AV26" s="670"/>
      <c r="AW26" s="670"/>
      <c r="AX26" s="670"/>
      <c r="AY26" s="670"/>
      <c r="AZ26" s="670"/>
      <c r="BA26" s="670"/>
      <c r="BB26" s="670"/>
      <c r="BC26" s="670"/>
      <c r="BD26" s="670"/>
      <c r="BE26" s="666"/>
      <c r="BF26" s="666"/>
    </row>
    <row r="27" spans="1:58" s="421" customFormat="1" ht="12.75" x14ac:dyDescent="0.2">
      <c r="A27" s="588">
        <v>3</v>
      </c>
      <c r="B27" s="669" t="s">
        <v>777</v>
      </c>
      <c r="C27" s="591">
        <v>12024574</v>
      </c>
      <c r="D27" s="664"/>
      <c r="E27" s="668"/>
      <c r="G27" s="668"/>
      <c r="H27" s="668"/>
      <c r="I27" s="668"/>
      <c r="J27" s="668"/>
      <c r="K27" s="668"/>
      <c r="L27" s="668"/>
      <c r="M27" s="668"/>
      <c r="N27" s="668"/>
      <c r="O27" s="668"/>
      <c r="P27" s="668"/>
      <c r="Q27" s="668"/>
      <c r="R27" s="668"/>
      <c r="S27" s="668"/>
      <c r="T27" s="668"/>
      <c r="U27" s="668"/>
      <c r="V27" s="668"/>
      <c r="W27" s="668"/>
      <c r="X27" s="668"/>
      <c r="Y27" s="668"/>
      <c r="Z27" s="668"/>
      <c r="AA27" s="668"/>
      <c r="AB27" s="668"/>
      <c r="AC27" s="668"/>
      <c r="AD27" s="668"/>
      <c r="AE27" s="668"/>
      <c r="AF27" s="668"/>
      <c r="AG27" s="668"/>
      <c r="AH27" s="668"/>
      <c r="AI27" s="668"/>
      <c r="AJ27" s="668"/>
      <c r="AK27" s="668"/>
      <c r="AL27" s="668"/>
      <c r="AM27" s="668"/>
      <c r="AN27" s="668"/>
      <c r="AO27" s="668"/>
      <c r="AP27" s="668"/>
      <c r="AQ27" s="668"/>
      <c r="AR27" s="485"/>
      <c r="AS27" s="670"/>
      <c r="AT27" s="670"/>
      <c r="AU27" s="670"/>
      <c r="AV27" s="670"/>
      <c r="AW27" s="670"/>
      <c r="AX27" s="670"/>
      <c r="AY27" s="670"/>
      <c r="AZ27" s="670"/>
      <c r="BA27" s="670"/>
      <c r="BB27" s="670"/>
      <c r="BC27" s="670"/>
      <c r="BD27" s="670"/>
      <c r="BE27" s="666"/>
      <c r="BF27" s="666"/>
    </row>
    <row r="28" spans="1:58" s="421" customFormat="1" ht="12.75" x14ac:dyDescent="0.2">
      <c r="A28" s="588">
        <v>4</v>
      </c>
      <c r="B28" s="669" t="s">
        <v>115</v>
      </c>
      <c r="C28" s="591">
        <v>6879873</v>
      </c>
      <c r="D28" s="664"/>
      <c r="E28" s="668"/>
      <c r="G28" s="668"/>
      <c r="H28" s="668"/>
      <c r="I28" s="668"/>
      <c r="J28" s="668"/>
      <c r="K28" s="668"/>
      <c r="L28" s="668"/>
      <c r="M28" s="668"/>
      <c r="N28" s="668"/>
      <c r="O28" s="668"/>
      <c r="P28" s="668"/>
      <c r="Q28" s="668"/>
      <c r="R28" s="668"/>
      <c r="S28" s="668"/>
      <c r="T28" s="668"/>
      <c r="U28" s="668"/>
      <c r="V28" s="668"/>
      <c r="W28" s="668"/>
      <c r="X28" s="668"/>
      <c r="Y28" s="668"/>
      <c r="Z28" s="668"/>
      <c r="AA28" s="668"/>
      <c r="AB28" s="668"/>
      <c r="AC28" s="668"/>
      <c r="AD28" s="668"/>
      <c r="AE28" s="668"/>
      <c r="AF28" s="668"/>
      <c r="AG28" s="668"/>
      <c r="AH28" s="668"/>
      <c r="AI28" s="668"/>
      <c r="AJ28" s="668"/>
      <c r="AK28" s="668"/>
      <c r="AL28" s="668"/>
      <c r="AM28" s="668"/>
      <c r="AN28" s="668"/>
      <c r="AO28" s="668"/>
      <c r="AP28" s="668"/>
      <c r="AQ28" s="668"/>
      <c r="AR28" s="485"/>
      <c r="AS28" s="670"/>
      <c r="AT28" s="670"/>
      <c r="AU28" s="670"/>
      <c r="AV28" s="670"/>
      <c r="AW28" s="670"/>
      <c r="AX28" s="670"/>
      <c r="AY28" s="670"/>
      <c r="AZ28" s="670"/>
      <c r="BA28" s="670"/>
      <c r="BB28" s="670"/>
      <c r="BC28" s="670"/>
      <c r="BD28" s="670"/>
      <c r="BE28" s="666"/>
      <c r="BF28" s="666"/>
    </row>
    <row r="29" spans="1:58" s="421" customFormat="1" ht="12.75" x14ac:dyDescent="0.2">
      <c r="A29" s="588">
        <v>5</v>
      </c>
      <c r="B29" s="669" t="s">
        <v>743</v>
      </c>
      <c r="C29" s="591">
        <v>5144701</v>
      </c>
      <c r="D29" s="664"/>
      <c r="E29" s="668"/>
      <c r="G29" s="668"/>
      <c r="H29" s="668"/>
      <c r="I29" s="668"/>
      <c r="J29" s="668"/>
      <c r="K29" s="668"/>
      <c r="L29" s="668"/>
      <c r="M29" s="668"/>
      <c r="N29" s="668"/>
      <c r="O29" s="668"/>
      <c r="P29" s="668"/>
      <c r="Q29" s="668"/>
      <c r="R29" s="668"/>
      <c r="S29" s="668"/>
      <c r="T29" s="668"/>
      <c r="U29" s="668"/>
      <c r="V29" s="668"/>
      <c r="W29" s="668"/>
      <c r="X29" s="668"/>
      <c r="Y29" s="668"/>
      <c r="Z29" s="668"/>
      <c r="AA29" s="668"/>
      <c r="AB29" s="668"/>
      <c r="AC29" s="668"/>
      <c r="AD29" s="668"/>
      <c r="AE29" s="668"/>
      <c r="AF29" s="668"/>
      <c r="AG29" s="668"/>
      <c r="AH29" s="668"/>
      <c r="AI29" s="668"/>
      <c r="AJ29" s="668"/>
      <c r="AK29" s="668"/>
      <c r="AL29" s="668"/>
      <c r="AM29" s="668"/>
      <c r="AN29" s="668"/>
      <c r="AO29" s="668"/>
      <c r="AP29" s="668"/>
      <c r="AQ29" s="668"/>
      <c r="AR29" s="485"/>
      <c r="AS29" s="670"/>
      <c r="AT29" s="670"/>
      <c r="AU29" s="670"/>
      <c r="AV29" s="670"/>
      <c r="AW29" s="670"/>
      <c r="AX29" s="670"/>
      <c r="AY29" s="670"/>
      <c r="AZ29" s="670"/>
      <c r="BA29" s="670"/>
      <c r="BB29" s="670"/>
      <c r="BC29" s="670"/>
      <c r="BD29" s="670"/>
      <c r="BE29" s="666"/>
      <c r="BF29" s="666"/>
    </row>
    <row r="30" spans="1:58" s="421" customFormat="1" ht="12.75" x14ac:dyDescent="0.2">
      <c r="A30" s="588">
        <v>6</v>
      </c>
      <c r="B30" s="669" t="s">
        <v>424</v>
      </c>
      <c r="C30" s="591">
        <v>185972</v>
      </c>
      <c r="D30" s="664"/>
      <c r="E30" s="668"/>
      <c r="G30" s="668"/>
      <c r="H30" s="668"/>
      <c r="I30" s="668"/>
      <c r="J30" s="668"/>
      <c r="K30" s="668"/>
      <c r="L30" s="668"/>
      <c r="M30" s="668"/>
      <c r="N30" s="668"/>
      <c r="O30" s="668"/>
      <c r="P30" s="668"/>
      <c r="Q30" s="668"/>
      <c r="R30" s="668"/>
      <c r="S30" s="668"/>
      <c r="T30" s="668"/>
      <c r="U30" s="668"/>
      <c r="V30" s="668"/>
      <c r="W30" s="668"/>
      <c r="X30" s="668"/>
      <c r="Y30" s="668"/>
      <c r="Z30" s="668"/>
      <c r="AA30" s="668"/>
      <c r="AB30" s="668"/>
      <c r="AC30" s="668"/>
      <c r="AD30" s="668"/>
      <c r="AE30" s="668"/>
      <c r="AF30" s="668"/>
      <c r="AG30" s="668"/>
      <c r="AH30" s="668"/>
      <c r="AI30" s="668"/>
      <c r="AJ30" s="668"/>
      <c r="AK30" s="668"/>
      <c r="AL30" s="668"/>
      <c r="AM30" s="668"/>
      <c r="AN30" s="668"/>
      <c r="AO30" s="668"/>
      <c r="AP30" s="668"/>
      <c r="AQ30" s="668"/>
      <c r="AR30" s="485"/>
      <c r="AS30" s="670"/>
      <c r="AT30" s="670"/>
      <c r="AU30" s="670"/>
      <c r="AV30" s="670"/>
      <c r="AW30" s="670"/>
      <c r="AX30" s="670"/>
      <c r="AY30" s="670"/>
      <c r="AZ30" s="670"/>
      <c r="BA30" s="670"/>
      <c r="BB30" s="670"/>
      <c r="BC30" s="670"/>
      <c r="BD30" s="670"/>
      <c r="BE30" s="666"/>
      <c r="BF30" s="666"/>
    </row>
    <row r="31" spans="1:58" s="421" customFormat="1" ht="12.75" x14ac:dyDescent="0.2">
      <c r="A31" s="588">
        <v>7</v>
      </c>
      <c r="B31" s="669" t="s">
        <v>758</v>
      </c>
      <c r="C31" s="594">
        <v>2398137</v>
      </c>
      <c r="D31" s="664"/>
      <c r="E31" s="668"/>
      <c r="G31" s="668"/>
      <c r="H31" s="668"/>
      <c r="I31" s="668"/>
      <c r="J31" s="668"/>
      <c r="K31" s="668"/>
      <c r="L31" s="668"/>
      <c r="M31" s="668"/>
      <c r="N31" s="668"/>
      <c r="O31" s="668"/>
      <c r="P31" s="668"/>
      <c r="Q31" s="668"/>
      <c r="R31" s="668"/>
      <c r="S31" s="668"/>
      <c r="T31" s="668"/>
      <c r="U31" s="668"/>
      <c r="V31" s="668"/>
      <c r="W31" s="668"/>
      <c r="X31" s="668"/>
      <c r="Y31" s="668"/>
      <c r="Z31" s="668"/>
      <c r="AA31" s="668"/>
      <c r="AB31" s="668"/>
      <c r="AC31" s="668"/>
      <c r="AD31" s="668"/>
      <c r="AE31" s="668"/>
      <c r="AF31" s="668"/>
      <c r="AG31" s="668"/>
      <c r="AH31" s="668"/>
      <c r="AI31" s="668"/>
      <c r="AJ31" s="668"/>
      <c r="AK31" s="668"/>
      <c r="AL31" s="668"/>
      <c r="AM31" s="668"/>
      <c r="AN31" s="668"/>
      <c r="AO31" s="668"/>
      <c r="AP31" s="668"/>
      <c r="AQ31" s="668"/>
      <c r="AR31" s="485"/>
      <c r="AS31" s="670"/>
      <c r="AT31" s="670"/>
      <c r="AU31" s="670"/>
      <c r="AV31" s="670"/>
      <c r="AW31" s="670"/>
      <c r="AX31" s="670"/>
      <c r="AY31" s="670"/>
      <c r="AZ31" s="670"/>
      <c r="BA31" s="670"/>
      <c r="BB31" s="670"/>
      <c r="BC31" s="670"/>
      <c r="BD31" s="670"/>
      <c r="BE31" s="666"/>
      <c r="BF31" s="666"/>
    </row>
    <row r="32" spans="1:58" s="421" customFormat="1" ht="12.75" x14ac:dyDescent="0.2">
      <c r="A32" s="588"/>
      <c r="B32" s="671" t="s">
        <v>780</v>
      </c>
      <c r="C32" s="593">
        <f>SUM(C26+C27+C30)</f>
        <v>47505033</v>
      </c>
      <c r="D32" s="664"/>
      <c r="E32" s="668"/>
      <c r="G32" s="668"/>
      <c r="H32" s="668"/>
      <c r="I32" s="668"/>
      <c r="J32" s="668"/>
      <c r="K32" s="668"/>
      <c r="L32" s="668"/>
      <c r="M32" s="668"/>
      <c r="N32" s="668"/>
      <c r="O32" s="668"/>
      <c r="P32" s="668"/>
      <c r="Q32" s="668"/>
      <c r="R32" s="668"/>
      <c r="S32" s="668"/>
      <c r="T32" s="668"/>
      <c r="U32" s="668"/>
      <c r="V32" s="668"/>
      <c r="W32" s="668"/>
      <c r="X32" s="668"/>
      <c r="Y32" s="668"/>
      <c r="Z32" s="668"/>
      <c r="AA32" s="668"/>
      <c r="AB32" s="668"/>
      <c r="AC32" s="668"/>
      <c r="AD32" s="668"/>
      <c r="AE32" s="668"/>
      <c r="AF32" s="668"/>
      <c r="AG32" s="668"/>
      <c r="AH32" s="668"/>
      <c r="AI32" s="668"/>
      <c r="AJ32" s="668"/>
      <c r="AK32" s="668"/>
      <c r="AL32" s="668"/>
      <c r="AM32" s="668"/>
      <c r="AN32" s="668"/>
      <c r="AO32" s="668"/>
      <c r="AP32" s="668"/>
      <c r="AQ32" s="668"/>
      <c r="AR32" s="485"/>
      <c r="AS32" s="670"/>
      <c r="AT32" s="670"/>
      <c r="AU32" s="670"/>
      <c r="AV32" s="670"/>
      <c r="AW32" s="670"/>
      <c r="AX32" s="670"/>
      <c r="AY32" s="670"/>
      <c r="AZ32" s="670"/>
      <c r="BA32" s="670"/>
      <c r="BB32" s="670"/>
      <c r="BC32" s="670"/>
      <c r="BD32" s="670"/>
      <c r="BE32" s="666"/>
      <c r="BF32" s="666"/>
    </row>
    <row r="33" spans="1:58" s="421" customFormat="1" ht="12.75" x14ac:dyDescent="0.2">
      <c r="A33" s="588"/>
      <c r="B33" s="671" t="s">
        <v>467</v>
      </c>
      <c r="C33" s="593">
        <f>SUM(C25+C32)</f>
        <v>87316500</v>
      </c>
      <c r="D33" s="664"/>
      <c r="E33" s="668"/>
      <c r="G33" s="668"/>
      <c r="H33" s="668"/>
      <c r="I33" s="668"/>
      <c r="J33" s="668"/>
      <c r="K33" s="668"/>
      <c r="L33" s="668"/>
      <c r="M33" s="668"/>
      <c r="N33" s="668"/>
      <c r="O33" s="668"/>
      <c r="P33" s="668"/>
      <c r="Q33" s="668"/>
      <c r="R33" s="668"/>
      <c r="S33" s="668"/>
      <c r="T33" s="668"/>
      <c r="U33" s="668"/>
      <c r="V33" s="668"/>
      <c r="W33" s="668"/>
      <c r="X33" s="668"/>
      <c r="Y33" s="668"/>
      <c r="Z33" s="668"/>
      <c r="AA33" s="668"/>
      <c r="AB33" s="668"/>
      <c r="AC33" s="668"/>
      <c r="AD33" s="668"/>
      <c r="AE33" s="668"/>
      <c r="AF33" s="668"/>
      <c r="AG33" s="668"/>
      <c r="AH33" s="668"/>
      <c r="AI33" s="668"/>
      <c r="AJ33" s="668"/>
      <c r="AK33" s="668"/>
      <c r="AL33" s="668"/>
      <c r="AM33" s="668"/>
      <c r="AN33" s="668"/>
      <c r="AO33" s="668"/>
      <c r="AP33" s="668"/>
      <c r="AQ33" s="668"/>
      <c r="AR33" s="485"/>
      <c r="AS33" s="668"/>
      <c r="AT33" s="668"/>
      <c r="AU33" s="670"/>
      <c r="AV33" s="670"/>
      <c r="AW33" s="670"/>
      <c r="AX33" s="670"/>
      <c r="AY33" s="670"/>
      <c r="AZ33" s="670"/>
      <c r="BA33" s="670"/>
      <c r="BB33" s="670"/>
      <c r="BC33" s="670"/>
      <c r="BD33" s="670"/>
      <c r="BE33" s="666"/>
      <c r="BF33" s="666"/>
    </row>
    <row r="34" spans="1:58" s="421" customFormat="1" ht="12.75" x14ac:dyDescent="0.2">
      <c r="A34" s="669"/>
      <c r="B34" s="669"/>
      <c r="C34" s="669"/>
      <c r="D34" s="664"/>
      <c r="E34" s="668"/>
      <c r="G34" s="668"/>
      <c r="H34" s="668"/>
      <c r="I34" s="668"/>
      <c r="J34" s="668"/>
      <c r="K34" s="668"/>
      <c r="L34" s="668"/>
      <c r="M34" s="668"/>
      <c r="N34" s="668"/>
      <c r="O34" s="668"/>
      <c r="P34" s="668"/>
      <c r="Q34" s="668"/>
      <c r="R34" s="668"/>
      <c r="S34" s="668"/>
      <c r="T34" s="668"/>
      <c r="U34" s="668"/>
      <c r="V34" s="668"/>
      <c r="W34" s="668"/>
      <c r="X34" s="668"/>
      <c r="Y34" s="668"/>
      <c r="Z34" s="668"/>
      <c r="AA34" s="668"/>
      <c r="AB34" s="668"/>
      <c r="AC34" s="668"/>
      <c r="AD34" s="668"/>
      <c r="AE34" s="668"/>
      <c r="AF34" s="668"/>
      <c r="AG34" s="668"/>
      <c r="AH34" s="668"/>
      <c r="AI34" s="668"/>
      <c r="AJ34" s="668"/>
      <c r="AK34" s="668"/>
      <c r="AL34" s="668"/>
      <c r="AM34" s="668"/>
      <c r="AN34" s="668"/>
      <c r="AO34" s="668"/>
      <c r="AP34" s="668"/>
      <c r="AQ34" s="668"/>
      <c r="AR34" s="485"/>
      <c r="AS34" s="668"/>
      <c r="AT34" s="670"/>
      <c r="AU34" s="670"/>
      <c r="AV34" s="670"/>
      <c r="AW34" s="670"/>
      <c r="AX34" s="670"/>
      <c r="AY34" s="670"/>
      <c r="AZ34" s="670"/>
      <c r="BA34" s="670"/>
      <c r="BB34" s="670"/>
      <c r="BC34" s="670"/>
      <c r="BD34" s="670"/>
      <c r="BE34" s="666"/>
      <c r="BF34" s="666"/>
    </row>
    <row r="35" spans="1:58" s="421" customFormat="1" ht="12.75" x14ac:dyDescent="0.2">
      <c r="A35" s="584" t="s">
        <v>36</v>
      </c>
      <c r="B35" s="585" t="s">
        <v>653</v>
      </c>
      <c r="C35" s="590"/>
      <c r="D35" s="664"/>
      <c r="E35" s="668"/>
      <c r="G35" s="668"/>
      <c r="H35" s="668"/>
      <c r="I35" s="668"/>
      <c r="J35" s="668"/>
      <c r="K35" s="668"/>
      <c r="L35" s="668"/>
      <c r="M35" s="668"/>
      <c r="N35" s="668"/>
      <c r="O35" s="668"/>
      <c r="P35" s="668"/>
      <c r="Q35" s="668"/>
      <c r="R35" s="668"/>
      <c r="S35" s="668"/>
      <c r="T35" s="668"/>
      <c r="U35" s="668"/>
      <c r="V35" s="668"/>
      <c r="W35" s="668"/>
      <c r="X35" s="668"/>
      <c r="Y35" s="668"/>
      <c r="Z35" s="668"/>
      <c r="AA35" s="668"/>
      <c r="AB35" s="668"/>
      <c r="AC35" s="668"/>
      <c r="AD35" s="668"/>
      <c r="AE35" s="668"/>
      <c r="AF35" s="668"/>
      <c r="AG35" s="668"/>
      <c r="AH35" s="668"/>
      <c r="AI35" s="668"/>
      <c r="AJ35" s="668"/>
      <c r="AK35" s="668"/>
      <c r="AL35" s="668"/>
      <c r="AM35" s="668"/>
      <c r="AN35" s="668"/>
      <c r="AO35" s="668"/>
      <c r="AP35" s="668"/>
      <c r="AQ35" s="668"/>
      <c r="AR35" s="485"/>
      <c r="AS35" s="668"/>
      <c r="AT35" s="670"/>
      <c r="AU35" s="670"/>
      <c r="AV35" s="670"/>
      <c r="AW35" s="670"/>
      <c r="AX35" s="670"/>
      <c r="AY35" s="670"/>
      <c r="AZ35" s="670"/>
      <c r="BA35" s="670"/>
      <c r="BB35" s="670"/>
      <c r="BC35" s="670"/>
      <c r="BD35" s="670"/>
      <c r="BE35" s="666"/>
      <c r="BF35" s="666"/>
    </row>
    <row r="36" spans="1:58" s="421" customFormat="1" ht="12.75" x14ac:dyDescent="0.2">
      <c r="A36" s="588">
        <v>1</v>
      </c>
      <c r="B36" s="669" t="s">
        <v>873</v>
      </c>
      <c r="C36" s="590">
        <f>SUM(C14+C25)</f>
        <v>52241943</v>
      </c>
      <c r="D36" s="664"/>
      <c r="E36" s="668"/>
      <c r="G36" s="668"/>
      <c r="H36" s="668"/>
      <c r="I36" s="668"/>
      <c r="J36" s="668"/>
      <c r="K36" s="668"/>
      <c r="L36" s="668"/>
      <c r="M36" s="668"/>
      <c r="N36" s="668"/>
      <c r="O36" s="668"/>
      <c r="P36" s="668"/>
      <c r="Q36" s="668"/>
      <c r="R36" s="668"/>
      <c r="S36" s="668"/>
      <c r="T36" s="668"/>
      <c r="U36" s="668"/>
      <c r="V36" s="668"/>
      <c r="W36" s="668"/>
      <c r="X36" s="668"/>
      <c r="Y36" s="668"/>
      <c r="Z36" s="668"/>
      <c r="AA36" s="668"/>
      <c r="AB36" s="668"/>
      <c r="AC36" s="668"/>
      <c r="AD36" s="668"/>
      <c r="AE36" s="668"/>
      <c r="AF36" s="668"/>
      <c r="AG36" s="668"/>
      <c r="AH36" s="668"/>
      <c r="AI36" s="668"/>
      <c r="AJ36" s="668"/>
      <c r="AK36" s="668"/>
      <c r="AL36" s="668"/>
      <c r="AM36" s="668"/>
      <c r="AN36" s="668"/>
      <c r="AO36" s="668"/>
      <c r="AP36" s="668"/>
      <c r="AQ36" s="668"/>
      <c r="AR36" s="485"/>
      <c r="AS36" s="668"/>
      <c r="AT36" s="670"/>
      <c r="AU36" s="670"/>
      <c r="AV36" s="670"/>
      <c r="AW36" s="670"/>
      <c r="AX36" s="670"/>
      <c r="AY36" s="670"/>
      <c r="AZ36" s="670"/>
      <c r="BA36" s="670"/>
      <c r="BB36" s="670"/>
      <c r="BC36" s="670"/>
      <c r="BD36" s="670"/>
      <c r="BE36" s="666"/>
      <c r="BF36" s="666"/>
    </row>
    <row r="37" spans="1:58" s="421" customFormat="1" ht="12.75" x14ac:dyDescent="0.2">
      <c r="A37" s="588">
        <v>2</v>
      </c>
      <c r="B37" s="669" t="s">
        <v>874</v>
      </c>
      <c r="C37" s="594">
        <f>SUM(C21+C32)</f>
        <v>92930404</v>
      </c>
      <c r="D37" s="664"/>
      <c r="E37" s="668"/>
      <c r="G37" s="668"/>
      <c r="H37" s="668"/>
      <c r="I37" s="668"/>
      <c r="J37" s="668"/>
      <c r="K37" s="668"/>
      <c r="L37" s="668"/>
      <c r="M37" s="668"/>
      <c r="N37" s="668"/>
      <c r="O37" s="668"/>
      <c r="P37" s="668"/>
      <c r="Q37" s="668"/>
      <c r="R37" s="668"/>
      <c r="S37" s="668"/>
      <c r="T37" s="668"/>
      <c r="U37" s="668"/>
      <c r="V37" s="668"/>
      <c r="W37" s="668"/>
      <c r="X37" s="668"/>
      <c r="Y37" s="668"/>
      <c r="Z37" s="668"/>
      <c r="AA37" s="668"/>
      <c r="AB37" s="668"/>
      <c r="AC37" s="668"/>
      <c r="AD37" s="668"/>
      <c r="AE37" s="668"/>
      <c r="AF37" s="668"/>
      <c r="AG37" s="668"/>
      <c r="AH37" s="668"/>
      <c r="AI37" s="668"/>
      <c r="AJ37" s="668"/>
      <c r="AK37" s="668"/>
      <c r="AL37" s="668"/>
      <c r="AM37" s="668"/>
      <c r="AN37" s="668"/>
      <c r="AO37" s="668"/>
      <c r="AP37" s="668"/>
      <c r="AQ37" s="668"/>
      <c r="AR37" s="485"/>
      <c r="AS37" s="670"/>
      <c r="AT37" s="670"/>
      <c r="AU37" s="670"/>
      <c r="AV37" s="670"/>
      <c r="AW37" s="670"/>
      <c r="AX37" s="670"/>
      <c r="AY37" s="670"/>
      <c r="AZ37" s="670"/>
      <c r="BA37" s="670"/>
      <c r="BB37" s="670"/>
      <c r="BC37" s="670"/>
      <c r="BD37" s="670"/>
      <c r="BE37" s="666"/>
      <c r="BF37" s="666"/>
    </row>
    <row r="38" spans="1:58" s="421" customFormat="1" ht="12.75" x14ac:dyDescent="0.2">
      <c r="A38" s="588"/>
      <c r="B38" s="671" t="s">
        <v>653</v>
      </c>
      <c r="C38" s="593">
        <f>SUM(+C36+C37)</f>
        <v>145172347</v>
      </c>
      <c r="D38" s="664"/>
      <c r="E38" s="668"/>
      <c r="F38" s="668"/>
      <c r="G38" s="668"/>
      <c r="H38" s="668"/>
      <c r="I38" s="668"/>
      <c r="J38" s="668"/>
      <c r="K38" s="668"/>
      <c r="L38" s="668"/>
      <c r="M38" s="668"/>
      <c r="N38" s="668"/>
      <c r="O38" s="668"/>
      <c r="P38" s="668"/>
      <c r="Q38" s="668"/>
      <c r="R38" s="668"/>
      <c r="S38" s="668"/>
      <c r="T38" s="668"/>
      <c r="U38" s="668"/>
      <c r="V38" s="668"/>
      <c r="W38" s="668"/>
      <c r="X38" s="668"/>
      <c r="Y38" s="668"/>
      <c r="Z38" s="668"/>
      <c r="AA38" s="668"/>
      <c r="AB38" s="668"/>
      <c r="AC38" s="668"/>
      <c r="AD38" s="668"/>
      <c r="AE38" s="668"/>
      <c r="AF38" s="668"/>
      <c r="AG38" s="668"/>
      <c r="AH38" s="668"/>
      <c r="AI38" s="668"/>
      <c r="AJ38" s="668"/>
      <c r="AK38" s="668"/>
      <c r="AL38" s="668"/>
      <c r="AM38" s="668"/>
      <c r="AN38" s="668"/>
      <c r="AO38" s="668"/>
      <c r="AP38" s="668"/>
      <c r="AQ38" s="668"/>
      <c r="AR38" s="485"/>
      <c r="AS38" s="668"/>
      <c r="AT38" s="668"/>
      <c r="AU38" s="668"/>
      <c r="AV38" s="668"/>
      <c r="AW38" s="668"/>
      <c r="AX38" s="668"/>
      <c r="AY38" s="668"/>
      <c r="AZ38" s="668"/>
      <c r="BA38" s="668"/>
      <c r="BB38" s="668"/>
      <c r="BC38" s="668"/>
      <c r="BD38" s="668"/>
      <c r="BE38" s="668"/>
      <c r="BF38" s="668"/>
    </row>
    <row r="39" spans="1:58" s="421" customFormat="1" ht="12.75" x14ac:dyDescent="0.2">
      <c r="A39" s="669"/>
      <c r="B39" s="669"/>
      <c r="C39" s="669"/>
      <c r="D39" s="664"/>
      <c r="E39" s="668"/>
      <c r="F39" s="668"/>
      <c r="G39" s="668"/>
      <c r="H39" s="668"/>
      <c r="I39" s="668"/>
      <c r="J39" s="668"/>
      <c r="K39" s="668"/>
      <c r="L39" s="668"/>
      <c r="M39" s="668"/>
      <c r="N39" s="668"/>
      <c r="O39" s="668"/>
      <c r="P39" s="668"/>
      <c r="Q39" s="668"/>
      <c r="R39" s="668"/>
      <c r="S39" s="668"/>
      <c r="T39" s="668"/>
      <c r="U39" s="668"/>
      <c r="V39" s="668"/>
      <c r="W39" s="668"/>
      <c r="X39" s="668"/>
      <c r="Y39" s="668"/>
      <c r="Z39" s="668"/>
      <c r="AA39" s="668"/>
      <c r="AB39" s="668"/>
      <c r="AC39" s="668"/>
      <c r="AD39" s="668"/>
      <c r="AE39" s="668"/>
      <c r="AF39" s="668"/>
      <c r="AG39" s="668"/>
      <c r="AH39" s="668"/>
      <c r="AI39" s="668"/>
      <c r="AJ39" s="668"/>
      <c r="AK39" s="668"/>
      <c r="AL39" s="668"/>
      <c r="AM39" s="668"/>
      <c r="AN39" s="668"/>
      <c r="AO39" s="668"/>
      <c r="AP39" s="668"/>
      <c r="AQ39" s="668"/>
      <c r="AR39" s="485"/>
      <c r="AS39" s="668"/>
      <c r="AT39" s="668"/>
      <c r="AU39" s="668"/>
      <c r="AV39" s="668"/>
      <c r="AW39" s="668"/>
      <c r="AX39" s="668"/>
      <c r="AY39" s="668"/>
      <c r="AZ39" s="668"/>
      <c r="BA39" s="668"/>
      <c r="BB39" s="668"/>
      <c r="BC39" s="668"/>
      <c r="BD39" s="668"/>
      <c r="BE39" s="668"/>
      <c r="BF39" s="668"/>
    </row>
    <row r="40" spans="1:58" s="421" customFormat="1" ht="12.75" x14ac:dyDescent="0.2">
      <c r="A40" s="584" t="s">
        <v>170</v>
      </c>
      <c r="B40" s="585" t="s">
        <v>789</v>
      </c>
      <c r="C40" s="577"/>
      <c r="D40" s="664"/>
      <c r="E40" s="668"/>
      <c r="F40" s="668"/>
      <c r="G40" s="668"/>
      <c r="H40" s="668"/>
      <c r="I40" s="668"/>
      <c r="J40" s="668"/>
      <c r="K40" s="668"/>
      <c r="L40" s="668"/>
      <c r="M40" s="668"/>
      <c r="N40" s="668"/>
      <c r="O40" s="668"/>
      <c r="P40" s="668"/>
      <c r="Q40" s="668"/>
      <c r="R40" s="668"/>
      <c r="S40" s="666"/>
      <c r="T40" s="666"/>
      <c r="U40" s="666"/>
      <c r="V40" s="666"/>
      <c r="W40" s="666"/>
      <c r="X40" s="666"/>
      <c r="Y40" s="666"/>
      <c r="Z40" s="666"/>
      <c r="AA40" s="666"/>
      <c r="AB40" s="666"/>
      <c r="AC40" s="666"/>
      <c r="AD40" s="666"/>
      <c r="AE40" s="666"/>
      <c r="AF40" s="666"/>
      <c r="AG40" s="666"/>
      <c r="AH40" s="666"/>
      <c r="AI40" s="666"/>
      <c r="AJ40" s="666"/>
      <c r="AK40" s="666"/>
      <c r="AL40" s="666"/>
      <c r="AM40" s="666"/>
      <c r="AN40" s="666"/>
      <c r="AO40" s="666"/>
      <c r="AP40" s="666"/>
      <c r="AQ40" s="666"/>
      <c r="AR40" s="485"/>
      <c r="AS40" s="666"/>
      <c r="AT40" s="666"/>
      <c r="AU40" s="666"/>
      <c r="AV40" s="666"/>
      <c r="AW40" s="666"/>
      <c r="AX40" s="666"/>
      <c r="AY40" s="666"/>
      <c r="AZ40" s="666"/>
      <c r="BA40" s="666"/>
      <c r="BB40" s="666"/>
      <c r="BC40" s="666"/>
      <c r="BD40" s="666"/>
      <c r="BE40" s="666"/>
      <c r="BF40" s="666"/>
    </row>
    <row r="41" spans="1:58" s="421" customFormat="1" ht="12" customHeight="1" x14ac:dyDescent="0.2">
      <c r="A41" s="588">
        <v>1</v>
      </c>
      <c r="B41" s="669" t="s">
        <v>656</v>
      </c>
      <c r="C41" s="589">
        <v>5086670</v>
      </c>
      <c r="D41" s="664"/>
      <c r="E41" s="668"/>
      <c r="G41" s="668"/>
      <c r="H41" s="668"/>
      <c r="I41" s="668"/>
      <c r="J41" s="668"/>
      <c r="K41" s="668"/>
      <c r="L41" s="668"/>
      <c r="M41" s="668"/>
      <c r="N41" s="668"/>
      <c r="O41" s="668"/>
      <c r="P41" s="668"/>
      <c r="Q41" s="668"/>
      <c r="R41" s="668"/>
      <c r="S41" s="668"/>
      <c r="T41" s="668"/>
      <c r="U41" s="668"/>
      <c r="V41" s="668"/>
      <c r="W41" s="668"/>
      <c r="X41" s="668"/>
      <c r="Y41" s="668"/>
      <c r="Z41" s="668"/>
      <c r="AA41" s="668"/>
      <c r="AB41" s="668"/>
      <c r="AC41" s="668"/>
      <c r="AD41" s="668"/>
      <c r="AE41" s="668"/>
      <c r="AF41" s="668"/>
      <c r="AG41" s="668"/>
      <c r="AH41" s="668"/>
      <c r="AI41" s="668"/>
      <c r="AJ41" s="668"/>
      <c r="AK41" s="668"/>
      <c r="AL41" s="668"/>
      <c r="AM41" s="668"/>
      <c r="AN41" s="668"/>
      <c r="AO41" s="668"/>
      <c r="AP41" s="668"/>
      <c r="AQ41" s="668"/>
      <c r="AR41" s="485"/>
      <c r="AS41" s="670"/>
      <c r="AT41" s="670"/>
      <c r="AU41" s="670"/>
      <c r="AV41" s="670"/>
      <c r="AW41" s="670"/>
      <c r="AX41" s="670"/>
      <c r="AY41" s="670"/>
      <c r="AZ41" s="670"/>
      <c r="BA41" s="670"/>
      <c r="BB41" s="670"/>
      <c r="BC41" s="670"/>
      <c r="BD41" s="670"/>
      <c r="BE41" s="666"/>
      <c r="BF41" s="666"/>
    </row>
    <row r="42" spans="1:58" s="421" customFormat="1" ht="12.75" x14ac:dyDescent="0.2">
      <c r="A42" s="588">
        <v>2</v>
      </c>
      <c r="B42" s="669" t="s">
        <v>635</v>
      </c>
      <c r="C42" s="591">
        <v>16145227</v>
      </c>
      <c r="D42" s="664"/>
      <c r="E42" s="668"/>
      <c r="G42" s="668"/>
      <c r="H42" s="668"/>
      <c r="I42" s="668"/>
      <c r="J42" s="668"/>
      <c r="K42" s="668"/>
      <c r="L42" s="668"/>
      <c r="M42" s="668"/>
      <c r="N42" s="668"/>
      <c r="O42" s="668"/>
      <c r="P42" s="668"/>
      <c r="Q42" s="668"/>
      <c r="R42" s="668"/>
      <c r="S42" s="668"/>
      <c r="T42" s="668"/>
      <c r="U42" s="668"/>
      <c r="V42" s="668"/>
      <c r="W42" s="668"/>
      <c r="X42" s="668"/>
      <c r="Y42" s="668"/>
      <c r="Z42" s="668"/>
      <c r="AA42" s="668"/>
      <c r="AB42" s="668"/>
      <c r="AC42" s="668"/>
      <c r="AD42" s="668"/>
      <c r="AE42" s="668"/>
      <c r="AF42" s="668"/>
      <c r="AG42" s="668"/>
      <c r="AH42" s="668"/>
      <c r="AI42" s="668"/>
      <c r="AJ42" s="668"/>
      <c r="AK42" s="668"/>
      <c r="AL42" s="668"/>
      <c r="AM42" s="668"/>
      <c r="AN42" s="668"/>
      <c r="AO42" s="668"/>
      <c r="AP42" s="668"/>
      <c r="AQ42" s="668"/>
      <c r="AR42" s="485"/>
      <c r="AS42" s="670"/>
      <c r="AT42" s="670"/>
      <c r="AU42" s="670"/>
      <c r="AV42" s="670"/>
      <c r="AW42" s="670"/>
      <c r="AX42" s="670"/>
      <c r="AY42" s="670"/>
      <c r="AZ42" s="670"/>
      <c r="BA42" s="670"/>
      <c r="BB42" s="670"/>
      <c r="BC42" s="670"/>
      <c r="BD42" s="670"/>
      <c r="BE42" s="666"/>
      <c r="BF42" s="666"/>
    </row>
    <row r="43" spans="1:58" s="421" customFormat="1" ht="12.75" x14ac:dyDescent="0.2">
      <c r="A43" s="588">
        <v>3</v>
      </c>
      <c r="B43" s="669" t="s">
        <v>777</v>
      </c>
      <c r="C43" s="591">
        <v>2230786</v>
      </c>
      <c r="D43" s="664"/>
      <c r="E43" s="668"/>
      <c r="G43" s="668"/>
      <c r="H43" s="668"/>
      <c r="I43" s="668"/>
      <c r="J43" s="668"/>
      <c r="K43" s="668"/>
      <c r="L43" s="668"/>
      <c r="M43" s="668"/>
      <c r="N43" s="668"/>
      <c r="O43" s="668"/>
      <c r="P43" s="668"/>
      <c r="Q43" s="668"/>
      <c r="R43" s="668"/>
      <c r="S43" s="668"/>
      <c r="T43" s="668"/>
      <c r="U43" s="668"/>
      <c r="V43" s="668"/>
      <c r="W43" s="668"/>
      <c r="X43" s="668"/>
      <c r="Y43" s="668"/>
      <c r="Z43" s="668"/>
      <c r="AA43" s="668"/>
      <c r="AB43" s="668"/>
      <c r="AC43" s="668"/>
      <c r="AD43" s="668"/>
      <c r="AE43" s="668"/>
      <c r="AF43" s="668"/>
      <c r="AG43" s="668"/>
      <c r="AH43" s="668"/>
      <c r="AI43" s="668"/>
      <c r="AJ43" s="668"/>
      <c r="AK43" s="668"/>
      <c r="AL43" s="668"/>
      <c r="AM43" s="668"/>
      <c r="AN43" s="668"/>
      <c r="AO43" s="668"/>
      <c r="AP43" s="668"/>
      <c r="AQ43" s="668"/>
      <c r="AR43" s="485"/>
      <c r="AS43" s="670"/>
      <c r="AT43" s="670"/>
      <c r="AU43" s="670"/>
      <c r="AV43" s="670"/>
      <c r="AW43" s="670"/>
      <c r="AX43" s="670"/>
      <c r="AY43" s="670"/>
      <c r="AZ43" s="670"/>
      <c r="BA43" s="670"/>
      <c r="BB43" s="670"/>
      <c r="BC43" s="670"/>
      <c r="BD43" s="670"/>
      <c r="BE43" s="666"/>
      <c r="BF43" s="666"/>
    </row>
    <row r="44" spans="1:58" s="421" customFormat="1" ht="12.75" x14ac:dyDescent="0.2">
      <c r="A44" s="588">
        <v>4</v>
      </c>
      <c r="B44" s="669" t="s">
        <v>115</v>
      </c>
      <c r="C44" s="591">
        <v>993888</v>
      </c>
      <c r="D44" s="664"/>
      <c r="E44" s="668"/>
      <c r="G44" s="668"/>
      <c r="H44" s="668"/>
      <c r="I44" s="668"/>
      <c r="J44" s="668"/>
      <c r="K44" s="668"/>
      <c r="L44" s="668"/>
      <c r="M44" s="668"/>
      <c r="N44" s="668"/>
      <c r="O44" s="668"/>
      <c r="P44" s="668"/>
      <c r="Q44" s="668"/>
      <c r="R44" s="668"/>
      <c r="S44" s="668"/>
      <c r="T44" s="668"/>
      <c r="U44" s="668"/>
      <c r="V44" s="668"/>
      <c r="W44" s="668"/>
      <c r="X44" s="668"/>
      <c r="Y44" s="668"/>
      <c r="Z44" s="668"/>
      <c r="AA44" s="668"/>
      <c r="AB44" s="668"/>
      <c r="AC44" s="668"/>
      <c r="AD44" s="668"/>
      <c r="AE44" s="668"/>
      <c r="AF44" s="668"/>
      <c r="AG44" s="668"/>
      <c r="AH44" s="668"/>
      <c r="AI44" s="668"/>
      <c r="AJ44" s="668"/>
      <c r="AK44" s="668"/>
      <c r="AL44" s="668"/>
      <c r="AM44" s="668"/>
      <c r="AN44" s="668"/>
      <c r="AO44" s="668"/>
      <c r="AP44" s="668"/>
      <c r="AQ44" s="668"/>
      <c r="AR44" s="485"/>
      <c r="AS44" s="670"/>
      <c r="AT44" s="670"/>
      <c r="AU44" s="670"/>
      <c r="AV44" s="670"/>
      <c r="AW44" s="670"/>
      <c r="AX44" s="670"/>
      <c r="AY44" s="670"/>
      <c r="AZ44" s="670"/>
      <c r="BA44" s="670"/>
      <c r="BB44" s="670"/>
      <c r="BC44" s="670"/>
      <c r="BD44" s="670"/>
      <c r="BE44" s="666"/>
      <c r="BF44" s="666"/>
    </row>
    <row r="45" spans="1:58" s="421" customFormat="1" ht="12.75" x14ac:dyDescent="0.2">
      <c r="A45" s="588">
        <v>5</v>
      </c>
      <c r="B45" s="669" t="s">
        <v>743</v>
      </c>
      <c r="C45" s="591">
        <v>1236898</v>
      </c>
      <c r="D45" s="664"/>
      <c r="E45" s="668"/>
      <c r="G45" s="668"/>
      <c r="H45" s="668"/>
      <c r="I45" s="668"/>
      <c r="J45" s="668"/>
      <c r="K45" s="668"/>
      <c r="L45" s="668"/>
      <c r="M45" s="668"/>
      <c r="N45" s="668"/>
      <c r="O45" s="668"/>
      <c r="P45" s="668"/>
      <c r="Q45" s="668"/>
      <c r="R45" s="668"/>
      <c r="S45" s="668"/>
      <c r="T45" s="668"/>
      <c r="U45" s="668"/>
      <c r="V45" s="668"/>
      <c r="W45" s="668"/>
      <c r="X45" s="668"/>
      <c r="Y45" s="668"/>
      <c r="Z45" s="668"/>
      <c r="AA45" s="668"/>
      <c r="AB45" s="668"/>
      <c r="AC45" s="668"/>
      <c r="AD45" s="668"/>
      <c r="AE45" s="668"/>
      <c r="AF45" s="668"/>
      <c r="AG45" s="668"/>
      <c r="AH45" s="668"/>
      <c r="AI45" s="668"/>
      <c r="AJ45" s="668"/>
      <c r="AK45" s="668"/>
      <c r="AL45" s="668"/>
      <c r="AM45" s="668"/>
      <c r="AN45" s="668"/>
      <c r="AO45" s="668"/>
      <c r="AP45" s="668"/>
      <c r="AQ45" s="668"/>
      <c r="AR45" s="485"/>
      <c r="AS45" s="670"/>
      <c r="AT45" s="670"/>
      <c r="AU45" s="670"/>
      <c r="AV45" s="670"/>
      <c r="AW45" s="670"/>
      <c r="AX45" s="670"/>
      <c r="AY45" s="670"/>
      <c r="AZ45" s="670"/>
      <c r="BA45" s="670"/>
      <c r="BB45" s="670"/>
      <c r="BC45" s="670"/>
      <c r="BD45" s="670"/>
      <c r="BE45" s="666"/>
      <c r="BF45" s="666"/>
    </row>
    <row r="46" spans="1:58" s="421" customFormat="1" ht="12.75" x14ac:dyDescent="0.2">
      <c r="A46" s="588">
        <v>6</v>
      </c>
      <c r="B46" s="669" t="s">
        <v>424</v>
      </c>
      <c r="C46" s="591">
        <v>24273</v>
      </c>
      <c r="D46" s="664"/>
      <c r="E46" s="668"/>
      <c r="G46" s="668"/>
      <c r="H46" s="668"/>
      <c r="I46" s="668"/>
      <c r="J46" s="668"/>
      <c r="K46" s="668"/>
      <c r="L46" s="668"/>
      <c r="M46" s="668"/>
      <c r="N46" s="668"/>
      <c r="O46" s="668"/>
      <c r="P46" s="668"/>
      <c r="Q46" s="668"/>
      <c r="R46" s="668"/>
      <c r="S46" s="668"/>
      <c r="T46" s="668"/>
      <c r="U46" s="668"/>
      <c r="V46" s="668"/>
      <c r="W46" s="668"/>
      <c r="X46" s="668"/>
      <c r="Y46" s="668"/>
      <c r="Z46" s="668"/>
      <c r="AA46" s="668"/>
      <c r="AB46" s="668"/>
      <c r="AC46" s="668"/>
      <c r="AD46" s="668"/>
      <c r="AE46" s="668"/>
      <c r="AF46" s="668"/>
      <c r="AG46" s="668"/>
      <c r="AH46" s="668"/>
      <c r="AI46" s="668"/>
      <c r="AJ46" s="668"/>
      <c r="AK46" s="668"/>
      <c r="AL46" s="668"/>
      <c r="AM46" s="668"/>
      <c r="AN46" s="668"/>
      <c r="AO46" s="668"/>
      <c r="AP46" s="668"/>
      <c r="AQ46" s="668"/>
      <c r="AR46" s="485"/>
      <c r="AS46" s="670"/>
      <c r="AT46" s="670"/>
      <c r="AU46" s="670"/>
      <c r="AV46" s="670"/>
      <c r="AW46" s="670"/>
      <c r="AX46" s="670"/>
      <c r="AY46" s="670"/>
      <c r="AZ46" s="670"/>
      <c r="BA46" s="670"/>
      <c r="BB46" s="670"/>
      <c r="BC46" s="670"/>
      <c r="BD46" s="670"/>
      <c r="BE46" s="666"/>
      <c r="BF46" s="666"/>
    </row>
    <row r="47" spans="1:58" s="421" customFormat="1" ht="12.75" x14ac:dyDescent="0.2">
      <c r="A47" s="588">
        <v>7</v>
      </c>
      <c r="B47" s="669" t="s">
        <v>758</v>
      </c>
      <c r="C47" s="591">
        <v>36844</v>
      </c>
      <c r="D47" s="664"/>
      <c r="E47" s="668"/>
      <c r="G47" s="668"/>
      <c r="H47" s="668"/>
      <c r="I47" s="668"/>
      <c r="J47" s="668"/>
      <c r="K47" s="668"/>
      <c r="L47" s="668"/>
      <c r="M47" s="668"/>
      <c r="N47" s="668"/>
      <c r="O47" s="668"/>
      <c r="P47" s="668"/>
      <c r="Q47" s="668"/>
      <c r="R47" s="668"/>
      <c r="S47" s="668"/>
      <c r="T47" s="668"/>
      <c r="U47" s="668"/>
      <c r="V47" s="668"/>
      <c r="W47" s="668"/>
      <c r="X47" s="668"/>
      <c r="Y47" s="668"/>
      <c r="Z47" s="668"/>
      <c r="AA47" s="668"/>
      <c r="AB47" s="668"/>
      <c r="AC47" s="668"/>
      <c r="AD47" s="668"/>
      <c r="AE47" s="668"/>
      <c r="AF47" s="668"/>
      <c r="AG47" s="668"/>
      <c r="AH47" s="668"/>
      <c r="AI47" s="668"/>
      <c r="AJ47" s="668"/>
      <c r="AK47" s="668"/>
      <c r="AL47" s="668"/>
      <c r="AM47" s="668"/>
      <c r="AN47" s="668"/>
      <c r="AO47" s="668"/>
      <c r="AP47" s="668"/>
      <c r="AQ47" s="668"/>
      <c r="AR47" s="485"/>
      <c r="AS47" s="670"/>
      <c r="AT47" s="670"/>
      <c r="AU47" s="670"/>
      <c r="AV47" s="670"/>
      <c r="AW47" s="670"/>
      <c r="AX47" s="670"/>
      <c r="AY47" s="670"/>
      <c r="AZ47" s="670"/>
      <c r="BA47" s="670"/>
      <c r="BB47" s="670"/>
      <c r="BC47" s="670"/>
      <c r="BD47" s="670"/>
      <c r="BE47" s="666"/>
      <c r="BF47" s="666"/>
    </row>
    <row r="48" spans="1:58" s="421" customFormat="1" ht="12.75" x14ac:dyDescent="0.2">
      <c r="A48" s="588"/>
      <c r="B48" s="671" t="s">
        <v>790</v>
      </c>
      <c r="C48" s="593">
        <f>SUM(C42+C43+C46)</f>
        <v>18400286</v>
      </c>
      <c r="D48" s="664"/>
      <c r="E48" s="668"/>
      <c r="G48" s="668"/>
      <c r="H48" s="668"/>
      <c r="I48" s="668"/>
      <c r="J48" s="668"/>
      <c r="K48" s="668"/>
      <c r="L48" s="668"/>
      <c r="M48" s="668"/>
      <c r="N48" s="668"/>
      <c r="O48" s="668"/>
      <c r="P48" s="668"/>
      <c r="Q48" s="668"/>
      <c r="R48" s="668"/>
      <c r="S48" s="668"/>
      <c r="T48" s="668"/>
      <c r="U48" s="668"/>
      <c r="V48" s="668"/>
      <c r="W48" s="668"/>
      <c r="X48" s="668"/>
      <c r="Y48" s="668"/>
      <c r="Z48" s="668"/>
      <c r="AA48" s="668"/>
      <c r="AB48" s="668"/>
      <c r="AC48" s="668"/>
      <c r="AD48" s="668"/>
      <c r="AE48" s="668"/>
      <c r="AF48" s="668"/>
      <c r="AG48" s="668"/>
      <c r="AH48" s="668"/>
      <c r="AI48" s="668"/>
      <c r="AJ48" s="668"/>
      <c r="AK48" s="668"/>
      <c r="AL48" s="668"/>
      <c r="AM48" s="668"/>
      <c r="AN48" s="668"/>
      <c r="AO48" s="668"/>
      <c r="AP48" s="668"/>
      <c r="AQ48" s="668"/>
      <c r="AR48" s="485"/>
      <c r="AS48" s="668"/>
      <c r="AT48" s="668"/>
      <c r="AU48" s="670"/>
      <c r="AV48" s="670"/>
      <c r="AW48" s="670"/>
      <c r="AX48" s="670"/>
      <c r="AY48" s="670"/>
      <c r="AZ48" s="670"/>
      <c r="BA48" s="670"/>
      <c r="BB48" s="670"/>
      <c r="BC48" s="670"/>
      <c r="BD48" s="670"/>
      <c r="BE48" s="666"/>
      <c r="BF48" s="666"/>
    </row>
    <row r="49" spans="1:58" s="421" customFormat="1" ht="12.75" x14ac:dyDescent="0.2">
      <c r="A49" s="588"/>
      <c r="B49" s="671" t="s">
        <v>466</v>
      </c>
      <c r="C49" s="593">
        <f>SUM(C41+C48)</f>
        <v>23486956</v>
      </c>
      <c r="D49" s="664"/>
      <c r="E49" s="668"/>
      <c r="G49" s="668"/>
      <c r="H49" s="668"/>
      <c r="I49" s="668"/>
      <c r="J49" s="668"/>
      <c r="K49" s="668"/>
      <c r="L49" s="668"/>
      <c r="M49" s="668"/>
      <c r="N49" s="668"/>
      <c r="O49" s="668"/>
      <c r="P49" s="668"/>
      <c r="Q49" s="668"/>
      <c r="R49" s="668"/>
      <c r="S49" s="668"/>
      <c r="T49" s="668"/>
      <c r="U49" s="668"/>
      <c r="V49" s="668"/>
      <c r="W49" s="668"/>
      <c r="X49" s="668"/>
      <c r="Y49" s="668"/>
      <c r="Z49" s="668"/>
      <c r="AA49" s="668"/>
      <c r="AB49" s="668"/>
      <c r="AC49" s="668"/>
      <c r="AD49" s="668"/>
      <c r="AE49" s="668"/>
      <c r="AF49" s="668"/>
      <c r="AG49" s="668"/>
      <c r="AH49" s="668"/>
      <c r="AI49" s="668"/>
      <c r="AJ49" s="668"/>
      <c r="AK49" s="668"/>
      <c r="AL49" s="668"/>
      <c r="AM49" s="668"/>
      <c r="AN49" s="668"/>
      <c r="AO49" s="668"/>
      <c r="AP49" s="668"/>
      <c r="AQ49" s="668"/>
      <c r="AR49" s="485"/>
      <c r="AS49" s="668"/>
      <c r="AT49" s="670"/>
      <c r="AU49" s="670"/>
      <c r="AV49" s="670"/>
      <c r="AW49" s="670"/>
      <c r="AX49" s="670"/>
      <c r="AY49" s="670"/>
      <c r="AZ49" s="670"/>
      <c r="BA49" s="670"/>
      <c r="BB49" s="670"/>
      <c r="BC49" s="670"/>
      <c r="BD49" s="670"/>
      <c r="BE49" s="666"/>
      <c r="BF49" s="666"/>
    </row>
    <row r="50" spans="1:58" s="421" customFormat="1" ht="12.75" x14ac:dyDescent="0.2">
      <c r="A50" s="669"/>
      <c r="B50" s="669"/>
      <c r="C50" s="669"/>
      <c r="D50" s="664"/>
      <c r="E50" s="668"/>
      <c r="F50" s="668"/>
      <c r="G50" s="668"/>
      <c r="H50" s="668"/>
      <c r="I50" s="668"/>
      <c r="J50" s="668"/>
      <c r="K50" s="668"/>
      <c r="L50" s="668"/>
      <c r="M50" s="668"/>
      <c r="N50" s="668"/>
      <c r="O50" s="668"/>
      <c r="P50" s="668"/>
      <c r="Q50" s="668"/>
      <c r="R50" s="668"/>
      <c r="S50" s="668"/>
      <c r="T50" s="668"/>
      <c r="U50" s="668"/>
      <c r="V50" s="668"/>
      <c r="W50" s="668"/>
      <c r="X50" s="668"/>
      <c r="Y50" s="668"/>
      <c r="Z50" s="668"/>
      <c r="AA50" s="668"/>
      <c r="AB50" s="668"/>
      <c r="AC50" s="668"/>
      <c r="AD50" s="668"/>
      <c r="AE50" s="668"/>
      <c r="AF50" s="668"/>
      <c r="AG50" s="668"/>
      <c r="AH50" s="668"/>
      <c r="AI50" s="668"/>
      <c r="AJ50" s="668"/>
      <c r="AK50" s="668"/>
      <c r="AL50" s="668"/>
      <c r="AM50" s="668"/>
      <c r="AN50" s="668"/>
      <c r="AO50" s="668"/>
      <c r="AP50" s="668"/>
      <c r="AQ50" s="668"/>
      <c r="AR50" s="485"/>
      <c r="AS50" s="668"/>
      <c r="AT50" s="668"/>
      <c r="AU50" s="668"/>
      <c r="AV50" s="668"/>
      <c r="AW50" s="668"/>
      <c r="AX50" s="668"/>
      <c r="AY50" s="668"/>
      <c r="AZ50" s="668"/>
      <c r="BA50" s="668"/>
      <c r="BB50" s="668"/>
      <c r="BC50" s="668"/>
      <c r="BD50" s="668"/>
      <c r="BE50" s="668"/>
      <c r="BF50" s="668"/>
    </row>
    <row r="51" spans="1:58" s="421" customFormat="1" ht="12.75" x14ac:dyDescent="0.2">
      <c r="A51" s="584" t="s">
        <v>175</v>
      </c>
      <c r="B51" s="585" t="s">
        <v>791</v>
      </c>
      <c r="C51" s="577"/>
      <c r="D51" s="664"/>
      <c r="E51" s="668"/>
      <c r="F51" s="668"/>
      <c r="G51" s="668"/>
      <c r="H51" s="668"/>
      <c r="I51" s="668"/>
      <c r="J51" s="668"/>
      <c r="K51" s="668"/>
      <c r="L51" s="668"/>
      <c r="M51" s="668"/>
      <c r="N51" s="668"/>
      <c r="O51" s="668"/>
      <c r="P51" s="668"/>
      <c r="Q51" s="668"/>
      <c r="R51" s="668"/>
      <c r="S51" s="666"/>
      <c r="T51" s="666"/>
      <c r="U51" s="666"/>
      <c r="V51" s="666"/>
      <c r="W51" s="666"/>
      <c r="X51" s="666"/>
      <c r="Y51" s="666"/>
      <c r="Z51" s="666"/>
      <c r="AA51" s="666"/>
      <c r="AB51" s="666"/>
      <c r="AC51" s="666"/>
      <c r="AD51" s="666"/>
      <c r="AE51" s="666"/>
      <c r="AF51" s="666"/>
      <c r="AG51" s="666"/>
      <c r="AH51" s="666"/>
      <c r="AI51" s="666"/>
      <c r="AJ51" s="666"/>
      <c r="AK51" s="666"/>
      <c r="AL51" s="666"/>
      <c r="AM51" s="666"/>
      <c r="AN51" s="666"/>
      <c r="AO51" s="666"/>
      <c r="AP51" s="666"/>
      <c r="AQ51" s="666"/>
      <c r="AR51" s="485"/>
      <c r="AS51" s="666"/>
      <c r="AT51" s="666"/>
      <c r="AU51" s="666"/>
      <c r="AV51" s="666"/>
      <c r="AW51" s="666"/>
      <c r="AX51" s="666"/>
      <c r="AY51" s="666"/>
      <c r="AZ51" s="666"/>
      <c r="BA51" s="666"/>
      <c r="BB51" s="666"/>
      <c r="BC51" s="666"/>
      <c r="BD51" s="666"/>
      <c r="BE51" s="666"/>
      <c r="BF51" s="666"/>
    </row>
    <row r="52" spans="1:58" s="421" customFormat="1" ht="12.75" x14ac:dyDescent="0.2">
      <c r="A52" s="588">
        <v>1</v>
      </c>
      <c r="B52" s="669" t="s">
        <v>656</v>
      </c>
      <c r="C52" s="589">
        <v>16229069</v>
      </c>
      <c r="D52" s="664"/>
      <c r="E52" s="668"/>
      <c r="G52" s="668"/>
      <c r="H52" s="668"/>
      <c r="I52" s="668"/>
      <c r="J52" s="668"/>
      <c r="K52" s="668"/>
      <c r="L52" s="668"/>
      <c r="M52" s="668"/>
      <c r="N52" s="668"/>
      <c r="O52" s="668"/>
      <c r="P52" s="668"/>
      <c r="Q52" s="668"/>
      <c r="R52" s="668"/>
      <c r="S52" s="668"/>
      <c r="T52" s="668"/>
      <c r="U52" s="668"/>
      <c r="V52" s="668"/>
      <c r="W52" s="668"/>
      <c r="X52" s="668"/>
      <c r="Y52" s="668"/>
      <c r="Z52" s="668"/>
      <c r="AA52" s="668"/>
      <c r="AB52" s="668"/>
      <c r="AC52" s="668"/>
      <c r="AD52" s="668"/>
      <c r="AE52" s="668"/>
      <c r="AF52" s="668"/>
      <c r="AG52" s="668"/>
      <c r="AH52" s="668"/>
      <c r="AI52" s="668"/>
      <c r="AJ52" s="668"/>
      <c r="AK52" s="668"/>
      <c r="AL52" s="668"/>
      <c r="AM52" s="668"/>
      <c r="AN52" s="668"/>
      <c r="AO52" s="668"/>
      <c r="AP52" s="668"/>
      <c r="AQ52" s="668"/>
      <c r="AR52" s="485"/>
      <c r="AS52" s="670"/>
      <c r="AT52" s="670"/>
      <c r="AU52" s="670"/>
      <c r="AV52" s="670"/>
      <c r="AW52" s="670"/>
      <c r="AX52" s="670"/>
      <c r="AY52" s="670"/>
      <c r="AZ52" s="670"/>
      <c r="BA52" s="670"/>
      <c r="BB52" s="670"/>
      <c r="BC52" s="670"/>
      <c r="BD52" s="670"/>
      <c r="BE52" s="666"/>
      <c r="BF52" s="666"/>
    </row>
    <row r="53" spans="1:58" s="421" customFormat="1" ht="12.75" x14ac:dyDescent="0.2">
      <c r="A53" s="588">
        <v>2</v>
      </c>
      <c r="B53" s="669" t="s">
        <v>635</v>
      </c>
      <c r="C53" s="591">
        <v>7500871</v>
      </c>
      <c r="D53" s="664"/>
      <c r="E53" s="668"/>
      <c r="G53" s="668"/>
      <c r="H53" s="668"/>
      <c r="I53" s="668"/>
      <c r="J53" s="668"/>
      <c r="K53" s="668"/>
      <c r="L53" s="668"/>
      <c r="M53" s="668"/>
      <c r="N53" s="668"/>
      <c r="O53" s="668"/>
      <c r="P53" s="668"/>
      <c r="Q53" s="668"/>
      <c r="R53" s="668"/>
      <c r="S53" s="668"/>
      <c r="T53" s="668"/>
      <c r="U53" s="668"/>
      <c r="V53" s="668"/>
      <c r="W53" s="668"/>
      <c r="X53" s="668"/>
      <c r="Y53" s="668"/>
      <c r="Z53" s="668"/>
      <c r="AA53" s="668"/>
      <c r="AB53" s="668"/>
      <c r="AC53" s="668"/>
      <c r="AD53" s="668"/>
      <c r="AE53" s="668"/>
      <c r="AF53" s="668"/>
      <c r="AG53" s="668"/>
      <c r="AH53" s="668"/>
      <c r="AI53" s="668"/>
      <c r="AJ53" s="668"/>
      <c r="AK53" s="668"/>
      <c r="AL53" s="668"/>
      <c r="AM53" s="668"/>
      <c r="AN53" s="668"/>
      <c r="AO53" s="668"/>
      <c r="AP53" s="668"/>
      <c r="AQ53" s="668"/>
      <c r="AR53" s="485"/>
      <c r="AS53" s="670"/>
      <c r="AT53" s="670"/>
      <c r="AU53" s="670"/>
      <c r="AV53" s="670"/>
      <c r="AW53" s="670"/>
      <c r="AX53" s="670"/>
      <c r="AY53" s="670"/>
      <c r="AZ53" s="670"/>
      <c r="BA53" s="670"/>
      <c r="BB53" s="670"/>
      <c r="BC53" s="670"/>
      <c r="BD53" s="670"/>
      <c r="BE53" s="666"/>
      <c r="BF53" s="666"/>
    </row>
    <row r="54" spans="1:58" s="421" customFormat="1" ht="12.75" x14ac:dyDescent="0.2">
      <c r="A54" s="588">
        <v>3</v>
      </c>
      <c r="B54" s="669" t="s">
        <v>777</v>
      </c>
      <c r="C54" s="591">
        <v>2075279</v>
      </c>
      <c r="D54" s="664"/>
      <c r="E54" s="668"/>
      <c r="G54" s="668"/>
      <c r="H54" s="668"/>
      <c r="I54" s="668"/>
      <c r="J54" s="668"/>
      <c r="K54" s="668"/>
      <c r="L54" s="668"/>
      <c r="M54" s="668"/>
      <c r="N54" s="668"/>
      <c r="O54" s="668"/>
      <c r="P54" s="668"/>
      <c r="Q54" s="668"/>
      <c r="R54" s="668"/>
      <c r="S54" s="668"/>
      <c r="T54" s="668"/>
      <c r="U54" s="668"/>
      <c r="V54" s="668"/>
      <c r="W54" s="668"/>
      <c r="X54" s="668"/>
      <c r="Y54" s="668"/>
      <c r="Z54" s="668"/>
      <c r="AA54" s="668"/>
      <c r="AB54" s="668"/>
      <c r="AC54" s="668"/>
      <c r="AD54" s="668"/>
      <c r="AE54" s="668"/>
      <c r="AF54" s="668"/>
      <c r="AG54" s="668"/>
      <c r="AH54" s="668"/>
      <c r="AI54" s="668"/>
      <c r="AJ54" s="668"/>
      <c r="AK54" s="668"/>
      <c r="AL54" s="668"/>
      <c r="AM54" s="668"/>
      <c r="AN54" s="668"/>
      <c r="AO54" s="668"/>
      <c r="AP54" s="668"/>
      <c r="AQ54" s="668"/>
      <c r="AR54" s="485"/>
      <c r="AS54" s="670"/>
      <c r="AT54" s="670"/>
      <c r="AU54" s="670"/>
      <c r="AV54" s="670"/>
      <c r="AW54" s="670"/>
      <c r="AX54" s="670"/>
      <c r="AY54" s="670"/>
      <c r="AZ54" s="670"/>
      <c r="BA54" s="670"/>
      <c r="BB54" s="670"/>
      <c r="BC54" s="670"/>
      <c r="BD54" s="670"/>
      <c r="BE54" s="666"/>
      <c r="BF54" s="666"/>
    </row>
    <row r="55" spans="1:58" s="421" customFormat="1" ht="12.75" x14ac:dyDescent="0.2">
      <c r="A55" s="588">
        <v>4</v>
      </c>
      <c r="B55" s="669" t="s">
        <v>115</v>
      </c>
      <c r="C55" s="591">
        <v>1453468</v>
      </c>
      <c r="D55" s="664"/>
      <c r="E55" s="668"/>
      <c r="G55" s="668"/>
      <c r="H55" s="668"/>
      <c r="I55" s="668"/>
      <c r="J55" s="668"/>
      <c r="K55" s="668"/>
      <c r="L55" s="668"/>
      <c r="M55" s="668"/>
      <c r="N55" s="668"/>
      <c r="O55" s="668"/>
      <c r="P55" s="668"/>
      <c r="Q55" s="668"/>
      <c r="R55" s="668"/>
      <c r="S55" s="668"/>
      <c r="T55" s="668"/>
      <c r="U55" s="668"/>
      <c r="V55" s="668"/>
      <c r="W55" s="668"/>
      <c r="X55" s="668"/>
      <c r="Y55" s="668"/>
      <c r="Z55" s="668"/>
      <c r="AA55" s="668"/>
      <c r="AB55" s="668"/>
      <c r="AC55" s="668"/>
      <c r="AD55" s="668"/>
      <c r="AE55" s="668"/>
      <c r="AF55" s="668"/>
      <c r="AG55" s="668"/>
      <c r="AH55" s="668"/>
      <c r="AI55" s="668"/>
      <c r="AJ55" s="668"/>
      <c r="AK55" s="668"/>
      <c r="AL55" s="668"/>
      <c r="AM55" s="668"/>
      <c r="AN55" s="668"/>
      <c r="AO55" s="668"/>
      <c r="AP55" s="668"/>
      <c r="AQ55" s="668"/>
      <c r="AR55" s="485"/>
      <c r="AS55" s="670"/>
      <c r="AT55" s="670"/>
      <c r="AU55" s="670"/>
      <c r="AV55" s="670"/>
      <c r="AW55" s="670"/>
      <c r="AX55" s="670"/>
      <c r="AY55" s="670"/>
      <c r="AZ55" s="670"/>
      <c r="BA55" s="670"/>
      <c r="BB55" s="670"/>
      <c r="BC55" s="670"/>
      <c r="BD55" s="670"/>
      <c r="BE55" s="666"/>
      <c r="BF55" s="666"/>
    </row>
    <row r="56" spans="1:58" s="421" customFormat="1" ht="12.75" x14ac:dyDescent="0.2">
      <c r="A56" s="588">
        <v>5</v>
      </c>
      <c r="B56" s="669" t="s">
        <v>743</v>
      </c>
      <c r="C56" s="591">
        <v>621811</v>
      </c>
      <c r="D56" s="664"/>
      <c r="E56" s="668"/>
      <c r="G56" s="668"/>
      <c r="H56" s="668"/>
      <c r="I56" s="668"/>
      <c r="J56" s="668"/>
      <c r="K56" s="668"/>
      <c r="L56" s="668"/>
      <c r="M56" s="668"/>
      <c r="N56" s="668"/>
      <c r="O56" s="668"/>
      <c r="P56" s="668"/>
      <c r="Q56" s="668"/>
      <c r="R56" s="668"/>
      <c r="S56" s="668"/>
      <c r="T56" s="668"/>
      <c r="U56" s="668"/>
      <c r="V56" s="668"/>
      <c r="W56" s="668"/>
      <c r="X56" s="668"/>
      <c r="Y56" s="668"/>
      <c r="Z56" s="668"/>
      <c r="AA56" s="668"/>
      <c r="AB56" s="668"/>
      <c r="AC56" s="668"/>
      <c r="AD56" s="668"/>
      <c r="AE56" s="668"/>
      <c r="AF56" s="668"/>
      <c r="AG56" s="668"/>
      <c r="AH56" s="668"/>
      <c r="AI56" s="668"/>
      <c r="AJ56" s="668"/>
      <c r="AK56" s="668"/>
      <c r="AL56" s="668"/>
      <c r="AM56" s="668"/>
      <c r="AN56" s="668"/>
      <c r="AO56" s="668"/>
      <c r="AP56" s="668"/>
      <c r="AQ56" s="668"/>
      <c r="AR56" s="485"/>
      <c r="AS56" s="670"/>
      <c r="AT56" s="670"/>
      <c r="AU56" s="670"/>
      <c r="AV56" s="670"/>
      <c r="AW56" s="670"/>
      <c r="AX56" s="670"/>
      <c r="AY56" s="670"/>
      <c r="AZ56" s="670"/>
      <c r="BA56" s="670"/>
      <c r="BB56" s="670"/>
      <c r="BC56" s="670"/>
      <c r="BD56" s="670"/>
      <c r="BE56" s="666"/>
      <c r="BF56" s="666"/>
    </row>
    <row r="57" spans="1:58" s="421" customFormat="1" ht="12.75" x14ac:dyDescent="0.2">
      <c r="A57" s="588">
        <v>6</v>
      </c>
      <c r="B57" s="669" t="s">
        <v>424</v>
      </c>
      <c r="C57" s="591">
        <v>40711</v>
      </c>
      <c r="D57" s="664"/>
      <c r="E57" s="668"/>
      <c r="G57" s="668"/>
      <c r="H57" s="668"/>
      <c r="I57" s="668"/>
      <c r="J57" s="668"/>
      <c r="K57" s="668"/>
      <c r="L57" s="668"/>
      <c r="M57" s="668"/>
      <c r="N57" s="668"/>
      <c r="O57" s="668"/>
      <c r="P57" s="668"/>
      <c r="Q57" s="668"/>
      <c r="R57" s="668"/>
      <c r="S57" s="668"/>
      <c r="T57" s="668"/>
      <c r="U57" s="668"/>
      <c r="V57" s="668"/>
      <c r="W57" s="668"/>
      <c r="X57" s="668"/>
      <c r="Y57" s="668"/>
      <c r="Z57" s="668"/>
      <c r="AA57" s="668"/>
      <c r="AB57" s="668"/>
      <c r="AC57" s="668"/>
      <c r="AD57" s="668"/>
      <c r="AE57" s="668"/>
      <c r="AF57" s="668"/>
      <c r="AG57" s="668"/>
      <c r="AH57" s="668"/>
      <c r="AI57" s="668"/>
      <c r="AJ57" s="668"/>
      <c r="AK57" s="668"/>
      <c r="AL57" s="668"/>
      <c r="AM57" s="668"/>
      <c r="AN57" s="668"/>
      <c r="AO57" s="668"/>
      <c r="AP57" s="668"/>
      <c r="AQ57" s="668"/>
      <c r="AR57" s="485"/>
      <c r="AS57" s="670"/>
      <c r="AT57" s="670"/>
      <c r="AU57" s="670"/>
      <c r="AV57" s="670"/>
      <c r="AW57" s="670"/>
      <c r="AX57" s="670"/>
      <c r="AY57" s="670"/>
      <c r="AZ57" s="670"/>
      <c r="BA57" s="670"/>
      <c r="BB57" s="670"/>
      <c r="BC57" s="670"/>
      <c r="BD57" s="670"/>
      <c r="BE57" s="666"/>
      <c r="BF57" s="666"/>
    </row>
    <row r="58" spans="1:58" s="421" customFormat="1" ht="12.75" x14ac:dyDescent="0.2">
      <c r="A58" s="588">
        <v>7</v>
      </c>
      <c r="B58" s="669" t="s">
        <v>758</v>
      </c>
      <c r="C58" s="591">
        <v>242542</v>
      </c>
      <c r="D58" s="664"/>
      <c r="E58" s="668"/>
      <c r="G58" s="668"/>
      <c r="H58" s="668"/>
      <c r="I58" s="668"/>
      <c r="J58" s="668"/>
      <c r="K58" s="668"/>
      <c r="L58" s="668"/>
      <c r="M58" s="668"/>
      <c r="N58" s="668"/>
      <c r="O58" s="668"/>
      <c r="P58" s="668"/>
      <c r="Q58" s="668"/>
      <c r="R58" s="668"/>
      <c r="S58" s="668"/>
      <c r="T58" s="668"/>
      <c r="U58" s="668"/>
      <c r="V58" s="668"/>
      <c r="W58" s="668"/>
      <c r="X58" s="668"/>
      <c r="Y58" s="668"/>
      <c r="Z58" s="668"/>
      <c r="AA58" s="668"/>
      <c r="AB58" s="668"/>
      <c r="AC58" s="668"/>
      <c r="AD58" s="668"/>
      <c r="AE58" s="668"/>
      <c r="AF58" s="668"/>
      <c r="AG58" s="668"/>
      <c r="AH58" s="668"/>
      <c r="AI58" s="668"/>
      <c r="AJ58" s="668"/>
      <c r="AK58" s="668"/>
      <c r="AL58" s="668"/>
      <c r="AM58" s="668"/>
      <c r="AN58" s="668"/>
      <c r="AO58" s="668"/>
      <c r="AP58" s="668"/>
      <c r="AQ58" s="668"/>
      <c r="AR58" s="485"/>
      <c r="AS58" s="670"/>
      <c r="AT58" s="670"/>
      <c r="AU58" s="670"/>
      <c r="AV58" s="670"/>
      <c r="AW58" s="670"/>
      <c r="AX58" s="670"/>
      <c r="AY58" s="670"/>
      <c r="AZ58" s="670"/>
      <c r="BA58" s="670"/>
      <c r="BB58" s="670"/>
      <c r="BC58" s="670"/>
      <c r="BD58" s="670"/>
      <c r="BE58" s="666"/>
      <c r="BF58" s="666"/>
    </row>
    <row r="59" spans="1:58" s="421" customFormat="1" ht="12.75" x14ac:dyDescent="0.2">
      <c r="A59" s="588"/>
      <c r="B59" s="671" t="s">
        <v>792</v>
      </c>
      <c r="C59" s="593">
        <f>SUM(C53+C54+C57)</f>
        <v>9616861</v>
      </c>
      <c r="D59" s="664"/>
      <c r="E59" s="668"/>
      <c r="G59" s="668"/>
      <c r="H59" s="668"/>
      <c r="I59" s="668"/>
      <c r="J59" s="668"/>
      <c r="K59" s="668"/>
      <c r="L59" s="668"/>
      <c r="M59" s="668"/>
      <c r="N59" s="668"/>
      <c r="O59" s="668"/>
      <c r="P59" s="668"/>
      <c r="Q59" s="668"/>
      <c r="R59" s="668"/>
      <c r="S59" s="668"/>
      <c r="T59" s="668"/>
      <c r="U59" s="668"/>
      <c r="V59" s="668"/>
      <c r="W59" s="668"/>
      <c r="X59" s="668"/>
      <c r="Y59" s="668"/>
      <c r="Z59" s="668"/>
      <c r="AA59" s="668"/>
      <c r="AB59" s="668"/>
      <c r="AC59" s="668"/>
      <c r="AD59" s="668"/>
      <c r="AE59" s="668"/>
      <c r="AF59" s="668"/>
      <c r="AG59" s="668"/>
      <c r="AH59" s="668"/>
      <c r="AI59" s="668"/>
      <c r="AJ59" s="668"/>
      <c r="AK59" s="668"/>
      <c r="AL59" s="668"/>
      <c r="AM59" s="668"/>
      <c r="AN59" s="668"/>
      <c r="AO59" s="668"/>
      <c r="AP59" s="668"/>
      <c r="AQ59" s="668"/>
      <c r="AR59" s="485"/>
      <c r="AS59" s="668"/>
      <c r="AT59" s="668"/>
      <c r="AU59" s="670"/>
      <c r="AV59" s="670"/>
      <c r="AW59" s="670"/>
      <c r="AX59" s="670"/>
      <c r="AY59" s="670"/>
      <c r="AZ59" s="670"/>
      <c r="BA59" s="670"/>
      <c r="BB59" s="670"/>
      <c r="BC59" s="670"/>
      <c r="BD59" s="670"/>
      <c r="BE59" s="666"/>
      <c r="BF59" s="666"/>
    </row>
    <row r="60" spans="1:58" s="421" customFormat="1" ht="12.75" x14ac:dyDescent="0.2">
      <c r="A60" s="588"/>
      <c r="B60" s="671" t="s">
        <v>468</v>
      </c>
      <c r="C60" s="593">
        <f>SUM(C52+C59)</f>
        <v>25845930</v>
      </c>
      <c r="D60" s="664"/>
      <c r="E60" s="668"/>
      <c r="G60" s="668"/>
      <c r="H60" s="668"/>
      <c r="I60" s="668"/>
      <c r="J60" s="668"/>
      <c r="K60" s="668"/>
      <c r="L60" s="668"/>
      <c r="M60" s="668"/>
      <c r="N60" s="668"/>
      <c r="O60" s="668"/>
      <c r="P60" s="668"/>
      <c r="Q60" s="668"/>
      <c r="R60" s="668"/>
      <c r="S60" s="668"/>
      <c r="T60" s="668"/>
      <c r="U60" s="668"/>
      <c r="V60" s="668"/>
      <c r="W60" s="668"/>
      <c r="X60" s="668"/>
      <c r="Y60" s="668"/>
      <c r="Z60" s="668"/>
      <c r="AA60" s="668"/>
      <c r="AB60" s="668"/>
      <c r="AC60" s="668"/>
      <c r="AD60" s="668"/>
      <c r="AE60" s="668"/>
      <c r="AF60" s="668"/>
      <c r="AG60" s="668"/>
      <c r="AH60" s="668"/>
      <c r="AI60" s="668"/>
      <c r="AJ60" s="668"/>
      <c r="AK60" s="668"/>
      <c r="AL60" s="668"/>
      <c r="AM60" s="668"/>
      <c r="AN60" s="668"/>
      <c r="AO60" s="668"/>
      <c r="AP60" s="668"/>
      <c r="AQ60" s="668"/>
      <c r="AR60" s="485"/>
      <c r="AS60" s="668"/>
      <c r="AT60" s="670"/>
      <c r="AU60" s="670"/>
      <c r="AV60" s="670"/>
      <c r="AW60" s="670"/>
      <c r="AX60" s="670"/>
      <c r="AY60" s="670"/>
      <c r="AZ60" s="670"/>
      <c r="BA60" s="670"/>
      <c r="BB60" s="670"/>
      <c r="BC60" s="670"/>
      <c r="BD60" s="670"/>
      <c r="BE60" s="666"/>
      <c r="BF60" s="666"/>
    </row>
    <row r="61" spans="1:58" x14ac:dyDescent="0.2">
      <c r="A61" s="672"/>
      <c r="B61" s="673"/>
      <c r="C61" s="672"/>
    </row>
    <row r="62" spans="1:58" s="421" customFormat="1" ht="12.75" x14ac:dyDescent="0.2">
      <c r="A62" s="584" t="s">
        <v>181</v>
      </c>
      <c r="B62" s="597" t="s">
        <v>654</v>
      </c>
      <c r="C62" s="669"/>
      <c r="D62" s="664"/>
      <c r="E62" s="668"/>
      <c r="G62" s="668"/>
      <c r="H62" s="668"/>
      <c r="I62" s="668"/>
      <c r="J62" s="668"/>
      <c r="K62" s="668"/>
      <c r="L62" s="668"/>
      <c r="M62" s="668"/>
      <c r="N62" s="668"/>
      <c r="O62" s="668"/>
      <c r="P62" s="668"/>
      <c r="Q62" s="668"/>
      <c r="R62" s="668"/>
      <c r="S62" s="668"/>
      <c r="T62" s="668"/>
      <c r="U62" s="668"/>
      <c r="V62" s="668"/>
      <c r="W62" s="668"/>
      <c r="X62" s="668"/>
      <c r="Y62" s="668"/>
      <c r="Z62" s="668"/>
      <c r="AA62" s="668"/>
      <c r="AB62" s="668"/>
      <c r="AC62" s="668"/>
      <c r="AD62" s="668"/>
      <c r="AE62" s="668"/>
      <c r="AF62" s="668"/>
      <c r="AG62" s="668"/>
      <c r="AH62" s="668"/>
      <c r="AI62" s="668"/>
      <c r="AJ62" s="668"/>
      <c r="AK62" s="668"/>
      <c r="AL62" s="668"/>
      <c r="AM62" s="668"/>
      <c r="AN62" s="668"/>
      <c r="AO62" s="668"/>
      <c r="AP62" s="668"/>
      <c r="AQ62" s="668"/>
      <c r="AR62" s="485"/>
      <c r="AS62" s="668"/>
      <c r="AT62" s="668"/>
      <c r="AU62" s="670"/>
      <c r="AV62" s="670"/>
      <c r="AW62" s="670"/>
      <c r="AX62" s="670"/>
      <c r="AY62" s="670"/>
      <c r="AZ62" s="670"/>
      <c r="BA62" s="670"/>
      <c r="BB62" s="670"/>
      <c r="BC62" s="670"/>
      <c r="BD62" s="670"/>
      <c r="BE62" s="666"/>
      <c r="BF62" s="666"/>
    </row>
    <row r="63" spans="1:58" s="421" customFormat="1" ht="12.75" x14ac:dyDescent="0.2">
      <c r="A63" s="588">
        <v>1</v>
      </c>
      <c r="B63" s="669" t="s">
        <v>875</v>
      </c>
      <c r="C63" s="590">
        <f>SUM(C41+C52)</f>
        <v>21315739</v>
      </c>
      <c r="D63" s="664"/>
      <c r="E63" s="668"/>
      <c r="G63" s="668"/>
      <c r="H63" s="668"/>
      <c r="I63" s="668"/>
      <c r="J63" s="668"/>
      <c r="K63" s="668"/>
      <c r="L63" s="668"/>
      <c r="M63" s="668"/>
      <c r="N63" s="668"/>
      <c r="O63" s="668"/>
      <c r="P63" s="668"/>
      <c r="Q63" s="668"/>
      <c r="R63" s="668"/>
      <c r="S63" s="668"/>
      <c r="T63" s="668"/>
      <c r="U63" s="668"/>
      <c r="V63" s="668"/>
      <c r="W63" s="668"/>
      <c r="X63" s="668"/>
      <c r="Y63" s="668"/>
      <c r="Z63" s="668"/>
      <c r="AA63" s="668"/>
      <c r="AB63" s="668"/>
      <c r="AC63" s="668"/>
      <c r="AD63" s="668"/>
      <c r="AE63" s="668"/>
      <c r="AF63" s="668"/>
      <c r="AG63" s="668"/>
      <c r="AH63" s="668"/>
      <c r="AI63" s="668"/>
      <c r="AJ63" s="668"/>
      <c r="AK63" s="668"/>
      <c r="AL63" s="668"/>
      <c r="AM63" s="668"/>
      <c r="AN63" s="668"/>
      <c r="AO63" s="668"/>
      <c r="AP63" s="668"/>
      <c r="AQ63" s="668"/>
      <c r="AR63" s="485"/>
      <c r="AS63" s="668"/>
      <c r="AT63" s="668"/>
      <c r="AU63" s="668"/>
      <c r="AV63" s="670"/>
      <c r="AW63" s="670"/>
      <c r="AX63" s="670"/>
      <c r="AY63" s="670"/>
      <c r="AZ63" s="670"/>
      <c r="BA63" s="670"/>
      <c r="BB63" s="670"/>
      <c r="BC63" s="670"/>
      <c r="BD63" s="670"/>
      <c r="BE63" s="666"/>
      <c r="BF63" s="666"/>
    </row>
    <row r="64" spans="1:58" s="421" customFormat="1" ht="12.75" x14ac:dyDescent="0.2">
      <c r="A64" s="588">
        <v>2</v>
      </c>
      <c r="B64" s="669" t="s">
        <v>876</v>
      </c>
      <c r="C64" s="594">
        <f>SUM(C48+C59)</f>
        <v>28017147</v>
      </c>
      <c r="D64" s="664"/>
      <c r="E64" s="668"/>
      <c r="G64" s="668"/>
      <c r="H64" s="668"/>
      <c r="I64" s="668"/>
      <c r="J64" s="668"/>
      <c r="K64" s="668"/>
      <c r="L64" s="668"/>
      <c r="M64" s="668"/>
      <c r="N64" s="668"/>
      <c r="O64" s="668"/>
      <c r="P64" s="668"/>
      <c r="Q64" s="668"/>
      <c r="R64" s="668"/>
      <c r="S64" s="668"/>
      <c r="T64" s="668"/>
      <c r="U64" s="668"/>
      <c r="V64" s="668"/>
      <c r="W64" s="668"/>
      <c r="X64" s="668"/>
      <c r="Y64" s="668"/>
      <c r="Z64" s="668"/>
      <c r="AA64" s="668"/>
      <c r="AB64" s="668"/>
      <c r="AC64" s="668"/>
      <c r="AD64" s="668"/>
      <c r="AE64" s="668"/>
      <c r="AF64" s="668"/>
      <c r="AG64" s="668"/>
      <c r="AH64" s="668"/>
      <c r="AI64" s="668"/>
      <c r="AJ64" s="668"/>
      <c r="AK64" s="668"/>
      <c r="AL64" s="668"/>
      <c r="AM64" s="668"/>
      <c r="AN64" s="668"/>
      <c r="AO64" s="668"/>
      <c r="AP64" s="668"/>
      <c r="AQ64" s="668"/>
      <c r="AR64" s="485"/>
      <c r="AS64" s="668"/>
      <c r="AT64" s="668"/>
      <c r="AU64" s="670"/>
      <c r="AV64" s="670"/>
      <c r="AW64" s="670"/>
      <c r="AX64" s="670"/>
      <c r="AY64" s="670"/>
      <c r="AZ64" s="670"/>
      <c r="BA64" s="670"/>
      <c r="BB64" s="670"/>
      <c r="BC64" s="670"/>
      <c r="BD64" s="670"/>
      <c r="BE64" s="666"/>
      <c r="BF64" s="666"/>
    </row>
    <row r="65" spans="1:58" s="421" customFormat="1" ht="12.75" x14ac:dyDescent="0.2">
      <c r="A65" s="588"/>
      <c r="B65" s="671" t="s">
        <v>654</v>
      </c>
      <c r="C65" s="593">
        <f>SUM(+C63+C64)</f>
        <v>49332886</v>
      </c>
      <c r="D65" s="664"/>
      <c r="E65" s="668"/>
      <c r="F65" s="668"/>
      <c r="G65" s="668"/>
      <c r="H65" s="668"/>
      <c r="I65" s="668"/>
      <c r="J65" s="668"/>
      <c r="K65" s="668"/>
      <c r="L65" s="668"/>
      <c r="M65" s="668"/>
      <c r="N65" s="668"/>
      <c r="O65" s="668"/>
      <c r="P65" s="668"/>
      <c r="Q65" s="668"/>
      <c r="R65" s="668"/>
      <c r="S65" s="668"/>
      <c r="T65" s="668"/>
      <c r="U65" s="668"/>
      <c r="V65" s="668"/>
      <c r="W65" s="668"/>
      <c r="X65" s="668"/>
      <c r="Y65" s="668"/>
      <c r="Z65" s="668"/>
      <c r="AA65" s="668"/>
      <c r="AB65" s="668"/>
      <c r="AC65" s="668"/>
      <c r="AD65" s="668"/>
      <c r="AE65" s="668"/>
      <c r="AF65" s="668"/>
      <c r="AG65" s="668"/>
      <c r="AH65" s="668"/>
      <c r="AI65" s="668"/>
      <c r="AJ65" s="668"/>
      <c r="AK65" s="668"/>
      <c r="AL65" s="668"/>
      <c r="AM65" s="668"/>
      <c r="AN65" s="668"/>
      <c r="AO65" s="668"/>
      <c r="AP65" s="668"/>
      <c r="AQ65" s="668"/>
      <c r="AR65" s="485"/>
      <c r="AS65" s="668"/>
      <c r="AT65" s="668"/>
      <c r="AU65" s="668"/>
      <c r="AV65" s="668"/>
      <c r="AW65" s="668"/>
      <c r="AX65" s="668"/>
      <c r="AY65" s="668"/>
      <c r="AZ65" s="668"/>
      <c r="BA65" s="668"/>
      <c r="BB65" s="668"/>
      <c r="BC65" s="668"/>
      <c r="BD65" s="668"/>
      <c r="BE65" s="668"/>
      <c r="BF65" s="668"/>
    </row>
    <row r="66" spans="1:58" s="421" customFormat="1" ht="12.75" x14ac:dyDescent="0.2">
      <c r="A66" s="588"/>
      <c r="B66" s="671"/>
      <c r="C66" s="593"/>
      <c r="D66" s="664"/>
      <c r="E66" s="668"/>
      <c r="F66" s="668"/>
      <c r="G66" s="668"/>
      <c r="H66" s="668"/>
      <c r="I66" s="668"/>
      <c r="J66" s="668"/>
      <c r="K66" s="668"/>
      <c r="L66" s="668"/>
      <c r="M66" s="668"/>
      <c r="N66" s="668"/>
      <c r="O66" s="668"/>
      <c r="P66" s="668"/>
      <c r="Q66" s="668"/>
      <c r="R66" s="668"/>
      <c r="S66" s="668"/>
      <c r="T66" s="668"/>
      <c r="U66" s="668"/>
      <c r="V66" s="668"/>
      <c r="W66" s="668"/>
      <c r="X66" s="668"/>
      <c r="Y66" s="668"/>
      <c r="Z66" s="668"/>
      <c r="AA66" s="668"/>
      <c r="AB66" s="668"/>
      <c r="AC66" s="668"/>
      <c r="AD66" s="668"/>
      <c r="AE66" s="668"/>
      <c r="AF66" s="668"/>
      <c r="AG66" s="668"/>
      <c r="AH66" s="668"/>
      <c r="AI66" s="668"/>
      <c r="AJ66" s="668"/>
      <c r="AK66" s="668"/>
      <c r="AL66" s="668"/>
      <c r="AM66" s="668"/>
      <c r="AN66" s="668"/>
      <c r="AO66" s="668"/>
      <c r="AP66" s="668"/>
      <c r="AQ66" s="668"/>
      <c r="AR66" s="485"/>
      <c r="AS66" s="668"/>
      <c r="AT66" s="668"/>
      <c r="AU66" s="668"/>
      <c r="AV66" s="668"/>
      <c r="AW66" s="668"/>
      <c r="AX66" s="668"/>
      <c r="AY66" s="668"/>
      <c r="AZ66" s="668"/>
      <c r="BA66" s="668"/>
      <c r="BB66" s="668"/>
      <c r="BC66" s="668"/>
      <c r="BD66" s="668"/>
      <c r="BE66" s="668"/>
      <c r="BF66" s="668"/>
    </row>
    <row r="67" spans="1:58" s="421" customFormat="1" ht="15.75" customHeight="1" x14ac:dyDescent="0.25">
      <c r="A67" s="423" t="s">
        <v>44</v>
      </c>
      <c r="B67" s="579" t="s">
        <v>877</v>
      </c>
      <c r="C67" s="570"/>
      <c r="D67" s="664"/>
      <c r="E67" s="677"/>
      <c r="F67" s="677"/>
      <c r="G67" s="677"/>
      <c r="H67" s="677"/>
      <c r="I67" s="677"/>
      <c r="J67" s="677"/>
      <c r="K67" s="677"/>
      <c r="L67" s="677"/>
      <c r="M67" s="677"/>
      <c r="N67" s="677"/>
      <c r="O67" s="677"/>
      <c r="P67" s="677"/>
      <c r="Q67" s="666"/>
      <c r="R67" s="666"/>
      <c r="S67" s="666"/>
      <c r="T67" s="666"/>
      <c r="U67" s="666"/>
      <c r="V67" s="666"/>
      <c r="W67" s="666"/>
      <c r="X67" s="666"/>
      <c r="Y67" s="666"/>
      <c r="Z67" s="666"/>
      <c r="AA67" s="666"/>
      <c r="AB67" s="666"/>
      <c r="AC67" s="666"/>
      <c r="AD67" s="666"/>
      <c r="AE67" s="666"/>
      <c r="AF67" s="666"/>
      <c r="AG67" s="666"/>
      <c r="AH67" s="666"/>
      <c r="AI67" s="666"/>
      <c r="AJ67" s="666"/>
      <c r="AK67" s="666"/>
      <c r="AL67" s="666"/>
      <c r="AM67" s="666"/>
      <c r="AN67" s="666"/>
      <c r="AO67" s="666"/>
      <c r="AP67" s="666"/>
      <c r="AQ67" s="666"/>
      <c r="AR67" s="485"/>
      <c r="AS67" s="666"/>
      <c r="AT67" s="666"/>
      <c r="AU67" s="666"/>
      <c r="AV67" s="666"/>
      <c r="AW67" s="666"/>
      <c r="AX67" s="666"/>
      <c r="AY67" s="666"/>
      <c r="AZ67" s="666"/>
      <c r="BA67" s="666"/>
      <c r="BB67" s="666"/>
      <c r="BC67" s="666"/>
      <c r="BD67" s="666"/>
      <c r="BE67" s="666"/>
      <c r="BF67" s="666"/>
    </row>
    <row r="68" spans="1:58" s="421" customFormat="1" ht="12.75" x14ac:dyDescent="0.2">
      <c r="A68" s="669"/>
      <c r="B68" s="669"/>
      <c r="C68" s="425"/>
      <c r="D68" s="664"/>
      <c r="E68" s="668"/>
      <c r="F68" s="668"/>
      <c r="G68" s="668"/>
      <c r="H68" s="668"/>
      <c r="I68" s="668"/>
      <c r="J68" s="668"/>
      <c r="K68" s="668"/>
      <c r="L68" s="668"/>
      <c r="M68" s="668"/>
      <c r="N68" s="668"/>
      <c r="O68" s="668"/>
      <c r="P68" s="668"/>
      <c r="Q68" s="668"/>
      <c r="R68" s="668"/>
      <c r="S68" s="668"/>
      <c r="T68" s="668"/>
      <c r="U68" s="668"/>
      <c r="V68" s="668"/>
      <c r="W68" s="668"/>
      <c r="X68" s="668"/>
      <c r="Y68" s="668"/>
      <c r="Z68" s="668"/>
      <c r="AA68" s="668"/>
      <c r="AB68" s="668"/>
      <c r="AC68" s="668"/>
      <c r="AD68" s="668"/>
      <c r="AE68" s="668"/>
      <c r="AF68" s="668"/>
      <c r="AG68" s="668"/>
      <c r="AH68" s="668"/>
      <c r="AI68" s="668"/>
      <c r="AJ68" s="668"/>
      <c r="AK68" s="668"/>
      <c r="AL68" s="668"/>
      <c r="AM68" s="668"/>
      <c r="AN68" s="668"/>
      <c r="AO68" s="668"/>
      <c r="AP68" s="668"/>
      <c r="AQ68" s="668"/>
      <c r="AR68" s="485"/>
      <c r="AS68" s="668"/>
      <c r="AT68" s="668"/>
      <c r="AU68" s="668"/>
      <c r="AV68" s="668"/>
      <c r="AW68" s="668"/>
      <c r="AX68" s="668"/>
      <c r="AY68" s="668"/>
      <c r="AZ68" s="668"/>
      <c r="BA68" s="668"/>
      <c r="BB68" s="668"/>
      <c r="BC68" s="668"/>
      <c r="BD68" s="668"/>
      <c r="BE68" s="668"/>
      <c r="BF68" s="668"/>
    </row>
    <row r="69" spans="1:58" s="421" customFormat="1" ht="12.75" x14ac:dyDescent="0.2">
      <c r="A69" s="584" t="s">
        <v>14</v>
      </c>
      <c r="B69" s="585" t="s">
        <v>878</v>
      </c>
      <c r="C69" s="429"/>
      <c r="D69" s="664"/>
      <c r="E69" s="668"/>
      <c r="G69" s="668"/>
      <c r="H69" s="668"/>
      <c r="I69" s="668"/>
      <c r="J69" s="668"/>
      <c r="K69" s="668"/>
      <c r="L69" s="668"/>
      <c r="M69" s="668"/>
      <c r="N69" s="668"/>
      <c r="O69" s="668"/>
      <c r="P69" s="668"/>
      <c r="Q69" s="668"/>
      <c r="R69" s="668"/>
      <c r="S69" s="668"/>
      <c r="T69" s="668"/>
      <c r="U69" s="668"/>
      <c r="V69" s="668"/>
      <c r="W69" s="668"/>
      <c r="X69" s="668"/>
      <c r="Y69" s="668"/>
      <c r="Z69" s="668"/>
      <c r="AA69" s="668"/>
      <c r="AB69" s="668"/>
      <c r="AC69" s="668"/>
      <c r="AD69" s="668"/>
      <c r="AE69" s="668"/>
      <c r="AF69" s="668"/>
      <c r="AG69" s="668"/>
      <c r="AH69" s="668"/>
      <c r="AI69" s="668"/>
      <c r="AJ69" s="668"/>
      <c r="AK69" s="668"/>
      <c r="AL69" s="668"/>
      <c r="AM69" s="668"/>
      <c r="AN69" s="668"/>
      <c r="AO69" s="668"/>
      <c r="AP69" s="668"/>
      <c r="AQ69" s="668"/>
      <c r="AR69" s="485"/>
      <c r="AS69" s="678"/>
      <c r="AT69" s="678"/>
      <c r="AU69" s="678"/>
      <c r="AV69" s="678"/>
      <c r="AW69" s="678"/>
      <c r="AX69" s="678"/>
      <c r="AY69" s="678"/>
      <c r="AZ69" s="678"/>
      <c r="BA69" s="678"/>
      <c r="BB69" s="678"/>
      <c r="BC69" s="678"/>
      <c r="BD69" s="678"/>
      <c r="BE69" s="666"/>
      <c r="BF69" s="666"/>
    </row>
    <row r="70" spans="1:58" s="421" customFormat="1" ht="12.75" x14ac:dyDescent="0.2">
      <c r="A70" s="588">
        <v>1</v>
      </c>
      <c r="B70" s="669" t="s">
        <v>656</v>
      </c>
      <c r="C70" s="606">
        <v>703</v>
      </c>
      <c r="D70" s="664"/>
      <c r="E70" s="668"/>
      <c r="G70" s="668"/>
      <c r="H70" s="668"/>
      <c r="I70" s="668"/>
      <c r="J70" s="668"/>
      <c r="K70" s="668"/>
      <c r="L70" s="668"/>
      <c r="M70" s="668"/>
      <c r="N70" s="668"/>
      <c r="O70" s="668"/>
      <c r="P70" s="668"/>
      <c r="Q70" s="668"/>
      <c r="R70" s="668"/>
      <c r="S70" s="668"/>
      <c r="T70" s="668"/>
      <c r="U70" s="668"/>
      <c r="V70" s="668"/>
      <c r="W70" s="668"/>
      <c r="X70" s="668"/>
      <c r="Y70" s="668"/>
      <c r="Z70" s="668"/>
      <c r="AA70" s="668"/>
      <c r="AB70" s="668"/>
      <c r="AC70" s="668"/>
      <c r="AD70" s="668"/>
      <c r="AE70" s="668"/>
      <c r="AF70" s="668"/>
      <c r="AG70" s="668"/>
      <c r="AH70" s="668"/>
      <c r="AI70" s="668"/>
      <c r="AJ70" s="668"/>
      <c r="AK70" s="668"/>
      <c r="AL70" s="668"/>
      <c r="AM70" s="668"/>
      <c r="AN70" s="668"/>
      <c r="AO70" s="668"/>
      <c r="AP70" s="668"/>
      <c r="AQ70" s="668"/>
      <c r="AR70" s="485"/>
      <c r="AS70" s="678"/>
      <c r="AT70" s="678"/>
      <c r="AU70" s="678"/>
      <c r="AV70" s="678"/>
      <c r="AW70" s="678"/>
      <c r="AX70" s="678"/>
      <c r="AY70" s="678"/>
      <c r="AZ70" s="678"/>
      <c r="BA70" s="678"/>
      <c r="BB70" s="678"/>
      <c r="BC70" s="678"/>
      <c r="BD70" s="678"/>
      <c r="BE70" s="666"/>
      <c r="BF70" s="666"/>
    </row>
    <row r="71" spans="1:58" s="421" customFormat="1" ht="12.75" x14ac:dyDescent="0.2">
      <c r="A71" s="588">
        <v>2</v>
      </c>
      <c r="B71" s="669" t="s">
        <v>635</v>
      </c>
      <c r="C71" s="606">
        <v>1461</v>
      </c>
      <c r="D71" s="664"/>
      <c r="E71" s="668"/>
      <c r="G71" s="668"/>
      <c r="H71" s="668"/>
      <c r="I71" s="668"/>
      <c r="J71" s="668"/>
      <c r="K71" s="668"/>
      <c r="L71" s="668"/>
      <c r="M71" s="668"/>
      <c r="N71" s="668"/>
      <c r="O71" s="668"/>
      <c r="P71" s="668"/>
      <c r="Q71" s="668"/>
      <c r="R71" s="668"/>
      <c r="S71" s="668"/>
      <c r="T71" s="668"/>
      <c r="U71" s="668"/>
      <c r="V71" s="668"/>
      <c r="W71" s="668"/>
      <c r="X71" s="668"/>
      <c r="Y71" s="668"/>
      <c r="Z71" s="668"/>
      <c r="AA71" s="668"/>
      <c r="AB71" s="668"/>
      <c r="AC71" s="668"/>
      <c r="AD71" s="668"/>
      <c r="AE71" s="668"/>
      <c r="AF71" s="668"/>
      <c r="AG71" s="668"/>
      <c r="AH71" s="668"/>
      <c r="AI71" s="668"/>
      <c r="AJ71" s="668"/>
      <c r="AK71" s="668"/>
      <c r="AL71" s="668"/>
      <c r="AM71" s="668"/>
      <c r="AN71" s="668"/>
      <c r="AO71" s="668"/>
      <c r="AP71" s="668"/>
      <c r="AQ71" s="668"/>
      <c r="AR71" s="485"/>
      <c r="AS71" s="678"/>
      <c r="AT71" s="678"/>
      <c r="AU71" s="678"/>
      <c r="AV71" s="678"/>
      <c r="AW71" s="678"/>
      <c r="AX71" s="678"/>
      <c r="AY71" s="678"/>
      <c r="AZ71" s="678"/>
      <c r="BA71" s="678"/>
      <c r="BB71" s="678"/>
      <c r="BC71" s="678"/>
      <c r="BD71" s="678"/>
      <c r="BE71" s="666"/>
      <c r="BF71" s="666"/>
    </row>
    <row r="72" spans="1:58" s="421" customFormat="1" ht="12.75" x14ac:dyDescent="0.2">
      <c r="A72" s="588">
        <v>3</v>
      </c>
      <c r="B72" s="669" t="s">
        <v>777</v>
      </c>
      <c r="C72" s="606">
        <v>447</v>
      </c>
      <c r="D72" s="664"/>
      <c r="E72" s="668"/>
      <c r="G72" s="668"/>
      <c r="H72" s="668"/>
      <c r="I72" s="668"/>
      <c r="J72" s="668"/>
      <c r="K72" s="668"/>
      <c r="L72" s="668"/>
      <c r="M72" s="668"/>
      <c r="N72" s="668"/>
      <c r="O72" s="668"/>
      <c r="P72" s="668"/>
      <c r="Q72" s="668"/>
      <c r="R72" s="668"/>
      <c r="S72" s="668"/>
      <c r="T72" s="668"/>
      <c r="U72" s="668"/>
      <c r="V72" s="668"/>
      <c r="W72" s="668"/>
      <c r="X72" s="668"/>
      <c r="Y72" s="668"/>
      <c r="Z72" s="668"/>
      <c r="AA72" s="668"/>
      <c r="AB72" s="668"/>
      <c r="AC72" s="668"/>
      <c r="AD72" s="668"/>
      <c r="AE72" s="668"/>
      <c r="AF72" s="668"/>
      <c r="AG72" s="668"/>
      <c r="AH72" s="668"/>
      <c r="AI72" s="668"/>
      <c r="AJ72" s="668"/>
      <c r="AK72" s="668"/>
      <c r="AL72" s="668"/>
      <c r="AM72" s="668"/>
      <c r="AN72" s="668"/>
      <c r="AO72" s="668"/>
      <c r="AP72" s="668"/>
      <c r="AQ72" s="668"/>
      <c r="AR72" s="485"/>
      <c r="AS72" s="679"/>
      <c r="AT72" s="679"/>
      <c r="AU72" s="679"/>
      <c r="AV72" s="679"/>
      <c r="AW72" s="679"/>
      <c r="AX72" s="679"/>
      <c r="AY72" s="679"/>
      <c r="AZ72" s="679"/>
      <c r="BA72" s="679"/>
      <c r="BB72" s="679"/>
      <c r="BC72" s="679"/>
      <c r="BD72" s="679"/>
      <c r="BE72" s="666"/>
      <c r="BF72" s="666"/>
    </row>
    <row r="73" spans="1:58" s="421" customFormat="1" ht="12.75" x14ac:dyDescent="0.2">
      <c r="A73" s="588">
        <v>4</v>
      </c>
      <c r="B73" s="669" t="s">
        <v>115</v>
      </c>
      <c r="C73" s="606">
        <v>235</v>
      </c>
      <c r="D73" s="664"/>
      <c r="E73" s="668"/>
      <c r="G73" s="668"/>
      <c r="H73" s="668"/>
      <c r="I73" s="668"/>
      <c r="J73" s="668"/>
      <c r="K73" s="668"/>
      <c r="L73" s="668"/>
      <c r="M73" s="668"/>
      <c r="N73" s="668"/>
      <c r="O73" s="668"/>
      <c r="P73" s="668"/>
      <c r="Q73" s="668"/>
      <c r="R73" s="668"/>
      <c r="S73" s="668"/>
      <c r="T73" s="668"/>
      <c r="U73" s="668"/>
      <c r="V73" s="668"/>
      <c r="W73" s="668"/>
      <c r="X73" s="668"/>
      <c r="Y73" s="668"/>
      <c r="Z73" s="668"/>
      <c r="AA73" s="668"/>
      <c r="AB73" s="668"/>
      <c r="AC73" s="668"/>
      <c r="AD73" s="668"/>
      <c r="AE73" s="668"/>
      <c r="AF73" s="668"/>
      <c r="AG73" s="668"/>
      <c r="AH73" s="668"/>
      <c r="AI73" s="668"/>
      <c r="AJ73" s="668"/>
      <c r="AK73" s="668"/>
      <c r="AL73" s="668"/>
      <c r="AM73" s="668"/>
      <c r="AN73" s="668"/>
      <c r="AO73" s="668"/>
      <c r="AP73" s="668"/>
      <c r="AQ73" s="668"/>
      <c r="AR73" s="485"/>
      <c r="AS73" s="679"/>
      <c r="AT73" s="679"/>
      <c r="AU73" s="679"/>
      <c r="AV73" s="679"/>
      <c r="AW73" s="679"/>
      <c r="AX73" s="679"/>
      <c r="AY73" s="679"/>
      <c r="AZ73" s="679"/>
      <c r="BA73" s="679"/>
      <c r="BB73" s="679"/>
      <c r="BC73" s="679"/>
      <c r="BD73" s="679"/>
      <c r="BE73" s="666"/>
      <c r="BF73" s="666"/>
    </row>
    <row r="74" spans="1:58" s="421" customFormat="1" ht="12.75" x14ac:dyDescent="0.2">
      <c r="A74" s="588">
        <v>5</v>
      </c>
      <c r="B74" s="669" t="s">
        <v>743</v>
      </c>
      <c r="C74" s="606">
        <v>212</v>
      </c>
      <c r="D74" s="664"/>
      <c r="E74" s="668"/>
      <c r="G74" s="668"/>
      <c r="H74" s="668"/>
      <c r="I74" s="668"/>
      <c r="J74" s="668"/>
      <c r="K74" s="668"/>
      <c r="L74" s="668"/>
      <c r="M74" s="668"/>
      <c r="N74" s="668"/>
      <c r="O74" s="668"/>
      <c r="P74" s="668"/>
      <c r="Q74" s="668"/>
      <c r="R74" s="668"/>
      <c r="S74" s="668"/>
      <c r="T74" s="668"/>
      <c r="U74" s="668"/>
      <c r="V74" s="668"/>
      <c r="W74" s="668"/>
      <c r="X74" s="668"/>
      <c r="Y74" s="668"/>
      <c r="Z74" s="668"/>
      <c r="AA74" s="668"/>
      <c r="AB74" s="668"/>
      <c r="AC74" s="668"/>
      <c r="AD74" s="668"/>
      <c r="AE74" s="668"/>
      <c r="AF74" s="668"/>
      <c r="AG74" s="668"/>
      <c r="AH74" s="668"/>
      <c r="AI74" s="668"/>
      <c r="AJ74" s="668"/>
      <c r="AK74" s="668"/>
      <c r="AL74" s="668"/>
      <c r="AM74" s="668"/>
      <c r="AN74" s="668"/>
      <c r="AO74" s="668"/>
      <c r="AP74" s="668"/>
      <c r="AQ74" s="668"/>
      <c r="AR74" s="485"/>
      <c r="AS74" s="679"/>
      <c r="AT74" s="679"/>
      <c r="AU74" s="679"/>
      <c r="AV74" s="679"/>
      <c r="AW74" s="679"/>
      <c r="AX74" s="679"/>
      <c r="AY74" s="679"/>
      <c r="AZ74" s="679"/>
      <c r="BA74" s="679"/>
      <c r="BB74" s="679"/>
      <c r="BC74" s="679"/>
      <c r="BD74" s="679"/>
      <c r="BE74" s="666"/>
      <c r="BF74" s="666"/>
    </row>
    <row r="75" spans="1:58" s="421" customFormat="1" ht="12.75" x14ac:dyDescent="0.2">
      <c r="A75" s="588">
        <v>6</v>
      </c>
      <c r="B75" s="669" t="s">
        <v>424</v>
      </c>
      <c r="C75" s="621">
        <v>5</v>
      </c>
      <c r="D75" s="664"/>
      <c r="E75" s="668"/>
      <c r="G75" s="668"/>
      <c r="H75" s="668"/>
      <c r="I75" s="668"/>
      <c r="J75" s="668"/>
      <c r="K75" s="668"/>
      <c r="L75" s="668"/>
      <c r="M75" s="668"/>
      <c r="N75" s="668"/>
      <c r="O75" s="668"/>
      <c r="P75" s="668"/>
      <c r="Q75" s="668"/>
      <c r="R75" s="668"/>
      <c r="S75" s="668"/>
      <c r="T75" s="668"/>
      <c r="U75" s="668"/>
      <c r="V75" s="668"/>
      <c r="W75" s="668"/>
      <c r="X75" s="668"/>
      <c r="Y75" s="668"/>
      <c r="Z75" s="668"/>
      <c r="AA75" s="668"/>
      <c r="AB75" s="668"/>
      <c r="AC75" s="668"/>
      <c r="AD75" s="668"/>
      <c r="AE75" s="668"/>
      <c r="AF75" s="668"/>
      <c r="AG75" s="668"/>
      <c r="AH75" s="668"/>
      <c r="AI75" s="668"/>
      <c r="AJ75" s="668"/>
      <c r="AK75" s="668"/>
      <c r="AL75" s="668"/>
      <c r="AM75" s="668"/>
      <c r="AN75" s="668"/>
      <c r="AO75" s="668"/>
      <c r="AP75" s="668"/>
      <c r="AQ75" s="668"/>
      <c r="AR75" s="485"/>
      <c r="AS75" s="668"/>
      <c r="AT75" s="668"/>
      <c r="AU75" s="668"/>
      <c r="AV75" s="668"/>
      <c r="AW75" s="679"/>
      <c r="AX75" s="679"/>
      <c r="AY75" s="679"/>
      <c r="AZ75" s="679"/>
      <c r="BA75" s="679"/>
      <c r="BB75" s="679"/>
      <c r="BC75" s="679"/>
      <c r="BD75" s="679"/>
      <c r="BE75" s="666"/>
      <c r="BF75" s="666"/>
    </row>
    <row r="76" spans="1:58" s="421" customFormat="1" ht="12.75" x14ac:dyDescent="0.2">
      <c r="A76" s="588">
        <v>7</v>
      </c>
      <c r="B76" s="669" t="s">
        <v>758</v>
      </c>
      <c r="C76" s="621">
        <v>40</v>
      </c>
      <c r="D76" s="664"/>
      <c r="E76" s="668"/>
      <c r="G76" s="668"/>
      <c r="H76" s="668"/>
      <c r="I76" s="668"/>
      <c r="J76" s="668"/>
      <c r="K76" s="668"/>
      <c r="L76" s="668"/>
      <c r="M76" s="668"/>
      <c r="N76" s="668"/>
      <c r="O76" s="668"/>
      <c r="P76" s="668"/>
      <c r="Q76" s="668"/>
      <c r="R76" s="668"/>
      <c r="S76" s="668"/>
      <c r="T76" s="668"/>
      <c r="U76" s="668"/>
      <c r="V76" s="668"/>
      <c r="W76" s="668"/>
      <c r="X76" s="668"/>
      <c r="Y76" s="668"/>
      <c r="Z76" s="668"/>
      <c r="AA76" s="668"/>
      <c r="AB76" s="668"/>
      <c r="AC76" s="668"/>
      <c r="AD76" s="668"/>
      <c r="AE76" s="668"/>
      <c r="AF76" s="668"/>
      <c r="AG76" s="668"/>
      <c r="AH76" s="668"/>
      <c r="AI76" s="668"/>
      <c r="AJ76" s="668"/>
      <c r="AK76" s="668"/>
      <c r="AL76" s="668"/>
      <c r="AM76" s="668"/>
      <c r="AN76" s="668"/>
      <c r="AO76" s="668"/>
      <c r="AP76" s="668"/>
      <c r="AQ76" s="668"/>
      <c r="AR76" s="485"/>
      <c r="AS76" s="668"/>
      <c r="AT76" s="668"/>
      <c r="AU76" s="678"/>
      <c r="AV76" s="678"/>
      <c r="AW76" s="678"/>
      <c r="AX76" s="678"/>
      <c r="AY76" s="678"/>
      <c r="AZ76" s="678"/>
      <c r="BA76" s="678"/>
      <c r="BB76" s="678"/>
      <c r="BC76" s="678"/>
      <c r="BD76" s="678"/>
      <c r="BE76" s="666"/>
      <c r="BF76" s="666"/>
    </row>
    <row r="77" spans="1:58" s="421" customFormat="1" ht="12.75" x14ac:dyDescent="0.2">
      <c r="A77" s="588"/>
      <c r="B77" s="671" t="s">
        <v>807</v>
      </c>
      <c r="C77" s="608">
        <f>SUM(C71+C72+C75)</f>
        <v>1913</v>
      </c>
      <c r="D77" s="664"/>
      <c r="E77" s="668"/>
      <c r="G77" s="668"/>
      <c r="H77" s="668"/>
      <c r="I77" s="668"/>
      <c r="J77" s="668"/>
      <c r="K77" s="668"/>
      <c r="L77" s="668"/>
      <c r="M77" s="668"/>
      <c r="N77" s="668"/>
      <c r="O77" s="668"/>
      <c r="P77" s="668"/>
      <c r="Q77" s="668"/>
      <c r="R77" s="668"/>
      <c r="S77" s="668"/>
      <c r="T77" s="668"/>
      <c r="U77" s="668"/>
      <c r="V77" s="668"/>
      <c r="W77" s="668"/>
      <c r="X77" s="668"/>
      <c r="Y77" s="668"/>
      <c r="Z77" s="668"/>
      <c r="AA77" s="668"/>
      <c r="AB77" s="668"/>
      <c r="AC77" s="668"/>
      <c r="AD77" s="668"/>
      <c r="AE77" s="668"/>
      <c r="AF77" s="668"/>
      <c r="AG77" s="668"/>
      <c r="AH77" s="668"/>
      <c r="AI77" s="668"/>
      <c r="AJ77" s="668"/>
      <c r="AK77" s="668"/>
      <c r="AL77" s="668"/>
      <c r="AM77" s="668"/>
      <c r="AN77" s="668"/>
      <c r="AO77" s="668"/>
      <c r="AP77" s="668"/>
      <c r="AQ77" s="668"/>
      <c r="AR77" s="485"/>
      <c r="AS77" s="668"/>
      <c r="AT77" s="668"/>
      <c r="AU77" s="678"/>
      <c r="AV77" s="678"/>
      <c r="AW77" s="678"/>
      <c r="AX77" s="678"/>
      <c r="AY77" s="678"/>
      <c r="AZ77" s="678"/>
      <c r="BA77" s="678"/>
      <c r="BB77" s="678"/>
      <c r="BC77" s="678"/>
      <c r="BD77" s="678"/>
      <c r="BE77" s="666"/>
      <c r="BF77" s="666"/>
    </row>
    <row r="78" spans="1:58" s="421" customFormat="1" ht="12.75" x14ac:dyDescent="0.2">
      <c r="A78" s="588"/>
      <c r="B78" s="671" t="s">
        <v>138</v>
      </c>
      <c r="C78" s="680">
        <f>SUM(C70+C77)</f>
        <v>2616</v>
      </c>
      <c r="D78" s="664"/>
      <c r="E78" s="668"/>
      <c r="F78" s="668"/>
      <c r="G78" s="668"/>
      <c r="H78" s="668"/>
      <c r="I78" s="668"/>
      <c r="J78" s="668"/>
      <c r="K78" s="668"/>
      <c r="L78" s="668"/>
      <c r="M78" s="668"/>
      <c r="N78" s="668"/>
      <c r="O78" s="668"/>
      <c r="P78" s="668"/>
      <c r="Q78" s="668"/>
      <c r="R78" s="668"/>
      <c r="S78" s="666"/>
      <c r="T78" s="666"/>
      <c r="U78" s="666"/>
      <c r="V78" s="666"/>
      <c r="W78" s="666"/>
      <c r="X78" s="666"/>
      <c r="Y78" s="666"/>
      <c r="Z78" s="666"/>
      <c r="AA78" s="666"/>
      <c r="AB78" s="666"/>
      <c r="AC78" s="666"/>
      <c r="AD78" s="666"/>
      <c r="AE78" s="666"/>
      <c r="AF78" s="666"/>
      <c r="AG78" s="666"/>
      <c r="AH78" s="666"/>
      <c r="AI78" s="666"/>
      <c r="AJ78" s="666"/>
      <c r="AK78" s="666"/>
      <c r="AL78" s="666"/>
      <c r="AM78" s="666"/>
      <c r="AN78" s="666"/>
      <c r="AO78" s="666"/>
      <c r="AP78" s="666"/>
      <c r="AQ78" s="666"/>
      <c r="AR78" s="485"/>
      <c r="AS78" s="666"/>
      <c r="AT78" s="666"/>
      <c r="AU78" s="666"/>
      <c r="AV78" s="666"/>
      <c r="AW78" s="666"/>
      <c r="AX78" s="666"/>
      <c r="AY78" s="666"/>
      <c r="AZ78" s="666"/>
      <c r="BA78" s="666"/>
      <c r="BB78" s="666"/>
      <c r="BC78" s="666"/>
      <c r="BD78" s="666"/>
      <c r="BE78" s="666"/>
      <c r="BF78" s="666"/>
    </row>
    <row r="79" spans="1:58" s="421" customFormat="1" ht="12.75" x14ac:dyDescent="0.2">
      <c r="A79" s="669"/>
      <c r="B79" s="669"/>
      <c r="C79" s="610"/>
      <c r="D79" s="664"/>
      <c r="E79" s="668"/>
      <c r="F79" s="668"/>
      <c r="G79" s="668"/>
      <c r="H79" s="668"/>
      <c r="I79" s="668"/>
      <c r="J79" s="668"/>
      <c r="K79" s="668"/>
      <c r="L79" s="668"/>
      <c r="M79" s="668"/>
      <c r="N79" s="668"/>
      <c r="O79" s="668"/>
      <c r="P79" s="668"/>
      <c r="Q79" s="668"/>
      <c r="R79" s="668"/>
      <c r="S79" s="668"/>
      <c r="T79" s="668"/>
      <c r="U79" s="668"/>
      <c r="V79" s="668"/>
      <c r="W79" s="668"/>
      <c r="X79" s="668"/>
      <c r="Y79" s="668"/>
      <c r="Z79" s="668"/>
      <c r="AA79" s="668"/>
      <c r="AB79" s="668"/>
      <c r="AC79" s="668"/>
      <c r="AD79" s="668"/>
      <c r="AE79" s="668"/>
      <c r="AF79" s="668"/>
      <c r="AG79" s="668"/>
      <c r="AH79" s="668"/>
      <c r="AI79" s="668"/>
      <c r="AJ79" s="668"/>
      <c r="AK79" s="668"/>
      <c r="AL79" s="668"/>
      <c r="AM79" s="668"/>
      <c r="AN79" s="668"/>
      <c r="AO79" s="668"/>
      <c r="AP79" s="668"/>
      <c r="AQ79" s="668"/>
      <c r="AR79" s="485"/>
      <c r="AS79" s="668"/>
      <c r="AT79" s="668"/>
      <c r="AU79" s="668"/>
      <c r="AV79" s="668"/>
      <c r="AW79" s="668"/>
      <c r="AX79" s="668"/>
      <c r="AY79" s="668"/>
      <c r="AZ79" s="668"/>
      <c r="BA79" s="668"/>
      <c r="BB79" s="668"/>
      <c r="BC79" s="668"/>
      <c r="BD79" s="668"/>
      <c r="BE79" s="668"/>
      <c r="BF79" s="668"/>
    </row>
    <row r="80" spans="1:58" s="421" customFormat="1" ht="12.75" x14ac:dyDescent="0.2">
      <c r="A80" s="584" t="s">
        <v>26</v>
      </c>
      <c r="B80" s="585" t="s">
        <v>811</v>
      </c>
      <c r="C80" s="669"/>
      <c r="D80" s="664"/>
      <c r="E80" s="668"/>
      <c r="F80" s="668"/>
      <c r="G80" s="668"/>
      <c r="L80" s="668"/>
      <c r="M80" s="668"/>
      <c r="N80" s="668"/>
      <c r="O80" s="668"/>
      <c r="P80" s="668"/>
      <c r="Q80" s="668"/>
      <c r="R80" s="668"/>
      <c r="S80" s="668"/>
      <c r="T80" s="668"/>
      <c r="U80" s="668"/>
      <c r="V80" s="668"/>
      <c r="W80" s="668"/>
      <c r="X80" s="668"/>
      <c r="Y80" s="668"/>
      <c r="Z80" s="668"/>
      <c r="AA80" s="668"/>
      <c r="AB80" s="668"/>
      <c r="AC80" s="668"/>
      <c r="AD80" s="668"/>
      <c r="AE80" s="668"/>
      <c r="AF80" s="668"/>
      <c r="AG80" s="668"/>
      <c r="AH80" s="668"/>
      <c r="AI80" s="668"/>
      <c r="AJ80" s="668"/>
      <c r="AK80" s="668"/>
      <c r="AL80" s="668"/>
      <c r="AM80" s="668"/>
      <c r="AN80" s="668"/>
      <c r="AO80" s="668"/>
      <c r="AP80" s="668"/>
      <c r="AQ80" s="668"/>
      <c r="AR80" s="485"/>
      <c r="AS80" s="668"/>
      <c r="AT80" s="668"/>
      <c r="AU80" s="668"/>
      <c r="AV80" s="668"/>
      <c r="AX80" s="679"/>
      <c r="AY80" s="679"/>
      <c r="AZ80" s="679"/>
      <c r="BA80" s="679"/>
      <c r="BB80" s="679"/>
      <c r="BC80" s="679"/>
      <c r="BD80" s="679"/>
      <c r="BE80" s="666"/>
      <c r="BF80" s="666"/>
    </row>
    <row r="81" spans="1:58" s="421" customFormat="1" ht="12.75" x14ac:dyDescent="0.2">
      <c r="A81" s="588">
        <v>1</v>
      </c>
      <c r="B81" s="669" t="s">
        <v>656</v>
      </c>
      <c r="C81" s="617">
        <v>0.92369999999999997</v>
      </c>
      <c r="D81" s="664"/>
      <c r="E81" s="668"/>
      <c r="F81" s="668"/>
      <c r="G81" s="668"/>
      <c r="L81" s="668"/>
      <c r="M81" s="668"/>
      <c r="N81" s="668"/>
      <c r="O81" s="668"/>
      <c r="P81" s="668"/>
      <c r="Q81" s="668"/>
      <c r="R81" s="668"/>
      <c r="S81" s="668"/>
      <c r="T81" s="668"/>
      <c r="U81" s="668"/>
      <c r="V81" s="668"/>
      <c r="W81" s="668"/>
      <c r="X81" s="668"/>
      <c r="Y81" s="668"/>
      <c r="Z81" s="668"/>
      <c r="AA81" s="668"/>
      <c r="AB81" s="668"/>
      <c r="AC81" s="668"/>
      <c r="AD81" s="668"/>
      <c r="AE81" s="668"/>
      <c r="AF81" s="668"/>
      <c r="AG81" s="668"/>
      <c r="AH81" s="668"/>
      <c r="AI81" s="668"/>
      <c r="AJ81" s="668"/>
      <c r="AK81" s="668"/>
      <c r="AL81" s="668"/>
      <c r="AM81" s="668"/>
      <c r="AN81" s="668"/>
      <c r="AO81" s="668"/>
      <c r="AP81" s="668"/>
      <c r="AQ81" s="668"/>
      <c r="AR81" s="485"/>
      <c r="AS81" s="668"/>
      <c r="AT81" s="668"/>
      <c r="AU81" s="668"/>
      <c r="AV81" s="668"/>
      <c r="AX81" s="679"/>
      <c r="AY81" s="679"/>
      <c r="AZ81" s="679"/>
      <c r="BA81" s="679"/>
      <c r="BB81" s="679"/>
      <c r="BC81" s="679"/>
      <c r="BD81" s="679"/>
      <c r="BE81" s="666"/>
      <c r="BF81" s="666"/>
    </row>
    <row r="82" spans="1:58" s="421" customFormat="1" ht="12.75" x14ac:dyDescent="0.2">
      <c r="A82" s="588">
        <v>2</v>
      </c>
      <c r="B82" s="669" t="s">
        <v>635</v>
      </c>
      <c r="C82" s="617">
        <v>1.1961999999999999</v>
      </c>
      <c r="D82" s="664"/>
      <c r="E82" s="668"/>
      <c r="F82" s="668"/>
      <c r="G82" s="668"/>
      <c r="L82" s="668"/>
      <c r="M82" s="668"/>
      <c r="N82" s="668"/>
      <c r="O82" s="668"/>
      <c r="P82" s="668"/>
      <c r="Q82" s="668"/>
      <c r="R82" s="668"/>
      <c r="S82" s="668"/>
      <c r="T82" s="668"/>
      <c r="U82" s="668"/>
      <c r="V82" s="668"/>
      <c r="W82" s="668"/>
      <c r="X82" s="668"/>
      <c r="Y82" s="668"/>
      <c r="Z82" s="668"/>
      <c r="AA82" s="668"/>
      <c r="AB82" s="668"/>
      <c r="AC82" s="668"/>
      <c r="AD82" s="668"/>
      <c r="AE82" s="668"/>
      <c r="AF82" s="668"/>
      <c r="AG82" s="668"/>
      <c r="AH82" s="668"/>
      <c r="AI82" s="668"/>
      <c r="AJ82" s="668"/>
      <c r="AK82" s="668"/>
      <c r="AL82" s="668"/>
      <c r="AM82" s="668"/>
      <c r="AN82" s="668"/>
      <c r="AO82" s="668"/>
      <c r="AP82" s="668"/>
      <c r="AQ82" s="668"/>
      <c r="AR82" s="485"/>
      <c r="AS82" s="668"/>
      <c r="AT82" s="668"/>
      <c r="AU82" s="668"/>
      <c r="AV82" s="668"/>
      <c r="AX82" s="679"/>
      <c r="AY82" s="679"/>
      <c r="AZ82" s="679"/>
      <c r="BA82" s="679"/>
      <c r="BB82" s="679"/>
      <c r="BC82" s="679"/>
      <c r="BD82" s="679"/>
      <c r="BE82" s="666"/>
      <c r="BF82" s="666"/>
    </row>
    <row r="83" spans="1:58" s="421" customFormat="1" ht="12.75" x14ac:dyDescent="0.2">
      <c r="A83" s="588">
        <v>3</v>
      </c>
      <c r="B83" s="669" t="s">
        <v>777</v>
      </c>
      <c r="C83" s="617">
        <f>((C73*C84)+(C74*C85))/(C73+C74)</f>
        <v>0.90741387024608511</v>
      </c>
      <c r="D83" s="664"/>
      <c r="E83" s="668"/>
      <c r="F83" s="668"/>
      <c r="G83" s="668"/>
      <c r="L83" s="668"/>
      <c r="M83" s="668"/>
      <c r="N83" s="668"/>
      <c r="O83" s="668"/>
      <c r="P83" s="668"/>
      <c r="Q83" s="668"/>
      <c r="R83" s="668"/>
      <c r="S83" s="668"/>
      <c r="T83" s="668"/>
      <c r="U83" s="668"/>
      <c r="V83" s="668"/>
      <c r="W83" s="668"/>
      <c r="X83" s="668"/>
      <c r="Y83" s="668"/>
      <c r="Z83" s="668"/>
      <c r="AA83" s="668"/>
      <c r="AB83" s="668"/>
      <c r="AC83" s="668"/>
      <c r="AD83" s="668"/>
      <c r="AE83" s="668"/>
      <c r="AF83" s="668"/>
      <c r="AG83" s="668"/>
      <c r="AH83" s="668"/>
      <c r="AI83" s="668"/>
      <c r="AJ83" s="668"/>
      <c r="AK83" s="668"/>
      <c r="AL83" s="668"/>
      <c r="AM83" s="668"/>
      <c r="AN83" s="668"/>
      <c r="AO83" s="668"/>
      <c r="AP83" s="668"/>
      <c r="AQ83" s="668"/>
      <c r="AR83" s="485"/>
      <c r="AS83" s="668"/>
      <c r="AT83" s="668"/>
      <c r="AU83" s="668"/>
      <c r="AV83" s="668"/>
      <c r="AX83" s="679"/>
      <c r="AY83" s="679"/>
      <c r="AZ83" s="679"/>
      <c r="BA83" s="679"/>
      <c r="BB83" s="679"/>
      <c r="BC83" s="679"/>
      <c r="BD83" s="679"/>
      <c r="BE83" s="666"/>
      <c r="BF83" s="666"/>
    </row>
    <row r="84" spans="1:58" s="421" customFormat="1" ht="12.75" x14ac:dyDescent="0.2">
      <c r="A84" s="588">
        <v>4</v>
      </c>
      <c r="B84" s="669" t="s">
        <v>115</v>
      </c>
      <c r="C84" s="617">
        <v>0.93440000000000001</v>
      </c>
      <c r="D84" s="664"/>
      <c r="E84" s="668"/>
      <c r="F84" s="668"/>
      <c r="G84" s="668"/>
      <c r="L84" s="668"/>
      <c r="M84" s="668"/>
      <c r="N84" s="668"/>
      <c r="O84" s="668"/>
      <c r="P84" s="668"/>
      <c r="Q84" s="668"/>
      <c r="R84" s="668"/>
      <c r="S84" s="668"/>
      <c r="T84" s="668"/>
      <c r="U84" s="668"/>
      <c r="V84" s="668"/>
      <c r="W84" s="668"/>
      <c r="X84" s="668"/>
      <c r="Y84" s="668"/>
      <c r="Z84" s="668"/>
      <c r="AA84" s="668"/>
      <c r="AB84" s="668"/>
      <c r="AC84" s="668"/>
      <c r="AD84" s="668"/>
      <c r="AE84" s="668"/>
      <c r="AF84" s="668"/>
      <c r="AG84" s="668"/>
      <c r="AH84" s="668"/>
      <c r="AI84" s="668"/>
      <c r="AJ84" s="668"/>
      <c r="AK84" s="668"/>
      <c r="AL84" s="668"/>
      <c r="AM84" s="668"/>
      <c r="AN84" s="668"/>
      <c r="AO84" s="668"/>
      <c r="AP84" s="668"/>
      <c r="AQ84" s="668"/>
      <c r="AR84" s="485"/>
      <c r="AS84" s="668"/>
      <c r="AT84" s="668"/>
      <c r="AU84" s="668"/>
      <c r="AV84" s="668"/>
      <c r="AX84" s="679"/>
      <c r="AY84" s="679"/>
      <c r="AZ84" s="679"/>
      <c r="BA84" s="679"/>
      <c r="BB84" s="679"/>
      <c r="BC84" s="679"/>
      <c r="BD84" s="679"/>
      <c r="BE84" s="666"/>
      <c r="BF84" s="666"/>
    </row>
    <row r="85" spans="1:58" s="421" customFormat="1" ht="12.75" x14ac:dyDescent="0.2">
      <c r="A85" s="588">
        <v>5</v>
      </c>
      <c r="B85" s="669" t="s">
        <v>743</v>
      </c>
      <c r="C85" s="617">
        <v>0.87749999999999995</v>
      </c>
      <c r="D85" s="664"/>
      <c r="E85" s="668"/>
      <c r="F85" s="668"/>
      <c r="G85" s="668"/>
      <c r="L85" s="668"/>
      <c r="M85" s="668"/>
      <c r="N85" s="668"/>
      <c r="O85" s="668"/>
      <c r="P85" s="668"/>
      <c r="Q85" s="668"/>
      <c r="R85" s="668"/>
      <c r="S85" s="668"/>
      <c r="T85" s="668"/>
      <c r="U85" s="668"/>
      <c r="V85" s="668"/>
      <c r="W85" s="668"/>
      <c r="X85" s="668"/>
      <c r="Y85" s="668"/>
      <c r="Z85" s="668"/>
      <c r="AA85" s="668"/>
      <c r="AB85" s="668"/>
      <c r="AC85" s="668"/>
      <c r="AD85" s="668"/>
      <c r="AE85" s="668"/>
      <c r="AF85" s="668"/>
      <c r="AG85" s="668"/>
      <c r="AH85" s="668"/>
      <c r="AI85" s="668"/>
      <c r="AJ85" s="668"/>
      <c r="AK85" s="668"/>
      <c r="AL85" s="668"/>
      <c r="AM85" s="668"/>
      <c r="AN85" s="668"/>
      <c r="AO85" s="668"/>
      <c r="AP85" s="668"/>
      <c r="AQ85" s="668"/>
      <c r="AR85" s="485"/>
      <c r="AS85" s="668"/>
      <c r="AT85" s="668"/>
      <c r="AU85" s="668"/>
      <c r="AV85" s="668"/>
      <c r="AX85" s="679"/>
      <c r="AY85" s="679"/>
      <c r="AZ85" s="679"/>
      <c r="BA85" s="679"/>
      <c r="BB85" s="679"/>
      <c r="BC85" s="679"/>
      <c r="BD85" s="679"/>
      <c r="BE85" s="666"/>
      <c r="BF85" s="666"/>
    </row>
    <row r="86" spans="1:58" s="421" customFormat="1" ht="12.75" x14ac:dyDescent="0.2">
      <c r="A86" s="588">
        <v>6</v>
      </c>
      <c r="B86" s="669" t="s">
        <v>424</v>
      </c>
      <c r="C86" s="617">
        <v>0.68859999999999999</v>
      </c>
      <c r="D86" s="664"/>
      <c r="E86" s="668"/>
      <c r="F86" s="668"/>
      <c r="G86" s="668"/>
      <c r="L86" s="668"/>
      <c r="M86" s="668"/>
      <c r="N86" s="668"/>
      <c r="O86" s="668"/>
      <c r="P86" s="668"/>
      <c r="Q86" s="668"/>
      <c r="R86" s="668"/>
      <c r="S86" s="668"/>
      <c r="T86" s="668"/>
      <c r="U86" s="668"/>
      <c r="V86" s="668"/>
      <c r="W86" s="668"/>
      <c r="X86" s="668"/>
      <c r="Y86" s="668"/>
      <c r="Z86" s="668"/>
      <c r="AA86" s="668"/>
      <c r="AB86" s="668"/>
      <c r="AC86" s="668"/>
      <c r="AD86" s="668"/>
      <c r="AE86" s="668"/>
      <c r="AF86" s="668"/>
      <c r="AG86" s="668"/>
      <c r="AH86" s="668"/>
      <c r="AI86" s="668"/>
      <c r="AJ86" s="668"/>
      <c r="AK86" s="668"/>
      <c r="AL86" s="668"/>
      <c r="AM86" s="668"/>
      <c r="AN86" s="668"/>
      <c r="AO86" s="668"/>
      <c r="AP86" s="668"/>
      <c r="AQ86" s="668"/>
      <c r="AR86" s="485"/>
      <c r="AS86" s="668"/>
      <c r="AT86" s="668"/>
      <c r="AU86" s="668"/>
      <c r="AV86" s="668"/>
      <c r="AX86" s="679"/>
      <c r="AY86" s="679"/>
      <c r="AZ86" s="679"/>
      <c r="BA86" s="679"/>
      <c r="BB86" s="679"/>
      <c r="BC86" s="679"/>
      <c r="BD86" s="679"/>
      <c r="BE86" s="666"/>
      <c r="BF86" s="666"/>
    </row>
    <row r="87" spans="1:58" s="421" customFormat="1" ht="12.75" x14ac:dyDescent="0.2">
      <c r="A87" s="588">
        <v>7</v>
      </c>
      <c r="B87" s="669" t="s">
        <v>758</v>
      </c>
      <c r="C87" s="617">
        <v>0.75600000000000001</v>
      </c>
      <c r="D87" s="664"/>
      <c r="E87" s="668"/>
      <c r="F87" s="668"/>
      <c r="G87" s="668"/>
      <c r="L87" s="668"/>
      <c r="M87" s="668"/>
      <c r="N87" s="668"/>
      <c r="O87" s="668"/>
      <c r="P87" s="668"/>
      <c r="Q87" s="668"/>
      <c r="R87" s="668"/>
      <c r="S87" s="668"/>
      <c r="T87" s="668"/>
      <c r="U87" s="668"/>
      <c r="V87" s="668"/>
      <c r="W87" s="668"/>
      <c r="X87" s="668"/>
      <c r="Y87" s="668"/>
      <c r="Z87" s="668"/>
      <c r="AA87" s="668"/>
      <c r="AB87" s="668"/>
      <c r="AC87" s="668"/>
      <c r="AD87" s="668"/>
      <c r="AE87" s="668"/>
      <c r="AF87" s="668"/>
      <c r="AG87" s="668"/>
      <c r="AH87" s="668"/>
      <c r="AI87" s="668"/>
      <c r="AJ87" s="668"/>
      <c r="AK87" s="668"/>
      <c r="AL87" s="668"/>
      <c r="AM87" s="668"/>
      <c r="AN87" s="668"/>
      <c r="AO87" s="668"/>
      <c r="AP87" s="668"/>
      <c r="AQ87" s="668"/>
      <c r="AR87" s="485"/>
      <c r="AS87" s="668"/>
      <c r="AT87" s="668"/>
      <c r="AU87" s="668"/>
      <c r="AV87" s="668"/>
      <c r="AX87" s="679"/>
      <c r="AY87" s="679"/>
      <c r="AZ87" s="679"/>
      <c r="BA87" s="679"/>
      <c r="BB87" s="679"/>
      <c r="BC87" s="679"/>
      <c r="BD87" s="679"/>
      <c r="BE87" s="666"/>
      <c r="BF87" s="666"/>
    </row>
    <row r="88" spans="1:58" s="421" customFormat="1" ht="12.75" x14ac:dyDescent="0.2">
      <c r="A88" s="588"/>
      <c r="B88" s="671" t="s">
        <v>812</v>
      </c>
      <c r="C88" s="619">
        <f>((C71*C82)+(C73*C84)+(C74*C85)+(C75*C86))/(C71+C73+C74+C75)</f>
        <v>1.1273942498693155</v>
      </c>
      <c r="D88" s="664"/>
      <c r="E88" s="668"/>
      <c r="F88" s="668"/>
      <c r="G88" s="668"/>
      <c r="L88" s="668"/>
      <c r="M88" s="668"/>
      <c r="N88" s="668"/>
      <c r="O88" s="668"/>
      <c r="P88" s="668"/>
      <c r="Q88" s="668"/>
      <c r="R88" s="668"/>
      <c r="S88" s="668"/>
      <c r="T88" s="668"/>
      <c r="U88" s="668"/>
      <c r="V88" s="668"/>
      <c r="W88" s="668"/>
      <c r="X88" s="668"/>
      <c r="Y88" s="668"/>
      <c r="Z88" s="668"/>
      <c r="AA88" s="668"/>
      <c r="AB88" s="668"/>
      <c r="AC88" s="668"/>
      <c r="AD88" s="668"/>
      <c r="AE88" s="668"/>
      <c r="AF88" s="668"/>
      <c r="AG88" s="668"/>
      <c r="AH88" s="668"/>
      <c r="AI88" s="668"/>
      <c r="AJ88" s="668"/>
      <c r="AK88" s="668"/>
      <c r="AL88" s="668"/>
      <c r="AM88" s="668"/>
      <c r="AN88" s="668"/>
      <c r="AO88" s="668"/>
      <c r="AP88" s="668"/>
      <c r="AQ88" s="668"/>
      <c r="AR88" s="485"/>
      <c r="AS88" s="668"/>
      <c r="AT88" s="668"/>
      <c r="AU88" s="668"/>
      <c r="AV88" s="668"/>
      <c r="AX88" s="679"/>
      <c r="AY88" s="679"/>
      <c r="AZ88" s="679"/>
      <c r="BA88" s="679"/>
      <c r="BB88" s="679"/>
      <c r="BC88" s="679"/>
      <c r="BD88" s="679"/>
      <c r="BE88" s="666"/>
      <c r="BF88" s="666"/>
    </row>
    <row r="89" spans="1:58" s="421" customFormat="1" ht="12.75" x14ac:dyDescent="0.2">
      <c r="A89" s="588"/>
      <c r="B89" s="671" t="s">
        <v>723</v>
      </c>
      <c r="C89" s="619">
        <f>((C70*C81)+(C71*C82)+(C73*C84)+(C74*C85)+(C75*C86))/(C70+C71+C73+C74+C75)</f>
        <v>1.0726553134556576</v>
      </c>
      <c r="D89" s="664"/>
      <c r="E89" s="668"/>
      <c r="G89" s="668"/>
      <c r="H89" s="668"/>
      <c r="I89" s="668"/>
      <c r="J89" s="668"/>
      <c r="K89" s="668"/>
      <c r="L89" s="668"/>
      <c r="M89" s="668"/>
      <c r="N89" s="668"/>
      <c r="O89" s="668"/>
      <c r="P89" s="668"/>
      <c r="Q89" s="668"/>
      <c r="R89" s="668"/>
      <c r="S89" s="668"/>
      <c r="T89" s="668"/>
      <c r="U89" s="668"/>
      <c r="V89" s="668"/>
      <c r="W89" s="668"/>
      <c r="X89" s="668"/>
      <c r="Y89" s="668"/>
      <c r="Z89" s="668"/>
      <c r="AA89" s="668"/>
      <c r="AB89" s="668"/>
      <c r="AC89" s="668"/>
      <c r="AD89" s="668"/>
      <c r="AE89" s="668"/>
      <c r="AF89" s="668"/>
      <c r="AG89" s="668"/>
      <c r="AH89" s="668"/>
      <c r="AI89" s="668"/>
      <c r="AJ89" s="668"/>
      <c r="AK89" s="668"/>
      <c r="AL89" s="668"/>
      <c r="AM89" s="668"/>
      <c r="AN89" s="668"/>
      <c r="AO89" s="668"/>
      <c r="AP89" s="668"/>
      <c r="AQ89" s="668"/>
      <c r="AR89" s="485"/>
      <c r="AS89" s="670"/>
      <c r="AT89" s="670"/>
      <c r="AU89" s="670"/>
      <c r="AV89" s="670"/>
      <c r="AW89" s="670"/>
      <c r="AX89" s="670"/>
      <c r="AY89" s="670"/>
      <c r="AZ89" s="670"/>
      <c r="BA89" s="670"/>
      <c r="BB89" s="670"/>
      <c r="BC89" s="670"/>
      <c r="BD89" s="670"/>
      <c r="BE89" s="666"/>
      <c r="BF89" s="666"/>
    </row>
    <row r="90" spans="1:58" s="421" customFormat="1" ht="12.75" x14ac:dyDescent="0.2">
      <c r="A90" s="669"/>
      <c r="B90" s="669"/>
      <c r="C90" s="621"/>
      <c r="D90" s="664"/>
      <c r="E90" s="668"/>
      <c r="G90" s="668"/>
      <c r="H90" s="668"/>
      <c r="I90" s="668"/>
      <c r="J90" s="668"/>
      <c r="K90" s="668"/>
      <c r="L90" s="668"/>
      <c r="M90" s="668"/>
      <c r="N90" s="668"/>
      <c r="O90" s="668"/>
      <c r="P90" s="668"/>
      <c r="Q90" s="668"/>
      <c r="R90" s="668"/>
      <c r="S90" s="668"/>
      <c r="T90" s="668"/>
      <c r="U90" s="668"/>
      <c r="V90" s="668"/>
      <c r="W90" s="668"/>
      <c r="X90" s="668"/>
      <c r="Y90" s="668"/>
      <c r="Z90" s="668"/>
      <c r="AA90" s="668"/>
      <c r="AB90" s="668"/>
      <c r="AC90" s="668"/>
      <c r="AD90" s="668"/>
      <c r="AE90" s="668"/>
      <c r="AF90" s="668"/>
      <c r="AG90" s="668"/>
      <c r="AH90" s="668"/>
      <c r="AI90" s="668"/>
      <c r="AJ90" s="668"/>
      <c r="AK90" s="668"/>
      <c r="AL90" s="668"/>
      <c r="AM90" s="668"/>
      <c r="AN90" s="668"/>
      <c r="AO90" s="668"/>
      <c r="AP90" s="668"/>
      <c r="AQ90" s="668"/>
      <c r="AR90" s="485"/>
      <c r="AS90" s="670"/>
      <c r="AT90" s="670"/>
      <c r="AU90" s="670"/>
      <c r="AV90" s="670"/>
      <c r="AW90" s="670"/>
      <c r="AX90" s="670"/>
      <c r="AY90" s="670"/>
      <c r="AZ90" s="670"/>
      <c r="BA90" s="670"/>
      <c r="BB90" s="670"/>
      <c r="BC90" s="670"/>
      <c r="BD90" s="670"/>
      <c r="BE90" s="666"/>
      <c r="BF90" s="666"/>
    </row>
    <row r="91" spans="1:58" s="421" customFormat="1" ht="12.75" x14ac:dyDescent="0.2">
      <c r="A91" s="584" t="s">
        <v>36</v>
      </c>
      <c r="B91" s="585" t="s">
        <v>813</v>
      </c>
      <c r="C91" s="589"/>
      <c r="D91" s="664"/>
      <c r="E91" s="668"/>
      <c r="G91" s="668"/>
      <c r="H91" s="668"/>
      <c r="I91" s="668"/>
      <c r="J91" s="668"/>
      <c r="K91" s="668"/>
      <c r="L91" s="668"/>
      <c r="M91" s="668"/>
      <c r="N91" s="668"/>
      <c r="O91" s="668"/>
      <c r="P91" s="668"/>
      <c r="Q91" s="668"/>
      <c r="R91" s="668"/>
      <c r="S91" s="668"/>
      <c r="T91" s="668"/>
      <c r="U91" s="668"/>
      <c r="V91" s="668"/>
      <c r="W91" s="668"/>
      <c r="X91" s="668"/>
      <c r="Y91" s="668"/>
      <c r="Z91" s="668"/>
      <c r="AA91" s="668"/>
      <c r="AB91" s="668"/>
      <c r="AC91" s="668"/>
      <c r="AD91" s="668"/>
      <c r="AE91" s="668"/>
      <c r="AF91" s="668"/>
      <c r="AG91" s="668"/>
      <c r="AH91" s="668"/>
      <c r="AI91" s="668"/>
      <c r="AJ91" s="668"/>
      <c r="AK91" s="668"/>
      <c r="AL91" s="668"/>
      <c r="AM91" s="668"/>
      <c r="AN91" s="668"/>
      <c r="AO91" s="668"/>
      <c r="AP91" s="668"/>
      <c r="AQ91" s="668"/>
      <c r="AR91" s="485"/>
      <c r="AS91" s="670"/>
      <c r="AT91" s="670"/>
      <c r="AU91" s="670"/>
      <c r="AV91" s="670"/>
      <c r="AW91" s="670"/>
      <c r="AX91" s="670"/>
      <c r="AY91" s="670"/>
      <c r="AZ91" s="670"/>
      <c r="BA91" s="670"/>
      <c r="BB91" s="670"/>
      <c r="BC91" s="670"/>
      <c r="BD91" s="670"/>
      <c r="BE91" s="666"/>
      <c r="BF91" s="666"/>
    </row>
    <row r="92" spans="1:58" s="421" customFormat="1" ht="12.75" x14ac:dyDescent="0.2">
      <c r="A92" s="588">
        <v>1</v>
      </c>
      <c r="B92" s="669" t="s">
        <v>814</v>
      </c>
      <c r="C92" s="589">
        <v>52241943</v>
      </c>
      <c r="D92" s="664"/>
      <c r="E92" s="668"/>
      <c r="G92" s="668"/>
      <c r="H92" s="668"/>
      <c r="I92" s="668"/>
      <c r="J92" s="668"/>
      <c r="K92" s="668"/>
      <c r="L92" s="668"/>
      <c r="M92" s="668"/>
      <c r="N92" s="668"/>
      <c r="O92" s="668"/>
      <c r="P92" s="668"/>
      <c r="Q92" s="668"/>
      <c r="R92" s="668"/>
      <c r="S92" s="668"/>
      <c r="T92" s="668"/>
      <c r="U92" s="668"/>
      <c r="V92" s="668"/>
      <c r="W92" s="668"/>
      <c r="X92" s="668"/>
      <c r="Y92" s="668"/>
      <c r="Z92" s="668"/>
      <c r="AA92" s="668"/>
      <c r="AB92" s="668"/>
      <c r="AC92" s="668"/>
      <c r="AD92" s="668"/>
      <c r="AE92" s="668"/>
      <c r="AF92" s="668"/>
      <c r="AG92" s="668"/>
      <c r="AH92" s="668"/>
      <c r="AI92" s="668"/>
      <c r="AJ92" s="668"/>
      <c r="AK92" s="668"/>
      <c r="AL92" s="668"/>
      <c r="AM92" s="668"/>
      <c r="AN92" s="668"/>
      <c r="AO92" s="668"/>
      <c r="AP92" s="668"/>
      <c r="AQ92" s="668"/>
      <c r="AR92" s="485"/>
      <c r="AS92" s="670"/>
      <c r="AT92" s="670"/>
      <c r="AU92" s="670"/>
      <c r="AV92" s="670"/>
      <c r="AW92" s="670"/>
      <c r="AX92" s="670"/>
      <c r="AY92" s="670"/>
      <c r="AZ92" s="670"/>
      <c r="BA92" s="670"/>
      <c r="BB92" s="670"/>
      <c r="BC92" s="670"/>
      <c r="BD92" s="670"/>
      <c r="BE92" s="666"/>
      <c r="BF92" s="666"/>
    </row>
    <row r="93" spans="1:58" s="421" customFormat="1" ht="12.75" x14ac:dyDescent="0.2">
      <c r="A93" s="588">
        <v>2</v>
      </c>
      <c r="B93" s="669" t="s">
        <v>815</v>
      </c>
      <c r="C93" s="622">
        <v>25479835</v>
      </c>
      <c r="D93" s="664"/>
      <c r="E93" s="668"/>
      <c r="G93" s="668"/>
      <c r="H93" s="668"/>
      <c r="I93" s="668"/>
      <c r="J93" s="668"/>
      <c r="K93" s="668"/>
      <c r="L93" s="668"/>
      <c r="M93" s="668"/>
      <c r="N93" s="668"/>
      <c r="O93" s="668"/>
      <c r="P93" s="668"/>
      <c r="Q93" s="668"/>
      <c r="R93" s="668"/>
      <c r="S93" s="668"/>
      <c r="T93" s="668"/>
      <c r="U93" s="668"/>
      <c r="V93" s="668"/>
      <c r="W93" s="668"/>
      <c r="X93" s="668"/>
      <c r="Y93" s="668"/>
      <c r="Z93" s="668"/>
      <c r="AA93" s="668"/>
      <c r="AB93" s="668"/>
      <c r="AC93" s="668"/>
      <c r="AD93" s="668"/>
      <c r="AE93" s="668"/>
      <c r="AF93" s="668"/>
      <c r="AG93" s="668"/>
      <c r="AH93" s="668"/>
      <c r="AI93" s="668"/>
      <c r="AJ93" s="668"/>
      <c r="AK93" s="668"/>
      <c r="AL93" s="668"/>
      <c r="AM93" s="668"/>
      <c r="AN93" s="668"/>
      <c r="AO93" s="668"/>
      <c r="AP93" s="668"/>
      <c r="AQ93" s="668"/>
      <c r="AR93" s="485"/>
      <c r="AS93" s="670"/>
      <c r="AT93" s="670"/>
      <c r="AU93" s="670"/>
      <c r="AV93" s="670"/>
      <c r="AW93" s="670"/>
      <c r="AX93" s="670"/>
      <c r="AY93" s="670"/>
      <c r="AZ93" s="670"/>
      <c r="BA93" s="670"/>
      <c r="BB93" s="670"/>
      <c r="BC93" s="670"/>
      <c r="BD93" s="670"/>
      <c r="BE93" s="666"/>
      <c r="BF93" s="666"/>
    </row>
    <row r="94" spans="1:58" s="421" customFormat="1" ht="12.75" x14ac:dyDescent="0.2">
      <c r="A94" s="588"/>
      <c r="B94" s="669" t="s">
        <v>668</v>
      </c>
      <c r="C94" s="622"/>
      <c r="D94" s="664"/>
      <c r="E94" s="668"/>
      <c r="G94" s="668"/>
      <c r="H94" s="668"/>
      <c r="I94" s="668"/>
      <c r="J94" s="668"/>
      <c r="K94" s="668"/>
      <c r="L94" s="668"/>
      <c r="M94" s="668"/>
      <c r="N94" s="668"/>
      <c r="O94" s="668"/>
      <c r="P94" s="668"/>
      <c r="Q94" s="668"/>
      <c r="R94" s="668"/>
      <c r="S94" s="668"/>
      <c r="T94" s="668"/>
      <c r="U94" s="668"/>
      <c r="V94" s="668"/>
      <c r="W94" s="668"/>
      <c r="X94" s="668"/>
      <c r="Y94" s="668"/>
      <c r="Z94" s="668"/>
      <c r="AA94" s="668"/>
      <c r="AB94" s="668"/>
      <c r="AC94" s="668"/>
      <c r="AD94" s="668"/>
      <c r="AE94" s="668"/>
      <c r="AF94" s="668"/>
      <c r="AG94" s="668"/>
      <c r="AH94" s="668"/>
      <c r="AI94" s="668"/>
      <c r="AJ94" s="668"/>
      <c r="AK94" s="668"/>
      <c r="AL94" s="668"/>
      <c r="AM94" s="668"/>
      <c r="AN94" s="668"/>
      <c r="AO94" s="668"/>
      <c r="AP94" s="668"/>
      <c r="AQ94" s="668"/>
      <c r="AR94" s="485"/>
      <c r="AS94" s="670"/>
      <c r="AT94" s="670"/>
      <c r="AU94" s="670"/>
      <c r="AV94" s="670"/>
      <c r="AW94" s="670"/>
      <c r="AX94" s="670"/>
      <c r="AY94" s="670"/>
      <c r="AZ94" s="670"/>
      <c r="BA94" s="670"/>
      <c r="BB94" s="670"/>
      <c r="BC94" s="670"/>
      <c r="BD94" s="670"/>
      <c r="BE94" s="666"/>
      <c r="BF94" s="666"/>
    </row>
    <row r="95" spans="1:58" s="421" customFormat="1" ht="12.75" x14ac:dyDescent="0.2">
      <c r="A95" s="588">
        <v>3</v>
      </c>
      <c r="B95" s="669" t="s">
        <v>747</v>
      </c>
      <c r="C95" s="589">
        <f>+C92-C93</f>
        <v>26762108</v>
      </c>
      <c r="D95" s="664"/>
      <c r="E95" s="668"/>
      <c r="G95" s="668"/>
      <c r="H95" s="668"/>
      <c r="I95" s="668"/>
      <c r="J95" s="668"/>
      <c r="K95" s="668"/>
      <c r="L95" s="668"/>
      <c r="M95" s="668"/>
      <c r="N95" s="668"/>
      <c r="O95" s="668"/>
      <c r="P95" s="668"/>
      <c r="Q95" s="668"/>
      <c r="R95" s="668"/>
      <c r="S95" s="668"/>
      <c r="T95" s="668"/>
      <c r="U95" s="668"/>
      <c r="V95" s="668"/>
      <c r="W95" s="668"/>
      <c r="X95" s="668"/>
      <c r="Y95" s="668"/>
      <c r="Z95" s="668"/>
      <c r="AA95" s="668"/>
      <c r="AB95" s="668"/>
      <c r="AC95" s="668"/>
      <c r="AD95" s="668"/>
      <c r="AE95" s="668"/>
      <c r="AF95" s="668"/>
      <c r="AG95" s="668"/>
      <c r="AH95" s="668"/>
      <c r="AI95" s="668"/>
      <c r="AJ95" s="668"/>
      <c r="AK95" s="668"/>
      <c r="AL95" s="668"/>
      <c r="AM95" s="668"/>
      <c r="AN95" s="668"/>
      <c r="AO95" s="668"/>
      <c r="AP95" s="668"/>
      <c r="AQ95" s="668"/>
      <c r="AR95" s="485"/>
      <c r="AS95" s="670"/>
      <c r="AT95" s="670"/>
      <c r="AU95" s="670"/>
      <c r="AV95" s="670"/>
      <c r="AW95" s="670"/>
      <c r="AX95" s="670"/>
      <c r="AY95" s="670"/>
      <c r="AZ95" s="670"/>
      <c r="BA95" s="670"/>
      <c r="BB95" s="670"/>
      <c r="BC95" s="670"/>
      <c r="BD95" s="670"/>
      <c r="BE95" s="666"/>
      <c r="BF95" s="666"/>
    </row>
    <row r="96" spans="1:58" s="421" customFormat="1" ht="12.75" x14ac:dyDescent="0.2">
      <c r="A96" s="588">
        <v>4</v>
      </c>
      <c r="B96" s="669" t="s">
        <v>670</v>
      </c>
      <c r="C96" s="681">
        <f>(+C92-C93)/C92</f>
        <v>0.51227244744706379</v>
      </c>
      <c r="D96" s="664"/>
      <c r="E96" s="668"/>
      <c r="G96" s="668"/>
      <c r="H96" s="668"/>
      <c r="I96" s="668"/>
      <c r="J96" s="668"/>
      <c r="K96" s="668"/>
      <c r="L96" s="668"/>
      <c r="M96" s="668"/>
      <c r="N96" s="668"/>
      <c r="O96" s="668"/>
      <c r="P96" s="668"/>
      <c r="Q96" s="668"/>
      <c r="R96" s="668"/>
      <c r="S96" s="668"/>
      <c r="T96" s="668"/>
      <c r="U96" s="668"/>
      <c r="V96" s="668"/>
      <c r="W96" s="668"/>
      <c r="X96" s="668"/>
      <c r="Y96" s="668"/>
      <c r="Z96" s="668"/>
      <c r="AA96" s="668"/>
      <c r="AB96" s="668"/>
      <c r="AC96" s="668"/>
      <c r="AD96" s="668"/>
      <c r="AE96" s="668"/>
      <c r="AF96" s="668"/>
      <c r="AG96" s="668"/>
      <c r="AH96" s="668"/>
      <c r="AI96" s="668"/>
      <c r="AJ96" s="668"/>
      <c r="AK96" s="668"/>
      <c r="AL96" s="668"/>
      <c r="AM96" s="668"/>
      <c r="AN96" s="668"/>
      <c r="AO96" s="668"/>
      <c r="AP96" s="668"/>
      <c r="AQ96" s="668"/>
      <c r="AR96" s="485"/>
      <c r="AS96" s="670"/>
      <c r="AT96" s="670"/>
      <c r="AU96" s="670"/>
      <c r="AV96" s="670"/>
      <c r="AW96" s="670"/>
      <c r="AX96" s="670"/>
      <c r="AY96" s="670"/>
      <c r="AZ96" s="670"/>
      <c r="BA96" s="670"/>
      <c r="BB96" s="670"/>
      <c r="BC96" s="670"/>
      <c r="BD96" s="670"/>
      <c r="BE96" s="666"/>
      <c r="BF96" s="666"/>
    </row>
    <row r="97" spans="1:58" s="421" customFormat="1" ht="12.75" x14ac:dyDescent="0.2">
      <c r="A97" s="588"/>
      <c r="B97" s="669"/>
      <c r="C97" s="682"/>
      <c r="D97" s="664"/>
      <c r="E97" s="668"/>
      <c r="G97" s="668"/>
      <c r="H97" s="668"/>
      <c r="I97" s="668"/>
      <c r="J97" s="668"/>
      <c r="K97" s="668"/>
      <c r="L97" s="668"/>
      <c r="M97" s="668"/>
      <c r="N97" s="668"/>
      <c r="O97" s="668"/>
      <c r="P97" s="668"/>
      <c r="Q97" s="668"/>
      <c r="R97" s="668"/>
      <c r="S97" s="668"/>
      <c r="T97" s="668"/>
      <c r="U97" s="668"/>
      <c r="V97" s="668"/>
      <c r="W97" s="668"/>
      <c r="X97" s="668"/>
      <c r="Y97" s="668"/>
      <c r="Z97" s="668"/>
      <c r="AA97" s="668"/>
      <c r="AB97" s="668"/>
      <c r="AC97" s="668"/>
      <c r="AD97" s="668"/>
      <c r="AE97" s="668"/>
      <c r="AF97" s="668"/>
      <c r="AG97" s="668"/>
      <c r="AH97" s="668"/>
      <c r="AI97" s="668"/>
      <c r="AJ97" s="668"/>
      <c r="AK97" s="668"/>
      <c r="AL97" s="668"/>
      <c r="AM97" s="668"/>
      <c r="AN97" s="668"/>
      <c r="AO97" s="668"/>
      <c r="AP97" s="668"/>
      <c r="AQ97" s="668"/>
      <c r="AR97" s="485"/>
      <c r="AS97" s="670"/>
      <c r="AT97" s="670"/>
      <c r="AU97" s="670"/>
      <c r="AV97" s="670"/>
      <c r="AW97" s="670"/>
      <c r="AX97" s="670"/>
      <c r="AY97" s="670"/>
      <c r="AZ97" s="670"/>
      <c r="BA97" s="670"/>
      <c r="BB97" s="670"/>
      <c r="BC97" s="670"/>
      <c r="BD97" s="670"/>
      <c r="BE97" s="666"/>
      <c r="BF97" s="666"/>
    </row>
    <row r="98" spans="1:58" s="421" customFormat="1" ht="12.75" x14ac:dyDescent="0.2">
      <c r="A98" s="588">
        <v>5</v>
      </c>
      <c r="B98" s="669" t="s">
        <v>762</v>
      </c>
      <c r="C98" s="589">
        <v>1748963</v>
      </c>
      <c r="D98" s="664"/>
      <c r="E98" s="668"/>
      <c r="G98" s="668"/>
      <c r="H98" s="668"/>
      <c r="I98" s="668"/>
      <c r="J98" s="668"/>
      <c r="K98" s="668"/>
      <c r="L98" s="668"/>
      <c r="M98" s="668"/>
      <c r="N98" s="668"/>
      <c r="O98" s="668"/>
      <c r="P98" s="668"/>
      <c r="Q98" s="668"/>
      <c r="R98" s="668"/>
      <c r="S98" s="668"/>
      <c r="T98" s="668"/>
      <c r="U98" s="668"/>
      <c r="V98" s="668"/>
      <c r="W98" s="668"/>
      <c r="X98" s="668"/>
      <c r="Y98" s="668"/>
      <c r="Z98" s="668"/>
      <c r="AA98" s="668"/>
      <c r="AB98" s="668"/>
      <c r="AC98" s="668"/>
      <c r="AD98" s="668"/>
      <c r="AE98" s="668"/>
      <c r="AF98" s="668"/>
      <c r="AG98" s="668"/>
      <c r="AH98" s="668"/>
      <c r="AI98" s="668"/>
      <c r="AJ98" s="668"/>
      <c r="AK98" s="668"/>
      <c r="AL98" s="668"/>
      <c r="AM98" s="668"/>
      <c r="AN98" s="668"/>
      <c r="AO98" s="668"/>
      <c r="AP98" s="668"/>
      <c r="AQ98" s="668"/>
      <c r="AR98" s="485"/>
      <c r="AS98" s="670"/>
      <c r="AT98" s="670"/>
      <c r="AU98" s="670"/>
      <c r="AV98" s="670"/>
      <c r="AW98" s="670"/>
      <c r="AX98" s="670"/>
      <c r="AY98" s="670"/>
      <c r="AZ98" s="670"/>
      <c r="BA98" s="670"/>
      <c r="BB98" s="670"/>
      <c r="BC98" s="670"/>
      <c r="BD98" s="670"/>
      <c r="BE98" s="666"/>
      <c r="BF98" s="666"/>
    </row>
    <row r="99" spans="1:58" s="421" customFormat="1" ht="12.75" x14ac:dyDescent="0.2">
      <c r="A99" s="588">
        <v>6</v>
      </c>
      <c r="B99" s="669" t="s">
        <v>748</v>
      </c>
      <c r="C99" s="589">
        <v>1000434</v>
      </c>
      <c r="D99" s="664"/>
      <c r="E99" s="668"/>
      <c r="G99" s="668"/>
      <c r="H99" s="668"/>
      <c r="I99" s="668"/>
      <c r="J99" s="668"/>
      <c r="K99" s="668"/>
      <c r="L99" s="668"/>
      <c r="M99" s="668"/>
      <c r="N99" s="668"/>
      <c r="O99" s="668"/>
      <c r="P99" s="668"/>
      <c r="Q99" s="668"/>
      <c r="R99" s="668"/>
      <c r="S99" s="668"/>
      <c r="T99" s="668"/>
      <c r="U99" s="668"/>
      <c r="V99" s="668"/>
      <c r="W99" s="668"/>
      <c r="X99" s="668"/>
      <c r="Y99" s="668"/>
      <c r="Z99" s="668"/>
      <c r="AA99" s="668"/>
      <c r="AB99" s="668"/>
      <c r="AC99" s="668"/>
      <c r="AD99" s="668"/>
      <c r="AE99" s="668"/>
      <c r="AF99" s="668"/>
      <c r="AG99" s="668"/>
      <c r="AH99" s="668"/>
      <c r="AI99" s="668"/>
      <c r="AJ99" s="668"/>
      <c r="AK99" s="668"/>
      <c r="AL99" s="668"/>
      <c r="AM99" s="668"/>
      <c r="AN99" s="668"/>
      <c r="AO99" s="668"/>
      <c r="AP99" s="668"/>
      <c r="AQ99" s="668"/>
      <c r="AR99" s="485"/>
      <c r="AS99" s="670"/>
      <c r="AT99" s="670"/>
      <c r="AU99" s="670"/>
      <c r="AV99" s="670"/>
      <c r="AW99" s="670"/>
      <c r="AX99" s="670"/>
      <c r="AY99" s="670"/>
      <c r="AZ99" s="670"/>
      <c r="BA99" s="670"/>
      <c r="BB99" s="670"/>
      <c r="BC99" s="670"/>
      <c r="BD99" s="670"/>
      <c r="BE99" s="666"/>
      <c r="BF99" s="666"/>
    </row>
    <row r="100" spans="1:58" s="421" customFormat="1" ht="12.75" x14ac:dyDescent="0.2">
      <c r="A100" s="588"/>
      <c r="B100" s="669"/>
      <c r="C100" s="589"/>
      <c r="D100" s="664"/>
      <c r="E100" s="668"/>
      <c r="G100" s="668"/>
      <c r="H100" s="668"/>
      <c r="I100" s="668"/>
      <c r="J100" s="668"/>
      <c r="K100" s="668"/>
      <c r="L100" s="668"/>
      <c r="M100" s="668"/>
      <c r="N100" s="668"/>
      <c r="O100" s="668"/>
      <c r="P100" s="668"/>
      <c r="Q100" s="668"/>
      <c r="R100" s="668"/>
      <c r="S100" s="668"/>
      <c r="T100" s="668"/>
      <c r="U100" s="668"/>
      <c r="V100" s="668"/>
      <c r="W100" s="668"/>
      <c r="X100" s="668"/>
      <c r="Y100" s="668"/>
      <c r="Z100" s="668"/>
      <c r="AA100" s="668"/>
      <c r="AB100" s="668"/>
      <c r="AC100" s="668"/>
      <c r="AD100" s="668"/>
      <c r="AE100" s="668"/>
      <c r="AF100" s="668"/>
      <c r="AG100" s="668"/>
      <c r="AH100" s="668"/>
      <c r="AI100" s="668"/>
      <c r="AJ100" s="668"/>
      <c r="AK100" s="668"/>
      <c r="AL100" s="668"/>
      <c r="AM100" s="668"/>
      <c r="AN100" s="668"/>
      <c r="AO100" s="668"/>
      <c r="AP100" s="668"/>
      <c r="AQ100" s="668"/>
      <c r="AR100" s="485"/>
      <c r="AS100" s="670"/>
      <c r="AT100" s="670"/>
      <c r="AU100" s="670"/>
      <c r="AV100" s="670"/>
      <c r="AW100" s="670"/>
      <c r="AX100" s="670"/>
      <c r="AY100" s="670"/>
      <c r="AZ100" s="670"/>
      <c r="BA100" s="670"/>
      <c r="BB100" s="670"/>
      <c r="BC100" s="670"/>
      <c r="BD100" s="670"/>
      <c r="BE100" s="666"/>
      <c r="BF100" s="666"/>
    </row>
    <row r="101" spans="1:58" s="421" customFormat="1" ht="15" customHeight="1" x14ac:dyDescent="0.2">
      <c r="A101" s="588">
        <v>7</v>
      </c>
      <c r="B101" s="683" t="s">
        <v>879</v>
      </c>
      <c r="C101" s="589">
        <v>0</v>
      </c>
      <c r="D101" s="664"/>
      <c r="E101" s="668"/>
      <c r="G101" s="668"/>
      <c r="H101" s="668"/>
      <c r="I101" s="668"/>
      <c r="J101" s="668"/>
      <c r="K101" s="668"/>
      <c r="L101" s="668"/>
      <c r="M101" s="668"/>
      <c r="N101" s="668"/>
      <c r="O101" s="668"/>
      <c r="P101" s="668"/>
      <c r="Q101" s="668"/>
      <c r="R101" s="668"/>
      <c r="S101" s="668"/>
      <c r="T101" s="668"/>
      <c r="U101" s="668"/>
      <c r="V101" s="668"/>
      <c r="W101" s="668"/>
      <c r="X101" s="668"/>
      <c r="Y101" s="668"/>
      <c r="Z101" s="668"/>
      <c r="AA101" s="668"/>
      <c r="AB101" s="668"/>
      <c r="AC101" s="668"/>
      <c r="AD101" s="668"/>
      <c r="AE101" s="668"/>
      <c r="AF101" s="668"/>
      <c r="AG101" s="668"/>
      <c r="AH101" s="668"/>
      <c r="AI101" s="668"/>
      <c r="AJ101" s="668"/>
      <c r="AK101" s="668"/>
      <c r="AL101" s="668"/>
      <c r="AM101" s="668"/>
      <c r="AN101" s="668"/>
      <c r="AO101" s="668"/>
      <c r="AP101" s="668"/>
      <c r="AQ101" s="668"/>
      <c r="AR101" s="485"/>
      <c r="AS101" s="670"/>
      <c r="AT101" s="670"/>
      <c r="AU101" s="670"/>
      <c r="AV101" s="670"/>
      <c r="AW101" s="670"/>
      <c r="AX101" s="670"/>
      <c r="AY101" s="670"/>
      <c r="AZ101" s="670"/>
      <c r="BA101" s="670"/>
      <c r="BB101" s="670"/>
      <c r="BC101" s="670"/>
      <c r="BD101" s="670"/>
      <c r="BE101" s="666"/>
      <c r="BF101" s="666"/>
    </row>
    <row r="102" spans="1:58" s="421" customFormat="1" ht="12.75" x14ac:dyDescent="0.2">
      <c r="A102" s="588"/>
      <c r="B102" s="669"/>
      <c r="C102" s="589"/>
      <c r="D102" s="664"/>
      <c r="E102" s="668"/>
      <c r="G102" s="668"/>
      <c r="H102" s="668"/>
      <c r="I102" s="668"/>
      <c r="J102" s="668"/>
      <c r="K102" s="668"/>
      <c r="L102" s="668"/>
      <c r="M102" s="668"/>
      <c r="N102" s="668"/>
      <c r="O102" s="668"/>
      <c r="P102" s="668"/>
      <c r="Q102" s="668"/>
      <c r="R102" s="668"/>
      <c r="S102" s="668"/>
      <c r="T102" s="668"/>
      <c r="U102" s="668"/>
      <c r="V102" s="668"/>
      <c r="W102" s="668"/>
      <c r="X102" s="668"/>
      <c r="Y102" s="668"/>
      <c r="Z102" s="668"/>
      <c r="AA102" s="668"/>
      <c r="AB102" s="668"/>
      <c r="AC102" s="668"/>
      <c r="AD102" s="668"/>
      <c r="AE102" s="668"/>
      <c r="AF102" s="668"/>
      <c r="AG102" s="668"/>
      <c r="AH102" s="668"/>
      <c r="AI102" s="668"/>
      <c r="AJ102" s="668"/>
      <c r="AK102" s="668"/>
      <c r="AL102" s="668"/>
      <c r="AM102" s="668"/>
      <c r="AN102" s="668"/>
      <c r="AO102" s="668"/>
      <c r="AP102" s="668"/>
      <c r="AQ102" s="668"/>
      <c r="AR102" s="485"/>
      <c r="AS102" s="670"/>
      <c r="AT102" s="670"/>
      <c r="AU102" s="670"/>
      <c r="AV102" s="670"/>
      <c r="AW102" s="670"/>
      <c r="AX102" s="670"/>
      <c r="AY102" s="670"/>
      <c r="AZ102" s="670"/>
      <c r="BA102" s="670"/>
      <c r="BB102" s="670"/>
      <c r="BC102" s="670"/>
      <c r="BD102" s="670"/>
      <c r="BE102" s="666"/>
      <c r="BF102" s="666"/>
    </row>
    <row r="103" spans="1:58" s="421" customFormat="1" ht="12.75" x14ac:dyDescent="0.2">
      <c r="A103" s="588">
        <v>8</v>
      </c>
      <c r="B103" s="669" t="s">
        <v>817</v>
      </c>
      <c r="C103" s="589">
        <v>892961</v>
      </c>
      <c r="D103" s="664"/>
      <c r="E103" s="668"/>
      <c r="G103" s="668"/>
      <c r="H103" s="668"/>
      <c r="I103" s="668"/>
      <c r="J103" s="668"/>
      <c r="K103" s="668"/>
      <c r="L103" s="668"/>
      <c r="M103" s="668"/>
      <c r="N103" s="668"/>
      <c r="O103" s="668"/>
      <c r="P103" s="668"/>
      <c r="Q103" s="668"/>
      <c r="R103" s="668"/>
      <c r="S103" s="668"/>
      <c r="T103" s="668"/>
      <c r="U103" s="668"/>
      <c r="V103" s="668"/>
      <c r="W103" s="668"/>
      <c r="X103" s="668"/>
      <c r="Y103" s="668"/>
      <c r="Z103" s="668"/>
      <c r="AA103" s="668"/>
      <c r="AB103" s="668"/>
      <c r="AC103" s="668"/>
      <c r="AD103" s="668"/>
      <c r="AE103" s="668"/>
      <c r="AF103" s="668"/>
      <c r="AG103" s="668"/>
      <c r="AH103" s="668"/>
      <c r="AI103" s="668"/>
      <c r="AJ103" s="668"/>
      <c r="AK103" s="668"/>
      <c r="AL103" s="668"/>
      <c r="AM103" s="668"/>
      <c r="AN103" s="668"/>
      <c r="AO103" s="668"/>
      <c r="AP103" s="668"/>
      <c r="AQ103" s="668"/>
      <c r="AR103" s="485"/>
      <c r="AS103" s="670"/>
      <c r="AT103" s="670"/>
      <c r="AU103" s="670"/>
      <c r="AV103" s="670"/>
      <c r="AW103" s="670"/>
      <c r="AX103" s="670"/>
      <c r="AY103" s="670"/>
      <c r="AZ103" s="670"/>
      <c r="BA103" s="670"/>
      <c r="BB103" s="670"/>
      <c r="BC103" s="670"/>
      <c r="BD103" s="670"/>
      <c r="BE103" s="666"/>
      <c r="BF103" s="666"/>
    </row>
    <row r="104" spans="1:58" s="421" customFormat="1" ht="12.75" x14ac:dyDescent="0.2">
      <c r="A104" s="588">
        <v>9</v>
      </c>
      <c r="B104" s="669" t="s">
        <v>818</v>
      </c>
      <c r="C104" s="589">
        <v>2270701</v>
      </c>
      <c r="D104" s="664"/>
      <c r="E104" s="668"/>
      <c r="F104" s="668"/>
      <c r="G104" s="668"/>
      <c r="H104" s="668"/>
      <c r="I104" s="668"/>
      <c r="J104" s="668"/>
      <c r="K104" s="668"/>
      <c r="L104" s="668"/>
      <c r="M104" s="668"/>
      <c r="N104" s="668"/>
      <c r="O104" s="668"/>
      <c r="P104" s="666"/>
      <c r="Q104" s="666"/>
      <c r="R104" s="666"/>
      <c r="S104" s="666"/>
      <c r="T104" s="666"/>
      <c r="U104" s="666"/>
      <c r="V104" s="666"/>
      <c r="W104" s="666"/>
      <c r="X104" s="666"/>
      <c r="Y104" s="666"/>
      <c r="Z104" s="666"/>
      <c r="AA104" s="666"/>
      <c r="AB104" s="666"/>
      <c r="AC104" s="666"/>
      <c r="AD104" s="666"/>
      <c r="AE104" s="666"/>
      <c r="AF104" s="666"/>
      <c r="AG104" s="666"/>
      <c r="AH104" s="666"/>
      <c r="AI104" s="666"/>
      <c r="AJ104" s="666"/>
      <c r="AK104" s="666"/>
      <c r="AL104" s="666"/>
      <c r="AM104" s="666"/>
      <c r="AN104" s="666"/>
      <c r="AO104" s="666"/>
      <c r="AP104" s="666"/>
      <c r="AQ104" s="666"/>
      <c r="AR104" s="485"/>
      <c r="AS104" s="666"/>
      <c r="AT104" s="666"/>
      <c r="AU104" s="666"/>
      <c r="AV104" s="666"/>
      <c r="AW104" s="666"/>
      <c r="AX104" s="666"/>
      <c r="AY104" s="666"/>
      <c r="AZ104" s="666"/>
      <c r="BA104" s="666"/>
      <c r="BB104" s="666"/>
      <c r="BC104" s="666"/>
      <c r="BD104" s="666"/>
      <c r="BE104" s="666"/>
      <c r="BF104" s="666"/>
    </row>
    <row r="105" spans="1:58" s="421" customFormat="1" ht="12.75" x14ac:dyDescent="0.2">
      <c r="A105" s="645">
        <v>10</v>
      </c>
      <c r="B105" s="646" t="s">
        <v>819</v>
      </c>
      <c r="C105" s="654">
        <f>+C103+C104</f>
        <v>3163662</v>
      </c>
      <c r="D105" s="664"/>
      <c r="E105" s="668"/>
      <c r="F105" s="668"/>
      <c r="G105" s="668"/>
      <c r="H105" s="668"/>
      <c r="I105" s="668"/>
      <c r="J105" s="668"/>
      <c r="K105" s="668"/>
      <c r="L105" s="668"/>
      <c r="M105" s="668"/>
      <c r="N105" s="668"/>
      <c r="O105" s="668"/>
      <c r="P105" s="666"/>
      <c r="Q105" s="666"/>
      <c r="R105" s="666"/>
      <c r="S105" s="666"/>
      <c r="T105" s="666"/>
      <c r="U105" s="666"/>
      <c r="V105" s="666"/>
      <c r="W105" s="666"/>
      <c r="X105" s="666"/>
      <c r="Y105" s="666"/>
      <c r="Z105" s="666"/>
      <c r="AA105" s="666"/>
      <c r="AB105" s="666"/>
      <c r="AC105" s="666"/>
      <c r="AD105" s="666"/>
      <c r="AE105" s="666"/>
      <c r="AF105" s="666"/>
      <c r="AG105" s="666"/>
      <c r="AH105" s="666"/>
      <c r="AI105" s="666"/>
      <c r="AJ105" s="666"/>
      <c r="AK105" s="666"/>
      <c r="AL105" s="666"/>
      <c r="AM105" s="666"/>
      <c r="AN105" s="666"/>
      <c r="AO105" s="666"/>
      <c r="AP105" s="666"/>
      <c r="AQ105" s="666"/>
      <c r="AR105" s="485"/>
      <c r="AS105" s="666"/>
      <c r="AT105" s="666"/>
      <c r="AU105" s="666"/>
      <c r="AV105" s="666"/>
      <c r="AW105" s="666"/>
      <c r="AX105" s="666"/>
      <c r="AY105" s="666"/>
      <c r="AZ105" s="666"/>
      <c r="BA105" s="666"/>
      <c r="BB105" s="666"/>
      <c r="BC105" s="666"/>
      <c r="BD105" s="666"/>
      <c r="BE105" s="666"/>
      <c r="BF105" s="666"/>
    </row>
    <row r="106" spans="1:58" s="421" customFormat="1" x14ac:dyDescent="0.2">
      <c r="A106" s="684"/>
      <c r="B106" s="669"/>
      <c r="C106" s="589"/>
      <c r="D106" s="664"/>
      <c r="E106" s="668"/>
      <c r="F106" s="668"/>
      <c r="G106" s="668"/>
      <c r="H106" s="668"/>
      <c r="I106" s="668"/>
      <c r="J106" s="668"/>
      <c r="K106" s="668"/>
      <c r="L106" s="668"/>
      <c r="M106" s="668"/>
      <c r="N106" s="668"/>
      <c r="O106" s="668"/>
      <c r="P106" s="666"/>
      <c r="Q106" s="666"/>
      <c r="R106" s="666"/>
      <c r="S106" s="666"/>
      <c r="T106" s="666"/>
      <c r="U106" s="666"/>
      <c r="V106" s="666"/>
      <c r="W106" s="666"/>
      <c r="X106" s="666"/>
      <c r="Y106" s="666"/>
      <c r="Z106" s="666"/>
      <c r="AA106" s="666"/>
      <c r="AB106" s="666"/>
      <c r="AC106" s="666"/>
      <c r="AD106" s="666"/>
      <c r="AE106" s="666"/>
      <c r="AF106" s="666"/>
      <c r="AG106" s="666"/>
      <c r="AH106" s="666"/>
      <c r="AI106" s="666"/>
      <c r="AJ106" s="666"/>
      <c r="AK106" s="666"/>
      <c r="AL106" s="666"/>
      <c r="AM106" s="666"/>
      <c r="AN106" s="666"/>
      <c r="AO106" s="666"/>
      <c r="AP106" s="666"/>
      <c r="AQ106" s="666"/>
      <c r="AR106" s="485"/>
      <c r="AS106" s="666"/>
      <c r="AT106" s="666"/>
      <c r="AU106" s="666"/>
      <c r="AV106" s="666"/>
      <c r="AW106" s="666"/>
      <c r="AX106" s="666"/>
      <c r="AY106" s="666"/>
      <c r="AZ106" s="666"/>
      <c r="BA106" s="666"/>
      <c r="BB106" s="666"/>
      <c r="BC106" s="666"/>
      <c r="BD106" s="666"/>
      <c r="BE106" s="666"/>
      <c r="BF106" s="666"/>
    </row>
    <row r="107" spans="1:58" s="421" customFormat="1" ht="12.75" x14ac:dyDescent="0.2">
      <c r="A107" s="588">
        <v>11</v>
      </c>
      <c r="B107" s="669" t="s">
        <v>820</v>
      </c>
      <c r="C107" s="589">
        <v>1092483</v>
      </c>
      <c r="D107" s="664"/>
      <c r="E107" s="668"/>
      <c r="F107" s="668"/>
      <c r="G107" s="668"/>
      <c r="H107" s="668"/>
      <c r="I107" s="668"/>
      <c r="J107" s="668"/>
      <c r="K107" s="668"/>
      <c r="L107" s="668"/>
      <c r="M107" s="668"/>
      <c r="N107" s="668"/>
      <c r="O107" s="668"/>
      <c r="P107" s="666"/>
      <c r="Q107" s="666"/>
      <c r="R107" s="666"/>
      <c r="S107" s="666"/>
      <c r="T107" s="666"/>
      <c r="U107" s="666"/>
      <c r="V107" s="666"/>
      <c r="W107" s="666"/>
      <c r="X107" s="666"/>
      <c r="Y107" s="666"/>
      <c r="Z107" s="666"/>
      <c r="AA107" s="666"/>
      <c r="AB107" s="666"/>
      <c r="AC107" s="666"/>
      <c r="AD107" s="666"/>
      <c r="AE107" s="666"/>
      <c r="AF107" s="666"/>
      <c r="AG107" s="666"/>
      <c r="AH107" s="666"/>
      <c r="AI107" s="666"/>
      <c r="AJ107" s="666"/>
      <c r="AK107" s="666"/>
      <c r="AL107" s="666"/>
      <c r="AM107" s="666"/>
      <c r="AN107" s="666"/>
      <c r="AO107" s="666"/>
      <c r="AP107" s="666"/>
      <c r="AQ107" s="666"/>
      <c r="AR107" s="485"/>
      <c r="AS107" s="666"/>
      <c r="AT107" s="666"/>
      <c r="AU107" s="666"/>
      <c r="AV107" s="666"/>
      <c r="AW107" s="666"/>
      <c r="AX107" s="666"/>
      <c r="AY107" s="666"/>
      <c r="AZ107" s="666"/>
      <c r="BA107" s="666"/>
      <c r="BB107" s="666"/>
      <c r="BC107" s="666"/>
      <c r="BD107" s="666"/>
      <c r="BE107" s="666"/>
      <c r="BF107" s="666"/>
    </row>
    <row r="108" spans="1:58" s="421" customFormat="1" ht="12.75" x14ac:dyDescent="0.2">
      <c r="A108" s="588">
        <v>12</v>
      </c>
      <c r="B108" s="669" t="s">
        <v>710</v>
      </c>
      <c r="C108" s="589">
        <v>48236048</v>
      </c>
      <c r="D108" s="664"/>
      <c r="E108" s="668"/>
      <c r="F108" s="668"/>
      <c r="G108" s="668"/>
      <c r="H108" s="668"/>
      <c r="I108" s="668"/>
      <c r="J108" s="668"/>
      <c r="K108" s="668"/>
      <c r="L108" s="668"/>
      <c r="M108" s="668"/>
      <c r="N108" s="668"/>
      <c r="O108" s="668"/>
      <c r="P108" s="666"/>
      <c r="Q108" s="666"/>
      <c r="R108" s="666"/>
      <c r="S108" s="666"/>
      <c r="T108" s="666"/>
      <c r="U108" s="666"/>
      <c r="V108" s="666"/>
      <c r="W108" s="666"/>
      <c r="X108" s="666"/>
      <c r="Y108" s="666"/>
      <c r="Z108" s="666"/>
      <c r="AA108" s="666"/>
      <c r="AB108" s="666"/>
      <c r="AC108" s="666"/>
      <c r="AD108" s="666"/>
      <c r="AE108" s="666"/>
      <c r="AF108" s="666"/>
      <c r="AG108" s="666"/>
      <c r="AH108" s="666"/>
      <c r="AI108" s="666"/>
      <c r="AJ108" s="666"/>
      <c r="AK108" s="666"/>
      <c r="AL108" s="666"/>
      <c r="AM108" s="666"/>
      <c r="AN108" s="666"/>
      <c r="AO108" s="666"/>
      <c r="AP108" s="666"/>
      <c r="AQ108" s="666"/>
      <c r="AR108" s="485"/>
      <c r="AS108" s="666"/>
      <c r="AT108" s="666"/>
      <c r="AU108" s="666"/>
      <c r="AV108" s="666"/>
      <c r="AW108" s="666"/>
      <c r="AX108" s="666"/>
      <c r="AY108" s="666"/>
      <c r="AZ108" s="666"/>
      <c r="BA108" s="666"/>
      <c r="BB108" s="666"/>
      <c r="BC108" s="666"/>
      <c r="BD108" s="666"/>
      <c r="BE108" s="666"/>
      <c r="BF108" s="666"/>
    </row>
    <row r="109" spans="1:58" s="421" customFormat="1" ht="12.75" x14ac:dyDescent="0.2">
      <c r="A109" s="586"/>
      <c r="B109" s="669"/>
      <c r="C109" s="589"/>
      <c r="D109" s="664"/>
      <c r="E109" s="668"/>
      <c r="F109" s="668"/>
      <c r="G109" s="668"/>
      <c r="I109" s="668"/>
      <c r="J109" s="668"/>
      <c r="K109" s="668"/>
      <c r="L109" s="668"/>
      <c r="M109" s="666"/>
      <c r="N109" s="666"/>
      <c r="O109" s="666"/>
      <c r="P109" s="666"/>
      <c r="Q109" s="666"/>
      <c r="R109" s="666"/>
      <c r="S109" s="666"/>
      <c r="T109" s="666"/>
      <c r="U109" s="666"/>
      <c r="V109" s="666"/>
      <c r="W109" s="666"/>
      <c r="X109" s="666"/>
      <c r="Y109" s="666"/>
      <c r="Z109" s="666"/>
      <c r="AA109" s="666"/>
      <c r="AB109" s="666"/>
      <c r="AC109" s="666"/>
      <c r="AD109" s="666"/>
      <c r="AE109" s="666"/>
      <c r="AF109" s="666"/>
      <c r="AG109" s="666"/>
      <c r="AH109" s="666"/>
      <c r="AI109" s="666"/>
      <c r="AJ109" s="666"/>
      <c r="AK109" s="666"/>
      <c r="AL109" s="666"/>
      <c r="AM109" s="666"/>
      <c r="AN109" s="666"/>
      <c r="AO109" s="666"/>
      <c r="AP109" s="666"/>
      <c r="AQ109" s="666"/>
      <c r="AR109" s="485"/>
      <c r="AS109" s="666"/>
      <c r="AT109" s="666"/>
      <c r="AU109" s="666"/>
      <c r="AV109" s="666"/>
      <c r="AW109" s="666"/>
      <c r="AX109" s="666"/>
      <c r="AY109" s="666"/>
      <c r="AZ109" s="666"/>
      <c r="BA109" s="666"/>
      <c r="BB109" s="666"/>
      <c r="BC109" s="666"/>
      <c r="BD109" s="666"/>
      <c r="BE109" s="666"/>
      <c r="BF109" s="666"/>
    </row>
    <row r="110" spans="1:58" s="421" customFormat="1" ht="15.75" customHeight="1" x14ac:dyDescent="0.25">
      <c r="A110" s="578" t="s">
        <v>135</v>
      </c>
      <c r="B110" s="579" t="s">
        <v>850</v>
      </c>
      <c r="C110" s="425"/>
      <c r="D110" s="664"/>
      <c r="E110" s="668"/>
      <c r="F110" s="668"/>
      <c r="G110" s="668"/>
      <c r="H110" s="668"/>
      <c r="I110" s="668"/>
      <c r="J110" s="668"/>
      <c r="K110" s="668"/>
      <c r="L110" s="668"/>
      <c r="M110" s="668"/>
      <c r="N110" s="668"/>
      <c r="O110" s="668"/>
      <c r="P110" s="666"/>
      <c r="Q110" s="666"/>
      <c r="R110" s="666"/>
      <c r="S110" s="666"/>
      <c r="T110" s="666"/>
      <c r="U110" s="666"/>
      <c r="V110" s="666"/>
      <c r="W110" s="666"/>
      <c r="X110" s="666"/>
      <c r="Y110" s="666"/>
      <c r="Z110" s="666"/>
      <c r="AA110" s="666"/>
      <c r="AB110" s="666"/>
      <c r="AC110" s="666"/>
      <c r="AD110" s="666"/>
      <c r="AE110" s="666"/>
      <c r="AF110" s="666"/>
      <c r="AG110" s="666"/>
      <c r="AH110" s="666"/>
      <c r="AI110" s="666"/>
      <c r="AJ110" s="666"/>
      <c r="AK110" s="666"/>
      <c r="AL110" s="666"/>
      <c r="AM110" s="666"/>
      <c r="AN110" s="666"/>
      <c r="AO110" s="666"/>
      <c r="AP110" s="666"/>
      <c r="AQ110" s="666"/>
      <c r="AR110" s="485"/>
      <c r="AS110" s="666"/>
      <c r="AT110" s="666"/>
      <c r="AU110" s="666"/>
      <c r="AV110" s="666"/>
      <c r="AW110" s="666"/>
      <c r="AX110" s="666"/>
      <c r="AY110" s="666"/>
      <c r="AZ110" s="666"/>
      <c r="BA110" s="666"/>
      <c r="BB110" s="666"/>
      <c r="BC110" s="666"/>
      <c r="BD110" s="666"/>
      <c r="BE110" s="666"/>
      <c r="BF110" s="666"/>
    </row>
    <row r="111" spans="1:58" s="421" customFormat="1" ht="15.75" customHeight="1" x14ac:dyDescent="0.25">
      <c r="A111" s="425"/>
      <c r="B111" s="653"/>
      <c r="C111" s="577"/>
      <c r="D111" s="664"/>
      <c r="E111" s="668"/>
      <c r="F111" s="668"/>
      <c r="G111" s="668"/>
      <c r="H111" s="668"/>
      <c r="I111" s="668"/>
      <c r="J111" s="668"/>
      <c r="K111" s="668"/>
      <c r="L111" s="668"/>
      <c r="M111" s="668"/>
      <c r="N111" s="668"/>
      <c r="O111" s="668"/>
      <c r="P111" s="666"/>
      <c r="Q111" s="666"/>
      <c r="R111" s="666"/>
      <c r="S111" s="666"/>
      <c r="T111" s="666"/>
      <c r="U111" s="666"/>
      <c r="V111" s="666"/>
      <c r="W111" s="666"/>
      <c r="X111" s="666"/>
      <c r="Y111" s="666"/>
      <c r="Z111" s="666"/>
      <c r="AA111" s="666"/>
      <c r="AB111" s="666"/>
      <c r="AC111" s="666"/>
      <c r="AD111" s="666"/>
      <c r="AE111" s="666"/>
      <c r="AF111" s="666"/>
      <c r="AG111" s="666"/>
      <c r="AH111" s="666"/>
      <c r="AI111" s="666"/>
      <c r="AJ111" s="666"/>
      <c r="AK111" s="666"/>
      <c r="AL111" s="666"/>
      <c r="AM111" s="666"/>
      <c r="AN111" s="666"/>
      <c r="AO111" s="666"/>
      <c r="AP111" s="666"/>
      <c r="AQ111" s="666"/>
      <c r="AR111" s="485"/>
      <c r="AS111" s="666"/>
      <c r="AT111" s="666"/>
      <c r="AU111" s="666"/>
      <c r="AV111" s="666"/>
      <c r="AW111" s="666"/>
      <c r="AX111" s="666"/>
      <c r="AY111" s="666"/>
      <c r="AZ111" s="666"/>
      <c r="BA111" s="666"/>
      <c r="BB111" s="666"/>
      <c r="BC111" s="666"/>
      <c r="BD111" s="666"/>
      <c r="BE111" s="666"/>
      <c r="BF111" s="666"/>
    </row>
    <row r="112" spans="1:58" s="421" customFormat="1" ht="12.75" x14ac:dyDescent="0.2">
      <c r="A112" s="584" t="s">
        <v>14</v>
      </c>
      <c r="B112" s="585" t="s">
        <v>851</v>
      </c>
      <c r="C112" s="586"/>
      <c r="D112" s="664"/>
      <c r="E112" s="668"/>
      <c r="H112" s="670"/>
      <c r="I112" s="670"/>
      <c r="J112" s="670"/>
      <c r="K112" s="666"/>
      <c r="L112" s="666"/>
      <c r="M112" s="666"/>
      <c r="N112" s="666"/>
      <c r="O112" s="666"/>
      <c r="P112" s="666"/>
      <c r="Q112" s="666"/>
      <c r="R112" s="666"/>
      <c r="S112" s="666"/>
      <c r="T112" s="666"/>
      <c r="U112" s="666"/>
      <c r="V112" s="666"/>
      <c r="W112" s="666"/>
      <c r="X112" s="666"/>
      <c r="Y112" s="666"/>
      <c r="Z112" s="666"/>
      <c r="AA112" s="666"/>
      <c r="AB112" s="666"/>
      <c r="AC112" s="666"/>
      <c r="AD112" s="666"/>
      <c r="AE112" s="666"/>
      <c r="AF112" s="666"/>
      <c r="AG112" s="666"/>
      <c r="AH112" s="666"/>
      <c r="AI112" s="666"/>
      <c r="AJ112" s="666"/>
      <c r="AK112" s="666"/>
      <c r="AL112" s="666"/>
      <c r="AM112" s="666"/>
      <c r="AN112" s="666"/>
      <c r="AO112" s="666"/>
      <c r="AP112" s="666"/>
      <c r="AQ112" s="666"/>
      <c r="AR112" s="485"/>
      <c r="AS112" s="666"/>
      <c r="AT112" s="666"/>
      <c r="AU112" s="666"/>
      <c r="AV112" s="666"/>
      <c r="AW112" s="666"/>
      <c r="AX112" s="666"/>
      <c r="AY112" s="666"/>
      <c r="AZ112" s="666"/>
      <c r="BA112" s="666"/>
      <c r="BB112" s="666"/>
      <c r="BC112" s="666"/>
      <c r="BD112" s="666"/>
      <c r="BE112" s="666"/>
      <c r="BF112" s="666"/>
    </row>
    <row r="113" spans="1:58" s="421" customFormat="1" ht="12.75" x14ac:dyDescent="0.2">
      <c r="A113" s="669"/>
      <c r="B113" s="669"/>
      <c r="C113" s="586"/>
      <c r="D113" s="664"/>
      <c r="E113" s="668"/>
      <c r="H113" s="668"/>
      <c r="I113" s="668"/>
      <c r="J113" s="668"/>
      <c r="K113" s="668"/>
      <c r="L113" s="668"/>
      <c r="M113" s="668"/>
      <c r="N113" s="668"/>
      <c r="O113" s="668"/>
      <c r="P113" s="666"/>
      <c r="Q113" s="666"/>
      <c r="R113" s="666"/>
      <c r="S113" s="666"/>
      <c r="T113" s="666"/>
      <c r="U113" s="666"/>
      <c r="V113" s="666"/>
      <c r="W113" s="666"/>
      <c r="X113" s="666"/>
      <c r="Y113" s="666"/>
      <c r="Z113" s="666"/>
      <c r="AA113" s="666"/>
      <c r="AB113" s="666"/>
      <c r="AC113" s="666"/>
      <c r="AD113" s="666"/>
      <c r="AE113" s="666"/>
      <c r="AF113" s="666"/>
      <c r="AG113" s="666"/>
      <c r="AH113" s="666"/>
      <c r="AI113" s="666"/>
      <c r="AJ113" s="666"/>
      <c r="AK113" s="666"/>
      <c r="AL113" s="666"/>
      <c r="AM113" s="666"/>
      <c r="AN113" s="666"/>
      <c r="AO113" s="666"/>
      <c r="AP113" s="666"/>
      <c r="AQ113" s="666"/>
      <c r="AR113" s="485"/>
      <c r="AS113" s="666"/>
      <c r="AT113" s="666"/>
      <c r="AU113" s="666"/>
      <c r="AV113" s="666"/>
      <c r="AW113" s="666"/>
      <c r="AX113" s="666"/>
      <c r="AY113" s="666"/>
      <c r="AZ113" s="666"/>
      <c r="BA113" s="666"/>
      <c r="BB113" s="666"/>
      <c r="BC113" s="666"/>
      <c r="BD113" s="666"/>
      <c r="BE113" s="666"/>
      <c r="BF113" s="666"/>
    </row>
    <row r="114" spans="1:58" s="421" customFormat="1" ht="12.75" x14ac:dyDescent="0.2">
      <c r="A114" s="588">
        <v>1</v>
      </c>
      <c r="B114" s="669" t="s">
        <v>654</v>
      </c>
      <c r="C114" s="590">
        <f>+C65</f>
        <v>49332886</v>
      </c>
      <c r="D114" s="664"/>
      <c r="E114" s="668"/>
      <c r="H114" s="670"/>
      <c r="I114" s="670"/>
      <c r="J114" s="670"/>
      <c r="K114" s="666"/>
      <c r="L114" s="666"/>
      <c r="M114" s="666"/>
      <c r="N114" s="666"/>
      <c r="O114" s="666"/>
      <c r="P114" s="666"/>
      <c r="Q114" s="666"/>
      <c r="R114" s="666"/>
      <c r="S114" s="666"/>
      <c r="T114" s="666"/>
      <c r="U114" s="666"/>
      <c r="V114" s="666"/>
      <c r="W114" s="666"/>
      <c r="X114" s="666"/>
      <c r="Y114" s="666"/>
      <c r="Z114" s="666"/>
      <c r="AA114" s="666"/>
      <c r="AB114" s="666"/>
      <c r="AC114" s="666"/>
      <c r="AD114" s="666"/>
      <c r="AE114" s="666"/>
      <c r="AF114" s="666"/>
      <c r="AG114" s="666"/>
      <c r="AH114" s="666"/>
      <c r="AI114" s="666"/>
      <c r="AJ114" s="666"/>
      <c r="AK114" s="666"/>
      <c r="AL114" s="666"/>
      <c r="AM114" s="666"/>
      <c r="AN114" s="666"/>
      <c r="AO114" s="666"/>
      <c r="AP114" s="666"/>
      <c r="AQ114" s="666"/>
      <c r="AR114" s="485"/>
      <c r="AS114" s="666"/>
      <c r="AT114" s="666"/>
      <c r="AU114" s="666"/>
      <c r="AV114" s="666"/>
      <c r="AW114" s="666"/>
      <c r="AX114" s="666"/>
      <c r="AY114" s="666"/>
      <c r="AZ114" s="666"/>
      <c r="BA114" s="666"/>
      <c r="BB114" s="666"/>
      <c r="BC114" s="666"/>
      <c r="BD114" s="666"/>
      <c r="BE114" s="666"/>
      <c r="BF114" s="666"/>
    </row>
    <row r="115" spans="1:58" s="421" customFormat="1" ht="12.75" x14ac:dyDescent="0.2">
      <c r="A115" s="588">
        <v>2</v>
      </c>
      <c r="B115" s="669" t="s">
        <v>852</v>
      </c>
      <c r="C115" s="622">
        <f>+C101</f>
        <v>0</v>
      </c>
      <c r="D115" s="664"/>
      <c r="E115" s="668"/>
      <c r="H115" s="668"/>
      <c r="I115" s="668"/>
      <c r="J115" s="668"/>
      <c r="K115" s="668"/>
      <c r="L115" s="668"/>
      <c r="M115" s="668"/>
      <c r="N115" s="668"/>
      <c r="O115" s="668"/>
      <c r="P115" s="666"/>
      <c r="Q115" s="666"/>
      <c r="R115" s="666"/>
      <c r="S115" s="666"/>
      <c r="T115" s="666"/>
      <c r="U115" s="666"/>
      <c r="V115" s="666"/>
      <c r="W115" s="666"/>
      <c r="X115" s="666"/>
      <c r="Y115" s="666"/>
      <c r="Z115" s="666"/>
      <c r="AA115" s="666"/>
      <c r="AB115" s="666"/>
      <c r="AC115" s="666"/>
      <c r="AD115" s="666"/>
      <c r="AE115" s="666"/>
      <c r="AF115" s="666"/>
      <c r="AG115" s="666"/>
      <c r="AH115" s="666"/>
      <c r="AI115" s="666"/>
      <c r="AJ115" s="666"/>
      <c r="AK115" s="666"/>
      <c r="AL115" s="666"/>
      <c r="AM115" s="666"/>
      <c r="AN115" s="666"/>
      <c r="AO115" s="666"/>
      <c r="AP115" s="666"/>
      <c r="AQ115" s="666"/>
      <c r="AR115" s="485"/>
      <c r="AS115" s="666"/>
      <c r="AT115" s="666"/>
      <c r="AU115" s="666"/>
      <c r="AV115" s="666"/>
      <c r="AW115" s="666"/>
      <c r="AX115" s="666"/>
      <c r="AY115" s="666"/>
      <c r="AZ115" s="666"/>
      <c r="BA115" s="666"/>
      <c r="BB115" s="666"/>
      <c r="BC115" s="666"/>
      <c r="BD115" s="666"/>
      <c r="BE115" s="666"/>
      <c r="BF115" s="666"/>
    </row>
    <row r="116" spans="1:58" s="421" customFormat="1" ht="12.75" x14ac:dyDescent="0.2">
      <c r="A116" s="588"/>
      <c r="B116" s="671" t="s">
        <v>853</v>
      </c>
      <c r="C116" s="593">
        <f>+C114+C115</f>
        <v>49332886</v>
      </c>
      <c r="D116" s="664"/>
      <c r="E116" s="668"/>
      <c r="H116" s="670"/>
      <c r="I116" s="670"/>
      <c r="J116" s="670"/>
      <c r="K116" s="666"/>
      <c r="L116" s="666"/>
      <c r="M116" s="666"/>
      <c r="N116" s="666"/>
      <c r="O116" s="666"/>
      <c r="P116" s="666"/>
      <c r="Q116" s="666"/>
      <c r="R116" s="666"/>
      <c r="S116" s="666"/>
      <c r="T116" s="666"/>
      <c r="U116" s="666"/>
      <c r="V116" s="666"/>
      <c r="W116" s="666"/>
      <c r="X116" s="666"/>
      <c r="Y116" s="666"/>
      <c r="Z116" s="666"/>
      <c r="AA116" s="666"/>
      <c r="AB116" s="666"/>
      <c r="AC116" s="666"/>
      <c r="AD116" s="666"/>
      <c r="AE116" s="666"/>
      <c r="AF116" s="666"/>
      <c r="AG116" s="666"/>
      <c r="AH116" s="666"/>
      <c r="AI116" s="666"/>
      <c r="AJ116" s="666"/>
      <c r="AK116" s="666"/>
      <c r="AL116" s="666"/>
      <c r="AM116" s="666"/>
      <c r="AN116" s="666"/>
      <c r="AO116" s="666"/>
      <c r="AP116" s="666"/>
      <c r="AQ116" s="666"/>
      <c r="AR116" s="485"/>
      <c r="AS116" s="666"/>
      <c r="AT116" s="666"/>
      <c r="AU116" s="666"/>
      <c r="AV116" s="666"/>
      <c r="AW116" s="666"/>
      <c r="AX116" s="666"/>
      <c r="AY116" s="666"/>
      <c r="AZ116" s="666"/>
      <c r="BA116" s="666"/>
      <c r="BB116" s="666"/>
      <c r="BC116" s="666"/>
      <c r="BD116" s="666"/>
      <c r="BE116" s="666"/>
      <c r="BF116" s="666"/>
    </row>
    <row r="117" spans="1:58" s="421" customFormat="1" ht="12.75" x14ac:dyDescent="0.2">
      <c r="A117" s="588"/>
      <c r="B117" s="669"/>
      <c r="C117" s="669"/>
      <c r="D117" s="664"/>
      <c r="E117" s="668"/>
      <c r="H117" s="668"/>
      <c r="I117" s="668"/>
      <c r="J117" s="668"/>
      <c r="K117" s="668"/>
      <c r="L117" s="668"/>
      <c r="M117" s="668"/>
      <c r="N117" s="668"/>
      <c r="O117" s="668"/>
      <c r="P117" s="666"/>
      <c r="Q117" s="666"/>
      <c r="R117" s="666"/>
      <c r="S117" s="666"/>
      <c r="T117" s="666"/>
      <c r="U117" s="666"/>
      <c r="V117" s="666"/>
      <c r="W117" s="666"/>
      <c r="X117" s="666"/>
      <c r="Y117" s="666"/>
      <c r="Z117" s="666"/>
      <c r="AA117" s="666"/>
      <c r="AB117" s="666"/>
      <c r="AC117" s="666"/>
      <c r="AD117" s="666"/>
      <c r="AE117" s="666"/>
      <c r="AF117" s="666"/>
      <c r="AG117" s="666"/>
      <c r="AH117" s="666"/>
      <c r="AI117" s="666"/>
      <c r="AJ117" s="666"/>
      <c r="AK117" s="666"/>
      <c r="AL117" s="666"/>
      <c r="AM117" s="666"/>
      <c r="AN117" s="666"/>
      <c r="AO117" s="666"/>
      <c r="AP117" s="666"/>
      <c r="AQ117" s="666"/>
      <c r="AR117" s="485"/>
      <c r="AS117" s="666"/>
      <c r="AT117" s="666"/>
      <c r="AU117" s="666"/>
      <c r="AV117" s="666"/>
      <c r="AW117" s="666"/>
      <c r="AX117" s="666"/>
      <c r="AY117" s="666"/>
      <c r="AZ117" s="666"/>
      <c r="BA117" s="666"/>
      <c r="BB117" s="666"/>
      <c r="BC117" s="666"/>
      <c r="BD117" s="666"/>
      <c r="BE117" s="666"/>
      <c r="BF117" s="666"/>
    </row>
    <row r="118" spans="1:58" s="421" customFormat="1" ht="12.75" x14ac:dyDescent="0.2">
      <c r="A118" s="588">
        <v>3</v>
      </c>
      <c r="B118" s="669" t="s">
        <v>854</v>
      </c>
      <c r="C118" s="654">
        <v>753030</v>
      </c>
      <c r="D118" s="664"/>
      <c r="E118" s="668"/>
      <c r="H118" s="670"/>
      <c r="I118" s="670"/>
      <c r="J118" s="670"/>
      <c r="K118" s="666"/>
      <c r="L118" s="666"/>
      <c r="M118" s="666"/>
      <c r="N118" s="666"/>
      <c r="O118" s="666"/>
      <c r="P118" s="666"/>
      <c r="Q118" s="666"/>
      <c r="R118" s="666"/>
      <c r="S118" s="666"/>
      <c r="T118" s="666"/>
      <c r="U118" s="666"/>
      <c r="V118" s="666"/>
      <c r="W118" s="666"/>
      <c r="X118" s="666"/>
      <c r="Y118" s="666"/>
      <c r="Z118" s="666"/>
      <c r="AA118" s="666"/>
      <c r="AB118" s="666"/>
      <c r="AC118" s="666"/>
      <c r="AD118" s="666"/>
      <c r="AE118" s="666"/>
      <c r="AF118" s="666"/>
      <c r="AG118" s="666"/>
      <c r="AH118" s="666"/>
      <c r="AI118" s="666"/>
      <c r="AJ118" s="666"/>
      <c r="AK118" s="666"/>
      <c r="AL118" s="666"/>
      <c r="AM118" s="666"/>
      <c r="AN118" s="666"/>
      <c r="AO118" s="666"/>
      <c r="AP118" s="666"/>
      <c r="AQ118" s="666"/>
      <c r="AR118" s="485"/>
      <c r="AS118" s="666"/>
      <c r="AT118" s="666"/>
      <c r="AU118" s="666"/>
      <c r="AV118" s="666"/>
      <c r="AW118" s="666"/>
      <c r="AX118" s="666"/>
      <c r="AY118" s="666"/>
      <c r="AZ118" s="666"/>
      <c r="BA118" s="666"/>
      <c r="BB118" s="666"/>
      <c r="BC118" s="666"/>
      <c r="BD118" s="666"/>
      <c r="BE118" s="666"/>
      <c r="BF118" s="666"/>
    </row>
    <row r="119" spans="1:58" s="421" customFormat="1" ht="12.75" x14ac:dyDescent="0.2">
      <c r="A119" s="588"/>
      <c r="B119" s="671" t="s">
        <v>855</v>
      </c>
      <c r="C119" s="656">
        <f>+C116+C118</f>
        <v>50085916</v>
      </c>
      <c r="D119" s="664"/>
      <c r="E119" s="668"/>
      <c r="H119" s="668"/>
      <c r="I119" s="668"/>
      <c r="J119" s="668"/>
      <c r="K119" s="668"/>
      <c r="L119" s="668"/>
      <c r="M119" s="668"/>
      <c r="N119" s="668"/>
      <c r="O119" s="668"/>
      <c r="P119" s="666"/>
      <c r="Q119" s="666"/>
      <c r="R119" s="666"/>
      <c r="S119" s="666"/>
      <c r="T119" s="666"/>
      <c r="U119" s="666"/>
      <c r="V119" s="666"/>
      <c r="W119" s="666"/>
      <c r="X119" s="666"/>
      <c r="Y119" s="666"/>
      <c r="Z119" s="666"/>
      <c r="AA119" s="666"/>
      <c r="AB119" s="666"/>
      <c r="AC119" s="666"/>
      <c r="AD119" s="666"/>
      <c r="AE119" s="666"/>
      <c r="AF119" s="666"/>
      <c r="AG119" s="666"/>
      <c r="AH119" s="666"/>
      <c r="AI119" s="666"/>
      <c r="AJ119" s="666"/>
      <c r="AK119" s="666"/>
      <c r="AL119" s="666"/>
      <c r="AM119" s="666"/>
      <c r="AN119" s="666"/>
      <c r="AO119" s="666"/>
      <c r="AP119" s="666"/>
      <c r="AQ119" s="666"/>
      <c r="AR119" s="485"/>
      <c r="AS119" s="666"/>
      <c r="AT119" s="666"/>
      <c r="AU119" s="666"/>
      <c r="AV119" s="666"/>
      <c r="AW119" s="666"/>
      <c r="AX119" s="666"/>
      <c r="AY119" s="666"/>
      <c r="AZ119" s="666"/>
      <c r="BA119" s="666"/>
      <c r="BB119" s="666"/>
      <c r="BC119" s="666"/>
      <c r="BD119" s="666"/>
      <c r="BE119" s="666"/>
      <c r="BF119" s="666"/>
    </row>
    <row r="120" spans="1:58" s="421" customFormat="1" ht="12.75" x14ac:dyDescent="0.2">
      <c r="A120" s="588"/>
      <c r="B120" s="586"/>
      <c r="C120" s="586"/>
      <c r="D120" s="685"/>
      <c r="E120" s="668"/>
      <c r="H120" s="668"/>
      <c r="I120" s="668"/>
      <c r="J120" s="668"/>
      <c r="K120" s="668"/>
      <c r="L120" s="668"/>
      <c r="M120" s="668"/>
      <c r="N120" s="668"/>
      <c r="O120" s="668"/>
      <c r="P120" s="666"/>
      <c r="Q120" s="666"/>
      <c r="R120" s="666"/>
      <c r="S120" s="666"/>
      <c r="T120" s="666"/>
      <c r="U120" s="666"/>
      <c r="V120" s="666"/>
      <c r="W120" s="666"/>
      <c r="X120" s="666"/>
      <c r="Y120" s="666"/>
      <c r="Z120" s="666"/>
      <c r="AA120" s="666"/>
      <c r="AB120" s="666"/>
      <c r="AC120" s="666"/>
      <c r="AD120" s="666"/>
      <c r="AE120" s="666"/>
      <c r="AF120" s="666"/>
      <c r="AG120" s="666"/>
      <c r="AH120" s="666"/>
      <c r="AI120" s="666"/>
      <c r="AJ120" s="666"/>
      <c r="AK120" s="666"/>
      <c r="AL120" s="666"/>
      <c r="AM120" s="666"/>
      <c r="AN120" s="666"/>
      <c r="AO120" s="666"/>
      <c r="AP120" s="666"/>
      <c r="AQ120" s="666"/>
      <c r="AR120" s="485"/>
      <c r="AS120" s="666"/>
      <c r="AT120" s="666"/>
      <c r="AU120" s="666"/>
      <c r="AV120" s="666"/>
      <c r="AW120" s="666"/>
      <c r="AX120" s="666"/>
      <c r="AY120" s="666"/>
      <c r="AZ120" s="666"/>
      <c r="BA120" s="666"/>
      <c r="BB120" s="666"/>
      <c r="BC120" s="666"/>
      <c r="BD120" s="666"/>
      <c r="BE120" s="666"/>
      <c r="BF120" s="666"/>
    </row>
    <row r="121" spans="1:58" s="421" customFormat="1" ht="12.75" x14ac:dyDescent="0.2">
      <c r="A121" s="588">
        <v>4</v>
      </c>
      <c r="B121" s="669" t="s">
        <v>856</v>
      </c>
      <c r="C121" s="589">
        <v>50085912</v>
      </c>
      <c r="D121" s="686"/>
      <c r="E121" s="668"/>
      <c r="H121" s="670"/>
      <c r="I121" s="670"/>
      <c r="J121" s="670"/>
      <c r="K121" s="666"/>
      <c r="L121" s="666"/>
      <c r="M121" s="666"/>
      <c r="N121" s="666"/>
      <c r="O121" s="666"/>
      <c r="P121" s="666"/>
      <c r="Q121" s="666"/>
      <c r="R121" s="666"/>
      <c r="S121" s="666"/>
      <c r="T121" s="666"/>
      <c r="U121" s="666"/>
      <c r="V121" s="666"/>
      <c r="W121" s="666"/>
      <c r="X121" s="666"/>
      <c r="Y121" s="666"/>
      <c r="Z121" s="666"/>
      <c r="AA121" s="666"/>
      <c r="AB121" s="666"/>
      <c r="AC121" s="666"/>
      <c r="AD121" s="666"/>
      <c r="AE121" s="666"/>
      <c r="AF121" s="666"/>
      <c r="AG121" s="666"/>
      <c r="AH121" s="666"/>
      <c r="AI121" s="666"/>
      <c r="AJ121" s="666"/>
      <c r="AK121" s="666"/>
      <c r="AL121" s="666"/>
      <c r="AM121" s="666"/>
      <c r="AN121" s="666"/>
      <c r="AO121" s="666"/>
      <c r="AP121" s="666"/>
      <c r="AQ121" s="666"/>
      <c r="AR121" s="485"/>
      <c r="AS121" s="666"/>
      <c r="AT121" s="666"/>
      <c r="AU121" s="666"/>
      <c r="AV121" s="666"/>
      <c r="AW121" s="666"/>
      <c r="AX121" s="666"/>
      <c r="AY121" s="666"/>
      <c r="AZ121" s="666"/>
      <c r="BA121" s="666"/>
      <c r="BB121" s="666"/>
      <c r="BC121" s="666"/>
      <c r="BD121" s="666"/>
      <c r="BE121" s="666"/>
      <c r="BF121" s="666"/>
    </row>
    <row r="122" spans="1:58" s="421" customFormat="1" ht="12.75" x14ac:dyDescent="0.2">
      <c r="A122" s="588"/>
      <c r="B122" s="669"/>
      <c r="C122" s="669"/>
      <c r="D122" s="685"/>
      <c r="E122" s="668"/>
      <c r="H122" s="668"/>
      <c r="I122" s="668"/>
      <c r="J122" s="668"/>
      <c r="K122" s="668"/>
      <c r="L122" s="668"/>
      <c r="M122" s="668"/>
      <c r="N122" s="668"/>
      <c r="O122" s="668"/>
      <c r="P122" s="666"/>
      <c r="Q122" s="666"/>
      <c r="R122" s="666"/>
      <c r="S122" s="666"/>
      <c r="T122" s="666"/>
      <c r="U122" s="666"/>
      <c r="V122" s="666"/>
      <c r="W122" s="666"/>
      <c r="X122" s="666"/>
      <c r="Y122" s="666"/>
      <c r="Z122" s="666"/>
      <c r="AA122" s="666"/>
      <c r="AB122" s="666"/>
      <c r="AC122" s="666"/>
      <c r="AD122" s="666"/>
      <c r="AE122" s="666"/>
      <c r="AF122" s="666"/>
      <c r="AG122" s="666"/>
      <c r="AH122" s="666"/>
      <c r="AI122" s="666"/>
      <c r="AJ122" s="666"/>
      <c r="AK122" s="666"/>
      <c r="AL122" s="666"/>
      <c r="AM122" s="666"/>
      <c r="AN122" s="666"/>
      <c r="AO122" s="666"/>
      <c r="AP122" s="666"/>
      <c r="AQ122" s="666"/>
      <c r="AR122" s="485"/>
      <c r="AS122" s="666"/>
      <c r="AT122" s="666"/>
      <c r="AU122" s="666"/>
      <c r="AV122" s="666"/>
      <c r="AW122" s="666"/>
      <c r="AX122" s="666"/>
      <c r="AY122" s="666"/>
      <c r="AZ122" s="666"/>
      <c r="BA122" s="666"/>
      <c r="BB122" s="666"/>
      <c r="BC122" s="666"/>
      <c r="BD122" s="666"/>
      <c r="BE122" s="666"/>
      <c r="BF122" s="666"/>
    </row>
    <row r="123" spans="1:58" s="421" customFormat="1" ht="12.75" x14ac:dyDescent="0.2">
      <c r="A123" s="588"/>
      <c r="B123" s="671" t="s">
        <v>857</v>
      </c>
      <c r="C123" s="658">
        <f>C119-C121</f>
        <v>4</v>
      </c>
      <c r="D123" s="686"/>
      <c r="E123" s="668"/>
      <c r="H123" s="670"/>
      <c r="I123" s="670"/>
      <c r="J123" s="670"/>
      <c r="K123" s="666"/>
      <c r="L123" s="666"/>
      <c r="M123" s="666"/>
      <c r="N123" s="666"/>
      <c r="O123" s="666"/>
      <c r="P123" s="666"/>
      <c r="Q123" s="666"/>
      <c r="R123" s="666"/>
      <c r="S123" s="666"/>
      <c r="T123" s="666"/>
      <c r="U123" s="666"/>
      <c r="V123" s="666"/>
      <c r="W123" s="666"/>
      <c r="X123" s="666"/>
      <c r="Y123" s="666"/>
      <c r="Z123" s="666"/>
      <c r="AA123" s="666"/>
      <c r="AB123" s="666"/>
      <c r="AC123" s="666"/>
      <c r="AD123" s="666"/>
      <c r="AE123" s="666"/>
      <c r="AF123" s="666"/>
      <c r="AG123" s="666"/>
      <c r="AH123" s="666"/>
      <c r="AI123" s="666"/>
      <c r="AJ123" s="666"/>
      <c r="AK123" s="666"/>
      <c r="AL123" s="666"/>
      <c r="AM123" s="666"/>
      <c r="AN123" s="666"/>
      <c r="AO123" s="666"/>
      <c r="AP123" s="666"/>
      <c r="AQ123" s="666"/>
      <c r="AR123" s="485"/>
      <c r="AS123" s="666"/>
      <c r="AT123" s="666"/>
      <c r="AU123" s="666"/>
      <c r="AV123" s="666"/>
      <c r="AW123" s="666"/>
      <c r="AX123" s="666"/>
      <c r="AY123" s="666"/>
      <c r="AZ123" s="666"/>
      <c r="BA123" s="666"/>
      <c r="BB123" s="666"/>
      <c r="BC123" s="666"/>
      <c r="BD123" s="666"/>
      <c r="BE123" s="666"/>
      <c r="BF123" s="666"/>
    </row>
    <row r="124" spans="1:58" s="421" customFormat="1" ht="12.75" x14ac:dyDescent="0.2">
      <c r="A124" s="588"/>
      <c r="B124" s="669"/>
      <c r="C124" s="669"/>
      <c r="D124" s="687"/>
      <c r="E124" s="668"/>
      <c r="H124" s="668"/>
      <c r="I124" s="668"/>
      <c r="J124" s="668"/>
      <c r="K124" s="668"/>
      <c r="L124" s="668"/>
      <c r="M124" s="668"/>
      <c r="N124" s="668"/>
      <c r="O124" s="668"/>
      <c r="P124" s="666"/>
      <c r="Q124" s="666"/>
      <c r="R124" s="666"/>
      <c r="S124" s="666"/>
      <c r="T124" s="666"/>
      <c r="U124" s="666"/>
      <c r="V124" s="666"/>
      <c r="W124" s="666"/>
      <c r="X124" s="666"/>
      <c r="Y124" s="666"/>
      <c r="Z124" s="666"/>
      <c r="AA124" s="666"/>
      <c r="AB124" s="666"/>
      <c r="AC124" s="666"/>
      <c r="AD124" s="666"/>
      <c r="AE124" s="666"/>
      <c r="AF124" s="666"/>
      <c r="AG124" s="666"/>
      <c r="AH124" s="666"/>
      <c r="AI124" s="666"/>
      <c r="AJ124" s="666"/>
      <c r="AK124" s="666"/>
      <c r="AL124" s="666"/>
      <c r="AM124" s="666"/>
      <c r="AN124" s="666"/>
      <c r="AO124" s="666"/>
      <c r="AP124" s="666"/>
      <c r="AQ124" s="666"/>
      <c r="AR124" s="485"/>
      <c r="AS124" s="666"/>
      <c r="AT124" s="666"/>
      <c r="AU124" s="666"/>
      <c r="AV124" s="666"/>
      <c r="AW124" s="666"/>
      <c r="AX124" s="666"/>
      <c r="AY124" s="666"/>
      <c r="AZ124" s="666"/>
      <c r="BA124" s="666"/>
      <c r="BB124" s="666"/>
      <c r="BC124" s="666"/>
      <c r="BD124" s="666"/>
      <c r="BE124" s="666"/>
      <c r="BF124" s="666"/>
    </row>
    <row r="125" spans="1:58" s="421" customFormat="1" ht="12.75" x14ac:dyDescent="0.2">
      <c r="A125" s="425" t="s">
        <v>26</v>
      </c>
      <c r="B125" s="585" t="s">
        <v>858</v>
      </c>
      <c r="C125" s="586"/>
      <c r="D125" s="664"/>
      <c r="E125" s="668"/>
      <c r="H125" s="668"/>
      <c r="I125" s="668"/>
      <c r="J125" s="668"/>
      <c r="K125" s="668"/>
      <c r="L125" s="668"/>
      <c r="M125" s="668"/>
      <c r="N125" s="668"/>
      <c r="O125" s="668"/>
      <c r="P125" s="666"/>
      <c r="Q125" s="666"/>
      <c r="R125" s="666"/>
      <c r="S125" s="666"/>
      <c r="T125" s="666"/>
      <c r="U125" s="666"/>
      <c r="V125" s="666"/>
      <c r="W125" s="666"/>
      <c r="X125" s="666"/>
      <c r="Y125" s="666"/>
      <c r="Z125" s="666"/>
      <c r="AA125" s="666"/>
      <c r="AB125" s="666"/>
      <c r="AC125" s="666"/>
      <c r="AD125" s="666"/>
      <c r="AE125" s="666"/>
      <c r="AF125" s="666"/>
      <c r="AG125" s="666"/>
      <c r="AH125" s="666"/>
      <c r="AI125" s="666"/>
      <c r="AJ125" s="666"/>
      <c r="AK125" s="666"/>
      <c r="AL125" s="666"/>
      <c r="AM125" s="666"/>
      <c r="AN125" s="666"/>
      <c r="AO125" s="666"/>
      <c r="AP125" s="666"/>
      <c r="AQ125" s="666"/>
      <c r="AR125" s="485"/>
      <c r="AS125" s="666"/>
      <c r="AT125" s="666"/>
      <c r="AU125" s="666"/>
      <c r="AV125" s="666"/>
      <c r="AW125" s="666"/>
      <c r="AX125" s="666"/>
      <c r="AY125" s="666"/>
      <c r="AZ125" s="666"/>
      <c r="BA125" s="666"/>
      <c r="BB125" s="666"/>
      <c r="BC125" s="666"/>
      <c r="BD125" s="666"/>
      <c r="BE125" s="666"/>
      <c r="BF125" s="666"/>
    </row>
    <row r="126" spans="1:58" s="421" customFormat="1" ht="12.75" x14ac:dyDescent="0.2">
      <c r="A126" s="586"/>
      <c r="B126" s="627"/>
      <c r="C126" s="586"/>
      <c r="D126" s="664"/>
      <c r="E126" s="668"/>
      <c r="H126" s="668"/>
      <c r="I126" s="668"/>
      <c r="J126" s="668"/>
      <c r="K126" s="668"/>
      <c r="L126" s="668"/>
      <c r="M126" s="668"/>
      <c r="N126" s="668"/>
      <c r="O126" s="668"/>
      <c r="P126" s="666"/>
      <c r="Q126" s="666"/>
      <c r="R126" s="666"/>
      <c r="S126" s="666"/>
      <c r="T126" s="666"/>
      <c r="U126" s="666"/>
      <c r="V126" s="666"/>
      <c r="W126" s="666"/>
      <c r="X126" s="666"/>
      <c r="Y126" s="666"/>
      <c r="Z126" s="666"/>
      <c r="AA126" s="666"/>
      <c r="AB126" s="666"/>
      <c r="AC126" s="666"/>
      <c r="AD126" s="666"/>
      <c r="AE126" s="666"/>
      <c r="AF126" s="666"/>
      <c r="AG126" s="666"/>
      <c r="AH126" s="666"/>
      <c r="AI126" s="666"/>
      <c r="AJ126" s="666"/>
      <c r="AK126" s="666"/>
      <c r="AL126" s="666"/>
      <c r="AM126" s="666"/>
      <c r="AN126" s="666"/>
      <c r="AO126" s="666"/>
      <c r="AP126" s="666"/>
      <c r="AQ126" s="666"/>
      <c r="AR126" s="485"/>
      <c r="AS126" s="666"/>
      <c r="AT126" s="666"/>
      <c r="AU126" s="666"/>
      <c r="AV126" s="666"/>
      <c r="AW126" s="666"/>
      <c r="AX126" s="666"/>
      <c r="AY126" s="666"/>
      <c r="AZ126" s="666"/>
      <c r="BA126" s="666"/>
      <c r="BB126" s="666"/>
      <c r="BC126" s="666"/>
      <c r="BD126" s="666"/>
      <c r="BE126" s="666"/>
      <c r="BF126" s="666"/>
    </row>
    <row r="127" spans="1:58" s="421" customFormat="1" ht="12.75" x14ac:dyDescent="0.2">
      <c r="A127" s="588">
        <v>1</v>
      </c>
      <c r="B127" s="669" t="s">
        <v>859</v>
      </c>
      <c r="C127" s="590">
        <f>C38</f>
        <v>145172347</v>
      </c>
      <c r="D127" s="664"/>
      <c r="AR127" s="485"/>
    </row>
    <row r="128" spans="1:58" s="421" customFormat="1" ht="12.75" x14ac:dyDescent="0.2">
      <c r="A128" s="588">
        <v>2</v>
      </c>
      <c r="B128" s="659" t="s">
        <v>860</v>
      </c>
      <c r="C128" s="589">
        <v>0</v>
      </c>
      <c r="D128" s="664"/>
      <c r="AR128" s="485"/>
    </row>
    <row r="129" spans="1:44" s="421" customFormat="1" ht="12.75" x14ac:dyDescent="0.2">
      <c r="A129" s="588"/>
      <c r="B129" s="671" t="s">
        <v>861</v>
      </c>
      <c r="C129" s="657">
        <f>C127+C128</f>
        <v>145172347</v>
      </c>
      <c r="D129" s="664"/>
      <c r="AR129" s="485"/>
    </row>
    <row r="130" spans="1:44" s="421" customFormat="1" ht="12.75" x14ac:dyDescent="0.2">
      <c r="A130" s="588"/>
      <c r="B130" s="586"/>
      <c r="C130" s="589"/>
      <c r="D130" s="664"/>
      <c r="AR130" s="485"/>
    </row>
    <row r="131" spans="1:44" s="421" customFormat="1" ht="12.75" x14ac:dyDescent="0.2">
      <c r="A131" s="588">
        <v>3</v>
      </c>
      <c r="B131" s="669" t="s">
        <v>862</v>
      </c>
      <c r="C131" s="589">
        <v>145172348</v>
      </c>
      <c r="D131" s="664"/>
      <c r="AR131" s="485"/>
    </row>
    <row r="132" spans="1:44" s="421" customFormat="1" ht="12.75" x14ac:dyDescent="0.2">
      <c r="A132" s="588"/>
      <c r="B132" s="669"/>
      <c r="C132" s="589"/>
      <c r="D132" s="664"/>
      <c r="AR132" s="485"/>
    </row>
    <row r="133" spans="1:44" s="421" customFormat="1" ht="12.75" x14ac:dyDescent="0.2">
      <c r="A133" s="588"/>
      <c r="B133" s="671" t="s">
        <v>857</v>
      </c>
      <c r="C133" s="657">
        <f>C129-C131</f>
        <v>-1</v>
      </c>
      <c r="D133" s="664"/>
      <c r="AR133" s="485"/>
    </row>
    <row r="134" spans="1:44" s="421" customFormat="1" ht="12.75" x14ac:dyDescent="0.2">
      <c r="A134" s="669"/>
      <c r="B134" s="586"/>
      <c r="C134" s="586"/>
      <c r="D134" s="664"/>
      <c r="AR134" s="485"/>
    </row>
    <row r="135" spans="1:44" s="421" customFormat="1" ht="12.75" x14ac:dyDescent="0.2">
      <c r="A135" s="584" t="s">
        <v>36</v>
      </c>
      <c r="B135" s="585" t="s">
        <v>863</v>
      </c>
      <c r="C135" s="586"/>
      <c r="D135" s="664"/>
      <c r="AR135" s="485"/>
    </row>
    <row r="136" spans="1:44" s="421" customFormat="1" ht="12.75" x14ac:dyDescent="0.2">
      <c r="A136" s="586"/>
      <c r="B136" s="627"/>
      <c r="C136" s="586"/>
      <c r="D136" s="664"/>
      <c r="AR136" s="485"/>
    </row>
    <row r="137" spans="1:44" s="421" customFormat="1" ht="12.75" x14ac:dyDescent="0.2">
      <c r="A137" s="588">
        <v>1</v>
      </c>
      <c r="B137" s="669" t="s">
        <v>864</v>
      </c>
      <c r="C137" s="589">
        <f>C105</f>
        <v>3163662</v>
      </c>
      <c r="D137" s="664"/>
      <c r="AR137" s="485"/>
    </row>
    <row r="138" spans="1:44" s="421" customFormat="1" ht="12.75" x14ac:dyDescent="0.2">
      <c r="A138" s="588">
        <v>2</v>
      </c>
      <c r="B138" s="669" t="s">
        <v>880</v>
      </c>
      <c r="C138" s="589">
        <v>0</v>
      </c>
      <c r="D138" s="664"/>
      <c r="AR138" s="485"/>
    </row>
    <row r="139" spans="1:44" s="421" customFormat="1" ht="12.75" x14ac:dyDescent="0.2">
      <c r="A139" s="588"/>
      <c r="B139" s="671" t="s">
        <v>866</v>
      </c>
      <c r="C139" s="657">
        <f>C137+C138</f>
        <v>3163662</v>
      </c>
      <c r="D139" s="664"/>
      <c r="AR139" s="485"/>
    </row>
    <row r="140" spans="1:44" s="421" customFormat="1" ht="12.75" x14ac:dyDescent="0.2">
      <c r="A140" s="588"/>
      <c r="B140" s="586"/>
      <c r="C140" s="589"/>
      <c r="D140" s="664"/>
      <c r="AR140" s="485"/>
    </row>
    <row r="141" spans="1:44" s="421" customFormat="1" ht="12.75" x14ac:dyDescent="0.2">
      <c r="A141" s="588">
        <v>3</v>
      </c>
      <c r="B141" s="669" t="s">
        <v>881</v>
      </c>
      <c r="C141" s="589">
        <v>3163662</v>
      </c>
      <c r="D141" s="664"/>
      <c r="AR141" s="485"/>
    </row>
    <row r="142" spans="1:44" s="421" customFormat="1" ht="12.75" x14ac:dyDescent="0.2">
      <c r="A142" s="588"/>
      <c r="B142" s="669"/>
      <c r="C142" s="589"/>
      <c r="D142" s="664"/>
      <c r="AR142" s="485"/>
    </row>
    <row r="143" spans="1:44" s="421" customFormat="1" ht="12.75" x14ac:dyDescent="0.2">
      <c r="A143" s="588"/>
      <c r="B143" s="671" t="s">
        <v>868</v>
      </c>
      <c r="C143" s="657">
        <f>C139-C141</f>
        <v>0</v>
      </c>
      <c r="D143" s="664"/>
      <c r="AR143" s="485"/>
    </row>
  </sheetData>
  <mergeCells count="6">
    <mergeCell ref="A2:C2"/>
    <mergeCell ref="A3:C3"/>
    <mergeCell ref="A4:C4"/>
    <mergeCell ref="A5:C5"/>
    <mergeCell ref="A6:C6"/>
    <mergeCell ref="A7:C7"/>
  </mergeCells>
  <printOptions gridLines="1"/>
  <pageMargins left="0.5" right="0.5" top="0.5" bottom="0.5" header="0.25" footer="0.25"/>
  <pageSetup scale="74" fitToHeight="0" orientation="portrait" r:id="rId1"/>
  <headerFooter>
    <oddHeader>&amp;LOFFICE OF HEALTH CARE ACCESS&amp;CTWELVE MONTHS ACTUAL FILING&amp;RESSENT-SHARON HOSPITAL</oddHeader>
    <oddFooter>&amp;LREPORT 600&amp;CPAGE &amp;P of &amp;N&amp;R&amp;D, &amp;T</oddFooter>
  </headerFooter>
  <rowBreaks count="2" manualBreakCount="2">
    <brk id="66" max="2" man="1"/>
    <brk id="109" max="2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zoomScale="75" zoomScaleSheetLayoutView="90" workbookViewId="0">
      <selection activeCell="B43" sqref="B43"/>
    </sheetView>
  </sheetViews>
  <sheetFormatPr defaultRowHeight="12.75" x14ac:dyDescent="0.2"/>
  <cols>
    <col min="1" max="1" width="5.85546875" style="365" customWidth="1"/>
    <col min="2" max="2" width="60.28515625" style="365" customWidth="1"/>
    <col min="3" max="4" width="18.7109375" style="365" customWidth="1"/>
    <col min="5" max="6" width="15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.75" customHeight="1" x14ac:dyDescent="0.2">
      <c r="A1" s="826"/>
      <c r="B1" s="827"/>
      <c r="C1" s="827"/>
      <c r="D1" s="827"/>
      <c r="E1" s="827"/>
      <c r="F1" s="828"/>
    </row>
    <row r="2" spans="1:14" ht="15.75" customHeight="1" x14ac:dyDescent="0.25">
      <c r="A2" s="829" t="s">
        <v>0</v>
      </c>
      <c r="B2" s="830"/>
      <c r="C2" s="830"/>
      <c r="D2" s="830"/>
      <c r="E2" s="830"/>
      <c r="F2" s="831"/>
    </row>
    <row r="3" spans="1:14" ht="15.75" customHeight="1" x14ac:dyDescent="0.25">
      <c r="A3" s="829" t="s">
        <v>629</v>
      </c>
      <c r="B3" s="830"/>
      <c r="C3" s="830"/>
      <c r="D3" s="830"/>
      <c r="E3" s="830"/>
      <c r="F3" s="831"/>
    </row>
    <row r="4" spans="1:14" ht="15.75" customHeight="1" x14ac:dyDescent="0.25">
      <c r="A4" s="829" t="s">
        <v>2</v>
      </c>
      <c r="B4" s="830"/>
      <c r="C4" s="830"/>
      <c r="D4" s="830"/>
      <c r="E4" s="830"/>
      <c r="F4" s="831"/>
    </row>
    <row r="5" spans="1:14" ht="15.75" customHeight="1" x14ac:dyDescent="0.25">
      <c r="A5" s="829" t="s">
        <v>882</v>
      </c>
      <c r="B5" s="830"/>
      <c r="C5" s="830"/>
      <c r="D5" s="830"/>
      <c r="E5" s="830"/>
      <c r="F5" s="831"/>
    </row>
    <row r="6" spans="1:14" ht="15.75" customHeight="1" x14ac:dyDescent="0.25">
      <c r="A6" s="688"/>
      <c r="B6" s="688"/>
      <c r="C6" s="177"/>
      <c r="D6" s="177"/>
      <c r="E6" s="688"/>
      <c r="F6" s="688"/>
      <c r="M6" s="689"/>
    </row>
    <row r="7" spans="1:14" ht="15.75" customHeight="1" x14ac:dyDescent="0.25">
      <c r="A7" s="690">
        <v>-1</v>
      </c>
      <c r="B7" s="690">
        <v>-2</v>
      </c>
      <c r="C7" s="690">
        <v>-3</v>
      </c>
      <c r="D7" s="690">
        <v>-4</v>
      </c>
      <c r="E7" s="690">
        <v>-5</v>
      </c>
      <c r="F7" s="690">
        <v>-6</v>
      </c>
    </row>
    <row r="8" spans="1:14" ht="15.75" customHeight="1" x14ac:dyDescent="0.25">
      <c r="A8" s="688"/>
      <c r="B8" s="393"/>
      <c r="C8" s="177" t="s">
        <v>632</v>
      </c>
      <c r="D8" s="177" t="s">
        <v>632</v>
      </c>
      <c r="E8" s="177" t="s">
        <v>6</v>
      </c>
      <c r="F8" s="177" t="s">
        <v>7</v>
      </c>
      <c r="G8" s="691"/>
      <c r="H8" s="692"/>
      <c r="I8" s="396"/>
      <c r="J8" s="396"/>
      <c r="K8" s="396"/>
      <c r="L8" s="396"/>
      <c r="M8" s="396"/>
    </row>
    <row r="9" spans="1:14" ht="15.75" customHeight="1" x14ac:dyDescent="0.25">
      <c r="A9" s="693" t="s">
        <v>8</v>
      </c>
      <c r="B9" s="694" t="s">
        <v>9</v>
      </c>
      <c r="C9" s="695" t="s">
        <v>4</v>
      </c>
      <c r="D9" s="695" t="s">
        <v>5</v>
      </c>
      <c r="E9" s="693" t="s">
        <v>11</v>
      </c>
      <c r="F9" s="693" t="s">
        <v>11</v>
      </c>
      <c r="G9" s="691"/>
      <c r="H9" s="692"/>
      <c r="I9" s="396"/>
      <c r="J9" s="396"/>
      <c r="K9" s="396"/>
      <c r="L9" s="396"/>
      <c r="M9" s="396"/>
      <c r="N9" s="696"/>
    </row>
    <row r="10" spans="1:14" ht="15.75" customHeight="1" x14ac:dyDescent="0.25">
      <c r="A10" s="693"/>
      <c r="B10" s="697"/>
      <c r="C10" s="693"/>
      <c r="D10" s="693"/>
      <c r="E10" s="693"/>
      <c r="F10" s="693"/>
      <c r="G10" s="691"/>
      <c r="H10" s="692"/>
      <c r="I10" s="396"/>
      <c r="J10" s="396"/>
      <c r="K10" s="396"/>
      <c r="L10" s="396"/>
      <c r="M10" s="396"/>
      <c r="N10" s="696"/>
    </row>
    <row r="11" spans="1:14" ht="15.75" customHeight="1" x14ac:dyDescent="0.25">
      <c r="A11" s="71" t="s">
        <v>14</v>
      </c>
      <c r="B11" s="694" t="s">
        <v>883</v>
      </c>
      <c r="C11" s="76"/>
      <c r="D11" s="76"/>
      <c r="E11" s="76"/>
      <c r="F11" s="77"/>
      <c r="G11" s="691"/>
      <c r="H11" s="692"/>
      <c r="I11" s="396"/>
      <c r="J11" s="396"/>
      <c r="K11" s="396"/>
      <c r="L11" s="396"/>
      <c r="M11" s="396"/>
      <c r="N11" s="696"/>
    </row>
    <row r="12" spans="1:14" ht="15" customHeight="1" x14ac:dyDescent="0.2">
      <c r="A12" s="74">
        <v>1</v>
      </c>
      <c r="B12" s="698" t="s">
        <v>884</v>
      </c>
      <c r="C12" s="185">
        <v>70</v>
      </c>
      <c r="D12" s="185">
        <v>132</v>
      </c>
      <c r="E12" s="185">
        <f>+D12-C12</f>
        <v>62</v>
      </c>
      <c r="F12" s="77">
        <f>IF(C12=0,0,+E12/C12)</f>
        <v>0.88571428571428568</v>
      </c>
      <c r="G12" s="699"/>
      <c r="H12" s="700"/>
      <c r="I12" s="701"/>
      <c r="J12" s="396"/>
      <c r="K12" s="396"/>
      <c r="L12" s="396"/>
      <c r="M12" s="396"/>
    </row>
    <row r="13" spans="1:14" ht="15" customHeight="1" x14ac:dyDescent="0.2">
      <c r="A13" s="85">
        <v>2</v>
      </c>
      <c r="B13" s="698" t="s">
        <v>885</v>
      </c>
      <c r="C13" s="185">
        <v>70</v>
      </c>
      <c r="D13" s="185">
        <v>132</v>
      </c>
      <c r="E13" s="185">
        <f>+D13-C13</f>
        <v>62</v>
      </c>
      <c r="F13" s="77">
        <f>IF(C13=0,0,+E13/C13)</f>
        <v>0.88571428571428568</v>
      </c>
      <c r="G13" s="699"/>
      <c r="H13" s="700"/>
      <c r="I13" s="701"/>
      <c r="J13" s="396"/>
      <c r="K13" s="396"/>
      <c r="L13" s="396"/>
      <c r="M13" s="396"/>
    </row>
    <row r="14" spans="1:14" ht="15.75" customHeight="1" x14ac:dyDescent="0.2">
      <c r="A14" s="74"/>
      <c r="B14" s="698"/>
      <c r="C14" s="76"/>
      <c r="D14" s="76"/>
      <c r="E14" s="76"/>
      <c r="F14" s="77"/>
      <c r="G14" s="699"/>
      <c r="H14" s="700"/>
      <c r="I14" s="701"/>
      <c r="J14" s="396"/>
      <c r="K14" s="396"/>
      <c r="L14" s="396"/>
      <c r="M14" s="396"/>
    </row>
    <row r="15" spans="1:14" ht="15" customHeight="1" x14ac:dyDescent="0.25">
      <c r="A15" s="74">
        <v>3</v>
      </c>
      <c r="B15" s="702" t="s">
        <v>886</v>
      </c>
      <c r="C15" s="76">
        <v>941923</v>
      </c>
      <c r="D15" s="76">
        <v>892961</v>
      </c>
      <c r="E15" s="76">
        <f>+D15-C15</f>
        <v>-48962</v>
      </c>
      <c r="F15" s="77">
        <f>IF(C15=0,0,+E15/C15)</f>
        <v>-5.1980894404319675E-2</v>
      </c>
      <c r="G15" s="699"/>
      <c r="H15" s="700"/>
      <c r="I15" s="701"/>
      <c r="J15" s="396"/>
      <c r="K15" s="396"/>
      <c r="L15" s="396"/>
      <c r="M15" s="396"/>
    </row>
    <row r="16" spans="1:14" ht="15.75" customHeight="1" x14ac:dyDescent="0.25">
      <c r="A16" s="74">
        <v>4</v>
      </c>
      <c r="B16" s="702" t="s">
        <v>887</v>
      </c>
      <c r="C16" s="79">
        <f>IF(C13=0,0,+C15/+C13)</f>
        <v>13456.042857142857</v>
      </c>
      <c r="D16" s="79">
        <f>IF(D13=0,0,+D15/+D13)</f>
        <v>6764.856060606061</v>
      </c>
      <c r="E16" s="79">
        <f>+D16-C16</f>
        <v>-6691.1867965367956</v>
      </c>
      <c r="F16" s="80">
        <f>IF(C16=0,0,+E16/C16)</f>
        <v>-0.49726259551744217</v>
      </c>
      <c r="G16" s="699"/>
      <c r="H16" s="700"/>
      <c r="I16" s="701"/>
      <c r="J16" s="396"/>
      <c r="K16" s="396"/>
      <c r="L16" s="396"/>
      <c r="M16" s="396"/>
    </row>
    <row r="17" spans="1:13" ht="15.75" customHeight="1" x14ac:dyDescent="0.2">
      <c r="A17" s="74"/>
      <c r="B17" s="698"/>
      <c r="C17" s="76"/>
      <c r="D17" s="76"/>
      <c r="E17" s="76"/>
      <c r="F17" s="77"/>
      <c r="G17" s="699"/>
      <c r="H17" s="700"/>
      <c r="I17" s="701"/>
      <c r="J17" s="396"/>
      <c r="K17" s="396"/>
      <c r="L17" s="396"/>
      <c r="M17" s="396"/>
    </row>
    <row r="18" spans="1:13" ht="15" customHeight="1" x14ac:dyDescent="0.2">
      <c r="A18" s="74">
        <v>5</v>
      </c>
      <c r="B18" s="703" t="s">
        <v>888</v>
      </c>
      <c r="C18" s="704">
        <v>0.37257400000000002</v>
      </c>
      <c r="D18" s="704">
        <v>0.33408700000000002</v>
      </c>
      <c r="E18" s="704">
        <f>+D18-C18</f>
        <v>-3.8486999999999993E-2</v>
      </c>
      <c r="F18" s="77">
        <f>IF(C18=0,0,+E18/C18)</f>
        <v>-0.1033002839704327</v>
      </c>
      <c r="G18" s="699"/>
      <c r="H18" s="700"/>
      <c r="I18" s="701"/>
      <c r="J18" s="396"/>
      <c r="K18" s="396"/>
      <c r="L18" s="396"/>
      <c r="M18" s="396"/>
    </row>
    <row r="19" spans="1:13" ht="15.75" customHeight="1" x14ac:dyDescent="0.25">
      <c r="A19" s="74">
        <v>6</v>
      </c>
      <c r="B19" s="702" t="s">
        <v>889</v>
      </c>
      <c r="C19" s="79">
        <f>+C15*C18</f>
        <v>350936.01980200002</v>
      </c>
      <c r="D19" s="79">
        <f>+D15*D18</f>
        <v>298326.66160700005</v>
      </c>
      <c r="E19" s="79">
        <f>+D19-C19</f>
        <v>-52609.358194999979</v>
      </c>
      <c r="F19" s="80">
        <f>IF(C19=0,0,+E19/C19)</f>
        <v>-0.14991153722174902</v>
      </c>
      <c r="G19" s="699"/>
      <c r="H19" s="700"/>
      <c r="I19" s="701"/>
      <c r="J19" s="396"/>
      <c r="K19" s="396"/>
      <c r="L19" s="396"/>
      <c r="M19" s="396"/>
    </row>
    <row r="20" spans="1:13" ht="15.75" customHeight="1" x14ac:dyDescent="0.25">
      <c r="A20" s="74">
        <v>7</v>
      </c>
      <c r="B20" s="702" t="s">
        <v>890</v>
      </c>
      <c r="C20" s="79">
        <f>IF(C13=0,0,+C19/C13)</f>
        <v>5013.3717114571436</v>
      </c>
      <c r="D20" s="79">
        <f>IF(D13=0,0,+D19/D13)</f>
        <v>2260.0504667196974</v>
      </c>
      <c r="E20" s="79">
        <f>+D20-C20</f>
        <v>-2753.3212447374462</v>
      </c>
      <c r="F20" s="80">
        <f>IF(C20=0,0,+E20/C20)</f>
        <v>-0.54919551216304874</v>
      </c>
      <c r="G20" s="699"/>
      <c r="H20" s="700"/>
      <c r="I20" s="701"/>
      <c r="J20" s="396"/>
      <c r="K20" s="396"/>
      <c r="L20" s="396"/>
      <c r="M20" s="396"/>
    </row>
    <row r="21" spans="1:13" ht="15.75" customHeight="1" x14ac:dyDescent="0.25">
      <c r="A21" s="74"/>
      <c r="B21" s="702"/>
      <c r="C21" s="79"/>
      <c r="D21" s="79"/>
      <c r="E21" s="79"/>
      <c r="F21" s="80"/>
      <c r="G21" s="699"/>
      <c r="H21" s="700"/>
      <c r="I21" s="701"/>
      <c r="J21" s="396"/>
      <c r="K21" s="396"/>
      <c r="L21" s="396"/>
      <c r="M21" s="396"/>
    </row>
    <row r="22" spans="1:13" ht="15" customHeight="1" x14ac:dyDescent="0.2">
      <c r="A22" s="74">
        <v>8</v>
      </c>
      <c r="B22" s="705" t="s">
        <v>891</v>
      </c>
      <c r="C22" s="76">
        <v>328018</v>
      </c>
      <c r="D22" s="76">
        <v>387683</v>
      </c>
      <c r="E22" s="76">
        <f>+D22-C22</f>
        <v>59665</v>
      </c>
      <c r="F22" s="77">
        <f>IF(C22=0,0,+E22/C22)</f>
        <v>0.18189550573444141</v>
      </c>
      <c r="G22" s="699"/>
      <c r="H22" s="700"/>
      <c r="I22" s="701"/>
      <c r="J22" s="396"/>
      <c r="K22" s="396"/>
      <c r="L22" s="396"/>
      <c r="M22" s="396"/>
    </row>
    <row r="23" spans="1:13" ht="15" customHeight="1" x14ac:dyDescent="0.2">
      <c r="A23" s="74">
        <v>9</v>
      </c>
      <c r="B23" s="705" t="s">
        <v>892</v>
      </c>
      <c r="C23" s="185">
        <v>422289</v>
      </c>
      <c r="D23" s="185">
        <v>264618</v>
      </c>
      <c r="E23" s="185">
        <f>+D23-C23</f>
        <v>-157671</v>
      </c>
      <c r="F23" s="77">
        <f>IF(C23=0,0,+E23/C23)</f>
        <v>-0.37337226401824342</v>
      </c>
      <c r="G23" s="699"/>
      <c r="H23" s="700"/>
      <c r="I23" s="701"/>
      <c r="J23" s="396"/>
      <c r="K23" s="396"/>
      <c r="L23" s="396"/>
      <c r="M23" s="396"/>
    </row>
    <row r="24" spans="1:13" ht="15" customHeight="1" x14ac:dyDescent="0.2">
      <c r="A24" s="74">
        <v>10</v>
      </c>
      <c r="B24" s="705" t="s">
        <v>893</v>
      </c>
      <c r="C24" s="185">
        <v>191616</v>
      </c>
      <c r="D24" s="185">
        <v>240660</v>
      </c>
      <c r="E24" s="185">
        <f>+D24-C24</f>
        <v>49044</v>
      </c>
      <c r="F24" s="77">
        <f>IF(C24=0,0,+E24/C24)</f>
        <v>0.25594939879759521</v>
      </c>
      <c r="G24" s="699"/>
      <c r="H24" s="700"/>
      <c r="I24" s="701"/>
      <c r="J24" s="396"/>
      <c r="K24" s="396"/>
      <c r="L24" s="396"/>
      <c r="M24" s="396"/>
    </row>
    <row r="25" spans="1:13" ht="15.75" customHeight="1" x14ac:dyDescent="0.25">
      <c r="A25" s="74">
        <v>11</v>
      </c>
      <c r="B25" s="702" t="s">
        <v>894</v>
      </c>
      <c r="C25" s="79">
        <f>+C22+C23+C24</f>
        <v>941923</v>
      </c>
      <c r="D25" s="79">
        <f>+D22+D23+D24</f>
        <v>892961</v>
      </c>
      <c r="E25" s="79">
        <f>+E22+E23+E24</f>
        <v>-48962</v>
      </c>
      <c r="F25" s="80">
        <f>IF(C25=0,0,+E25/C25)</f>
        <v>-5.1980894404319675E-2</v>
      </c>
      <c r="G25" s="699"/>
      <c r="H25" s="700"/>
      <c r="I25" s="701"/>
      <c r="J25" s="396"/>
      <c r="K25" s="396"/>
      <c r="L25" s="396"/>
      <c r="M25" s="396"/>
    </row>
    <row r="26" spans="1:13" ht="15.75" customHeight="1" x14ac:dyDescent="0.25">
      <c r="A26" s="74"/>
      <c r="B26" s="702"/>
      <c r="C26" s="76"/>
      <c r="D26" s="76"/>
      <c r="E26" s="76"/>
      <c r="F26" s="77"/>
      <c r="G26" s="699"/>
      <c r="H26" s="700"/>
      <c r="I26" s="701"/>
      <c r="J26" s="396"/>
      <c r="K26" s="396"/>
      <c r="L26" s="396"/>
      <c r="M26" s="396"/>
    </row>
    <row r="27" spans="1:13" ht="15" customHeight="1" x14ac:dyDescent="0.2">
      <c r="A27" s="74">
        <v>12</v>
      </c>
      <c r="B27" s="705" t="s">
        <v>895</v>
      </c>
      <c r="C27" s="185">
        <v>119</v>
      </c>
      <c r="D27" s="185">
        <v>176</v>
      </c>
      <c r="E27" s="185">
        <f>+D27-C27</f>
        <v>57</v>
      </c>
      <c r="F27" s="77">
        <f>IF(C27=0,0,+E27/C27)</f>
        <v>0.47899159663865548</v>
      </c>
      <c r="G27" s="699"/>
      <c r="H27" s="700"/>
      <c r="I27" s="701"/>
      <c r="J27" s="396"/>
      <c r="K27" s="396"/>
      <c r="L27" s="396"/>
      <c r="M27" s="396"/>
    </row>
    <row r="28" spans="1:13" ht="15" customHeight="1" x14ac:dyDescent="0.2">
      <c r="A28" s="74">
        <v>13</v>
      </c>
      <c r="B28" s="705" t="s">
        <v>896</v>
      </c>
      <c r="C28" s="185">
        <v>36</v>
      </c>
      <c r="D28" s="185">
        <v>49</v>
      </c>
      <c r="E28" s="185">
        <f>+D28-C28</f>
        <v>13</v>
      </c>
      <c r="F28" s="77">
        <f>IF(C28=0,0,+E28/C28)</f>
        <v>0.3611111111111111</v>
      </c>
      <c r="G28" s="699"/>
      <c r="H28" s="700"/>
      <c r="I28" s="701"/>
      <c r="J28" s="396"/>
      <c r="K28" s="396"/>
      <c r="L28" s="396"/>
      <c r="M28" s="396"/>
    </row>
    <row r="29" spans="1:13" ht="15" customHeight="1" x14ac:dyDescent="0.2">
      <c r="A29" s="74">
        <v>14</v>
      </c>
      <c r="B29" s="705" t="s">
        <v>897</v>
      </c>
      <c r="C29" s="185">
        <v>205</v>
      </c>
      <c r="D29" s="185">
        <v>306</v>
      </c>
      <c r="E29" s="185">
        <f>+D29-C29</f>
        <v>101</v>
      </c>
      <c r="F29" s="77">
        <f>IF(C29=0,0,+E29/C29)</f>
        <v>0.49268292682926829</v>
      </c>
      <c r="G29" s="699"/>
      <c r="H29" s="700"/>
      <c r="I29" s="701"/>
      <c r="J29" s="396"/>
      <c r="K29" s="396"/>
      <c r="L29" s="396"/>
      <c r="M29" s="396"/>
    </row>
    <row r="30" spans="1:13" ht="30" customHeight="1" x14ac:dyDescent="0.2">
      <c r="A30" s="74">
        <v>15</v>
      </c>
      <c r="B30" s="705" t="s">
        <v>898</v>
      </c>
      <c r="C30" s="185">
        <v>259</v>
      </c>
      <c r="D30" s="185">
        <v>315</v>
      </c>
      <c r="E30" s="185">
        <f>+D30-C30</f>
        <v>56</v>
      </c>
      <c r="F30" s="77">
        <f>IF(C30=0,0,+E30/C30)</f>
        <v>0.21621621621621623</v>
      </c>
      <c r="G30" s="699"/>
      <c r="H30" s="700"/>
      <c r="I30" s="701"/>
      <c r="J30" s="396"/>
      <c r="K30" s="396"/>
      <c r="L30" s="396"/>
      <c r="M30" s="396"/>
    </row>
    <row r="31" spans="1:13" ht="15" customHeight="1" x14ac:dyDescent="0.2">
      <c r="A31" s="74"/>
      <c r="B31" s="705"/>
      <c r="C31" s="76"/>
      <c r="D31" s="76"/>
      <c r="E31" s="76"/>
      <c r="F31" s="77"/>
      <c r="G31" s="699"/>
      <c r="H31" s="700"/>
      <c r="I31" s="701"/>
      <c r="J31" s="396"/>
      <c r="K31" s="396"/>
      <c r="L31" s="396"/>
      <c r="M31" s="396"/>
    </row>
    <row r="32" spans="1:13" ht="15.75" customHeight="1" x14ac:dyDescent="0.25">
      <c r="A32" s="71" t="s">
        <v>26</v>
      </c>
      <c r="B32" s="694" t="s">
        <v>899</v>
      </c>
      <c r="C32" s="76"/>
      <c r="D32" s="76"/>
      <c r="E32" s="76"/>
      <c r="F32" s="77"/>
      <c r="G32" s="699"/>
      <c r="H32" s="700"/>
      <c r="I32" s="701"/>
      <c r="J32" s="396"/>
      <c r="K32" s="396"/>
      <c r="L32" s="396"/>
      <c r="M32" s="396"/>
    </row>
    <row r="33" spans="1:13" ht="15" customHeight="1" x14ac:dyDescent="0.2">
      <c r="A33" s="74">
        <v>1</v>
      </c>
      <c r="B33" s="705" t="s">
        <v>900</v>
      </c>
      <c r="C33" s="76">
        <v>597322</v>
      </c>
      <c r="D33" s="76">
        <v>179470</v>
      </c>
      <c r="E33" s="76">
        <f>+D33-C33</f>
        <v>-417852</v>
      </c>
      <c r="F33" s="77">
        <f>IF(C33=0,0,+E33/C33)</f>
        <v>-0.69954229042292093</v>
      </c>
      <c r="G33" s="699"/>
      <c r="H33" s="700"/>
      <c r="I33" s="701"/>
      <c r="J33" s="396"/>
      <c r="K33" s="396"/>
      <c r="L33" s="396"/>
      <c r="M33" s="396"/>
    </row>
    <row r="34" spans="1:13" ht="15" customHeight="1" x14ac:dyDescent="0.2">
      <c r="A34" s="74">
        <v>2</v>
      </c>
      <c r="B34" s="705" t="s">
        <v>901</v>
      </c>
      <c r="C34" s="185">
        <v>522962</v>
      </c>
      <c r="D34" s="185">
        <v>663740</v>
      </c>
      <c r="E34" s="185">
        <f>+D34-C34</f>
        <v>140778</v>
      </c>
      <c r="F34" s="77">
        <f>IF(C34=0,0,+E34/C34)</f>
        <v>0.26919355517226873</v>
      </c>
      <c r="G34" s="699"/>
      <c r="H34" s="700"/>
      <c r="I34" s="701"/>
      <c r="J34" s="396"/>
      <c r="K34" s="396"/>
      <c r="L34" s="396"/>
      <c r="M34" s="396"/>
    </row>
    <row r="35" spans="1:13" ht="15" customHeight="1" x14ac:dyDescent="0.2">
      <c r="A35" s="74">
        <v>3</v>
      </c>
      <c r="B35" s="705" t="s">
        <v>902</v>
      </c>
      <c r="C35" s="185">
        <v>1173223</v>
      </c>
      <c r="D35" s="185">
        <v>1427491</v>
      </c>
      <c r="E35" s="185">
        <f>+D35-C35</f>
        <v>254268</v>
      </c>
      <c r="F35" s="77">
        <f>IF(C35=0,0,+E35/C35)</f>
        <v>0.21672606145634718</v>
      </c>
      <c r="G35" s="699"/>
      <c r="H35" s="700"/>
      <c r="I35" s="701"/>
      <c r="J35" s="396"/>
      <c r="K35" s="396"/>
      <c r="L35" s="396"/>
      <c r="M35" s="396"/>
    </row>
    <row r="36" spans="1:13" ht="15.75" customHeight="1" x14ac:dyDescent="0.25">
      <c r="A36" s="74">
        <v>4</v>
      </c>
      <c r="B36" s="702" t="s">
        <v>903</v>
      </c>
      <c r="C36" s="79">
        <f>+C33+C34+C35</f>
        <v>2293507</v>
      </c>
      <c r="D36" s="79">
        <f>+D33+D34+D35</f>
        <v>2270701</v>
      </c>
      <c r="E36" s="79">
        <f>+E33+E34+E35</f>
        <v>-22806</v>
      </c>
      <c r="F36" s="80">
        <f>IF(C36=0,0,+E36/C36)</f>
        <v>-9.9437237383622548E-3</v>
      </c>
      <c r="G36" s="699"/>
      <c r="H36" s="700"/>
      <c r="I36" s="701"/>
      <c r="J36" s="396"/>
      <c r="K36" s="396"/>
      <c r="L36" s="396"/>
      <c r="M36" s="396"/>
    </row>
    <row r="37" spans="1:13" ht="15.75" customHeight="1" x14ac:dyDescent="0.25">
      <c r="A37" s="74"/>
      <c r="B37" s="706"/>
      <c r="C37" s="76"/>
      <c r="D37" s="76"/>
      <c r="E37" s="76"/>
      <c r="F37" s="77"/>
      <c r="G37" s="699"/>
      <c r="H37" s="700"/>
      <c r="I37" s="701"/>
      <c r="J37" s="396"/>
      <c r="K37" s="396"/>
      <c r="L37" s="396"/>
      <c r="M37" s="396"/>
    </row>
    <row r="38" spans="1:13" ht="15.75" customHeight="1" x14ac:dyDescent="0.25">
      <c r="A38" s="71" t="s">
        <v>36</v>
      </c>
      <c r="B38" s="694" t="s">
        <v>904</v>
      </c>
      <c r="C38" s="693"/>
      <c r="D38" s="693"/>
      <c r="E38" s="693"/>
      <c r="F38" s="693"/>
      <c r="G38" s="699"/>
      <c r="H38" s="700"/>
      <c r="I38" s="701"/>
      <c r="J38" s="396"/>
      <c r="K38" s="396"/>
      <c r="L38" s="396"/>
      <c r="M38" s="396"/>
    </row>
    <row r="39" spans="1:13" ht="15" customHeight="1" x14ac:dyDescent="0.2">
      <c r="A39" s="74">
        <v>1</v>
      </c>
      <c r="B39" s="698" t="s">
        <v>905</v>
      </c>
      <c r="C39" s="76">
        <f>+C25</f>
        <v>941923</v>
      </c>
      <c r="D39" s="76">
        <f>+D25</f>
        <v>892961</v>
      </c>
      <c r="E39" s="76">
        <f>+D39-C39</f>
        <v>-48962</v>
      </c>
      <c r="F39" s="77">
        <f>IF(C39=0,0,+E39/C39)</f>
        <v>-5.1980894404319675E-2</v>
      </c>
      <c r="G39" s="699"/>
      <c r="H39" s="700"/>
      <c r="I39" s="701"/>
      <c r="J39" s="396"/>
      <c r="K39" s="396"/>
      <c r="L39" s="396"/>
      <c r="M39" s="396"/>
    </row>
    <row r="40" spans="1:13" ht="15" customHeight="1" x14ac:dyDescent="0.2">
      <c r="A40" s="74">
        <v>2</v>
      </c>
      <c r="B40" s="698" t="s">
        <v>906</v>
      </c>
      <c r="C40" s="185">
        <f>+C36</f>
        <v>2293507</v>
      </c>
      <c r="D40" s="185">
        <f>+D36</f>
        <v>2270701</v>
      </c>
      <c r="E40" s="185">
        <f>+D40-C40</f>
        <v>-22806</v>
      </c>
      <c r="F40" s="77">
        <f>IF(C40=0,0,+E40/C40)</f>
        <v>-9.9437237383622548E-3</v>
      </c>
      <c r="G40" s="699"/>
      <c r="H40" s="700"/>
      <c r="I40" s="701"/>
      <c r="J40" s="396"/>
      <c r="K40" s="396"/>
      <c r="L40" s="396"/>
      <c r="M40" s="396"/>
    </row>
    <row r="41" spans="1:13" ht="15.75" customHeight="1" x14ac:dyDescent="0.25">
      <c r="A41" s="74">
        <v>3</v>
      </c>
      <c r="B41" s="707" t="s">
        <v>907</v>
      </c>
      <c r="C41" s="79">
        <f>+C39+C40</f>
        <v>3235430</v>
      </c>
      <c r="D41" s="79">
        <f>+D39+D40</f>
        <v>3163662</v>
      </c>
      <c r="E41" s="79">
        <f>+E39+E40</f>
        <v>-71768</v>
      </c>
      <c r="F41" s="80">
        <f>IF(C41=0,0,+E41/C41)</f>
        <v>-2.2181904723637971E-2</v>
      </c>
      <c r="G41" s="699"/>
      <c r="H41" s="700"/>
      <c r="I41" s="701"/>
      <c r="J41" s="396"/>
      <c r="K41" s="396"/>
      <c r="L41" s="396"/>
      <c r="M41" s="396"/>
    </row>
    <row r="42" spans="1:13" ht="15.75" customHeight="1" x14ac:dyDescent="0.25">
      <c r="A42" s="75"/>
      <c r="B42" s="78"/>
      <c r="C42" s="708"/>
      <c r="D42" s="708"/>
      <c r="E42" s="76"/>
      <c r="F42" s="193"/>
      <c r="G42" s="699"/>
      <c r="H42" s="700"/>
      <c r="I42" s="701"/>
      <c r="J42" s="396"/>
      <c r="K42" s="396"/>
      <c r="L42" s="396"/>
      <c r="M42" s="396"/>
    </row>
    <row r="43" spans="1:13" ht="15" customHeight="1" x14ac:dyDescent="0.2">
      <c r="A43" s="74">
        <v>4</v>
      </c>
      <c r="B43" s="705" t="s">
        <v>908</v>
      </c>
      <c r="C43" s="76">
        <f t="shared" ref="C43:D45" si="0">+C22+C33</f>
        <v>925340</v>
      </c>
      <c r="D43" s="76">
        <f t="shared" si="0"/>
        <v>567153</v>
      </c>
      <c r="E43" s="76">
        <f>+D43-C43</f>
        <v>-358187</v>
      </c>
      <c r="F43" s="77">
        <f>IF(C43=0,0,+E43/C43)</f>
        <v>-0.38708690859575939</v>
      </c>
      <c r="G43" s="699"/>
      <c r="H43" s="700"/>
      <c r="I43" s="701"/>
      <c r="J43" s="396"/>
      <c r="K43" s="396"/>
      <c r="L43" s="396"/>
      <c r="M43" s="396"/>
    </row>
    <row r="44" spans="1:13" ht="30" x14ac:dyDescent="0.2">
      <c r="A44" s="74">
        <v>5</v>
      </c>
      <c r="B44" s="705" t="s">
        <v>909</v>
      </c>
      <c r="C44" s="185">
        <f t="shared" si="0"/>
        <v>945251</v>
      </c>
      <c r="D44" s="185">
        <f t="shared" si="0"/>
        <v>928358</v>
      </c>
      <c r="E44" s="185">
        <f>+D44-C44</f>
        <v>-16893</v>
      </c>
      <c r="F44" s="77">
        <f>IF(C44=0,0,+E44/C44)</f>
        <v>-1.7871443669459221E-2</v>
      </c>
      <c r="G44" s="699"/>
      <c r="H44" s="700"/>
      <c r="I44" s="701"/>
      <c r="J44" s="396"/>
      <c r="K44" s="396"/>
      <c r="L44" s="396"/>
      <c r="M44" s="396"/>
    </row>
    <row r="45" spans="1:13" ht="15" customHeight="1" x14ac:dyDescent="0.2">
      <c r="A45" s="74">
        <v>6</v>
      </c>
      <c r="B45" s="705" t="s">
        <v>910</v>
      </c>
      <c r="C45" s="185">
        <f t="shared" si="0"/>
        <v>1364839</v>
      </c>
      <c r="D45" s="185">
        <f t="shared" si="0"/>
        <v>1668151</v>
      </c>
      <c r="E45" s="185">
        <f>+D45-C45</f>
        <v>303312</v>
      </c>
      <c r="F45" s="77">
        <f>IF(C45=0,0,+E45/C45)</f>
        <v>0.22223280548108604</v>
      </c>
      <c r="G45" s="699"/>
      <c r="H45" s="700"/>
      <c r="I45" s="701"/>
      <c r="J45" s="396"/>
      <c r="K45" s="396"/>
      <c r="L45" s="396"/>
      <c r="M45" s="396"/>
    </row>
    <row r="46" spans="1:13" ht="15.75" customHeight="1" x14ac:dyDescent="0.25">
      <c r="A46" s="74">
        <v>7</v>
      </c>
      <c r="B46" s="702" t="s">
        <v>907</v>
      </c>
      <c r="C46" s="79">
        <f>+C43+C44+C45</f>
        <v>3235430</v>
      </c>
      <c r="D46" s="79">
        <f>+D43+D44+D45</f>
        <v>3163662</v>
      </c>
      <c r="E46" s="79">
        <f>+E43+E44+E45</f>
        <v>-71768</v>
      </c>
      <c r="F46" s="80">
        <f>IF(C46=0,0,+E46/C46)</f>
        <v>-2.2181904723637971E-2</v>
      </c>
      <c r="G46" s="699"/>
      <c r="H46" s="700"/>
      <c r="I46" s="701"/>
      <c r="J46" s="396"/>
      <c r="K46" s="396"/>
      <c r="L46" s="396"/>
      <c r="M46" s="396"/>
    </row>
    <row r="47" spans="1:13" ht="15.75" customHeight="1" x14ac:dyDescent="0.25">
      <c r="A47" s="83"/>
      <c r="B47" s="709"/>
      <c r="C47" s="710"/>
      <c r="D47" s="710"/>
      <c r="E47" s="710"/>
      <c r="F47" s="711"/>
      <c r="G47" s="699"/>
      <c r="H47" s="700"/>
      <c r="I47" s="701"/>
      <c r="J47" s="396"/>
      <c r="K47" s="396"/>
      <c r="L47" s="396"/>
      <c r="M47" s="396"/>
    </row>
    <row r="48" spans="1:13" ht="15.75" customHeight="1" x14ac:dyDescent="0.25">
      <c r="A48" s="832" t="s">
        <v>911</v>
      </c>
      <c r="B48" s="833"/>
      <c r="C48" s="833"/>
      <c r="D48" s="833"/>
      <c r="E48" s="833"/>
      <c r="F48" s="834"/>
    </row>
  </sheetData>
  <mergeCells count="6">
    <mergeCell ref="A1:F1"/>
    <mergeCell ref="A2:F2"/>
    <mergeCell ref="A3:F3"/>
    <mergeCell ref="A4:F4"/>
    <mergeCell ref="A5:F5"/>
    <mergeCell ref="A48:F48"/>
  </mergeCells>
  <pageMargins left="0.25" right="0.25" top="0.5" bottom="0.5" header="0.25" footer="0.25"/>
  <pageSetup paperSize="9" scale="73" orientation="portrait" horizontalDpi="1200" verticalDpi="1200" r:id="rId1"/>
  <headerFooter>
    <oddHeader>_x000D_
                  &amp;LOFFICE OF HEALTH CARE ACCESS&amp;CTWELVE MONTHS ACTUAL FILING&amp;RESSENT-SHARON HOSPITAL</oddHeader>
    <oddFooter>&amp;LREPORT 650&amp;CPAGE &amp;P of &amp;N&amp;R&amp;D, &amp;T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zoomScale="75" zoomScaleSheetLayoutView="90" workbookViewId="0">
      <selection activeCell="C15" sqref="C15"/>
    </sheetView>
  </sheetViews>
  <sheetFormatPr defaultRowHeight="12.75" x14ac:dyDescent="0.2"/>
  <cols>
    <col min="1" max="1" width="6.7109375" style="365" customWidth="1"/>
    <col min="2" max="2" width="50.7109375" style="365" customWidth="1"/>
    <col min="3" max="4" width="25.7109375" style="365" customWidth="1"/>
    <col min="5" max="6" width="20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" customHeight="1" x14ac:dyDescent="0.2">
      <c r="A1" s="688"/>
      <c r="B1" s="688"/>
      <c r="C1" s="688"/>
      <c r="D1" s="688"/>
      <c r="E1" s="688"/>
      <c r="F1" s="688"/>
    </row>
    <row r="2" spans="1:14" ht="15.75" customHeight="1" x14ac:dyDescent="0.25">
      <c r="A2" s="829" t="s">
        <v>0</v>
      </c>
      <c r="B2" s="830"/>
      <c r="C2" s="830"/>
      <c r="D2" s="830"/>
      <c r="E2" s="830"/>
      <c r="F2" s="831"/>
    </row>
    <row r="3" spans="1:14" ht="15.75" customHeight="1" x14ac:dyDescent="0.25">
      <c r="A3" s="829" t="s">
        <v>629</v>
      </c>
      <c r="B3" s="830"/>
      <c r="C3" s="830"/>
      <c r="D3" s="830"/>
      <c r="E3" s="830"/>
      <c r="F3" s="831"/>
    </row>
    <row r="4" spans="1:14" ht="15.75" customHeight="1" x14ac:dyDescent="0.25">
      <c r="A4" s="829" t="s">
        <v>2</v>
      </c>
      <c r="B4" s="830"/>
      <c r="C4" s="830"/>
      <c r="D4" s="830"/>
      <c r="E4" s="830"/>
      <c r="F4" s="831"/>
    </row>
    <row r="5" spans="1:14" ht="15.75" customHeight="1" x14ac:dyDescent="0.25">
      <c r="A5" s="829" t="s">
        <v>912</v>
      </c>
      <c r="B5" s="830"/>
      <c r="C5" s="830"/>
      <c r="D5" s="830"/>
      <c r="E5" s="830"/>
      <c r="F5" s="831"/>
    </row>
    <row r="6" spans="1:14" ht="15.75" customHeight="1" x14ac:dyDescent="0.25">
      <c r="A6" s="829" t="s">
        <v>913</v>
      </c>
      <c r="B6" s="830"/>
      <c r="C6" s="830"/>
      <c r="D6" s="830"/>
      <c r="E6" s="830"/>
      <c r="F6" s="831"/>
    </row>
    <row r="7" spans="1:14" ht="15.75" customHeight="1" x14ac:dyDescent="0.25">
      <c r="A7" s="688"/>
      <c r="B7" s="688"/>
      <c r="C7" s="177"/>
      <c r="D7" s="177"/>
      <c r="E7" s="177"/>
      <c r="F7" s="177"/>
    </row>
    <row r="8" spans="1:14" ht="15.75" customHeight="1" x14ac:dyDescent="0.25">
      <c r="A8" s="690">
        <v>-1</v>
      </c>
      <c r="B8" s="690">
        <v>-2</v>
      </c>
      <c r="C8" s="690">
        <v>-3</v>
      </c>
      <c r="D8" s="690">
        <v>-4</v>
      </c>
      <c r="E8" s="690">
        <v>-5</v>
      </c>
      <c r="F8" s="690">
        <v>-6</v>
      </c>
    </row>
    <row r="9" spans="1:14" ht="15.75" customHeight="1" x14ac:dyDescent="0.25">
      <c r="A9" s="688"/>
      <c r="B9" s="194"/>
      <c r="C9" s="177" t="s">
        <v>4</v>
      </c>
      <c r="D9" s="177" t="s">
        <v>5</v>
      </c>
      <c r="E9" s="177"/>
      <c r="F9" s="177"/>
      <c r="G9" s="396"/>
      <c r="H9" s="396"/>
      <c r="I9" s="396"/>
      <c r="J9" s="396"/>
      <c r="K9" s="396"/>
      <c r="L9" s="396"/>
      <c r="M9" s="396"/>
    </row>
    <row r="10" spans="1:14" ht="15.75" customHeight="1" x14ac:dyDescent="0.25">
      <c r="A10" s="688"/>
      <c r="B10" s="393"/>
      <c r="C10" s="177" t="s">
        <v>914</v>
      </c>
      <c r="D10" s="177" t="s">
        <v>914</v>
      </c>
      <c r="E10" s="177" t="s">
        <v>6</v>
      </c>
      <c r="F10" s="177" t="s">
        <v>7</v>
      </c>
      <c r="G10" s="691"/>
      <c r="H10" s="692"/>
      <c r="I10" s="396"/>
      <c r="J10" s="396"/>
      <c r="K10" s="396"/>
      <c r="L10" s="396"/>
      <c r="M10" s="396"/>
    </row>
    <row r="11" spans="1:14" ht="15.75" customHeight="1" x14ac:dyDescent="0.25">
      <c r="A11" s="693" t="s">
        <v>8</v>
      </c>
      <c r="B11" s="694" t="s">
        <v>9</v>
      </c>
      <c r="C11" s="693" t="s">
        <v>915</v>
      </c>
      <c r="D11" s="693" t="s">
        <v>915</v>
      </c>
      <c r="E11" s="693" t="s">
        <v>11</v>
      </c>
      <c r="F11" s="693" t="s">
        <v>11</v>
      </c>
      <c r="G11" s="691"/>
      <c r="H11" s="692"/>
      <c r="I11" s="396"/>
      <c r="J11" s="396"/>
      <c r="K11" s="396"/>
      <c r="L11" s="396"/>
      <c r="M11" s="396"/>
      <c r="N11" s="696"/>
    </row>
    <row r="12" spans="1:14" ht="15.75" customHeight="1" x14ac:dyDescent="0.25">
      <c r="A12" s="693"/>
      <c r="B12" s="697"/>
      <c r="C12" s="693"/>
      <c r="D12" s="693"/>
      <c r="E12" s="693"/>
      <c r="F12" s="693"/>
      <c r="G12" s="691"/>
      <c r="H12" s="692"/>
      <c r="I12" s="396"/>
      <c r="J12" s="396"/>
      <c r="K12" s="396"/>
      <c r="L12" s="396"/>
      <c r="M12" s="396"/>
      <c r="N12" s="696"/>
    </row>
    <row r="13" spans="1:14" ht="15.75" customHeight="1" x14ac:dyDescent="0.25">
      <c r="A13" s="693"/>
      <c r="B13" s="694" t="s">
        <v>916</v>
      </c>
      <c r="C13" s="693"/>
      <c r="D13" s="693"/>
      <c r="E13" s="693"/>
      <c r="F13" s="693"/>
      <c r="G13" s="691"/>
      <c r="H13" s="692"/>
      <c r="I13" s="396"/>
      <c r="J13" s="396"/>
      <c r="K13" s="396"/>
      <c r="L13" s="396"/>
      <c r="M13" s="396"/>
      <c r="N13" s="696"/>
    </row>
    <row r="14" spans="1:14" ht="15.75" customHeight="1" x14ac:dyDescent="0.25">
      <c r="A14" s="697"/>
      <c r="B14" s="697"/>
      <c r="C14" s="177"/>
      <c r="D14" s="712"/>
      <c r="E14" s="177"/>
      <c r="F14" s="177"/>
      <c r="G14" s="691"/>
      <c r="H14" s="692"/>
      <c r="I14" s="396"/>
      <c r="J14" s="396"/>
      <c r="K14" s="396"/>
      <c r="L14" s="396"/>
      <c r="M14" s="396"/>
      <c r="N14" s="696"/>
    </row>
    <row r="15" spans="1:14" ht="15" customHeight="1" x14ac:dyDescent="0.2">
      <c r="A15" s="74">
        <v>1</v>
      </c>
      <c r="B15" s="698" t="s">
        <v>335</v>
      </c>
      <c r="C15" s="76">
        <v>55244177</v>
      </c>
      <c r="D15" s="76">
        <v>52241943</v>
      </c>
      <c r="E15" s="76">
        <f>+D15-C15</f>
        <v>-3002234</v>
      </c>
      <c r="F15" s="77">
        <f>IF(C15=0,0,E15/C15)</f>
        <v>-5.4344804521207726E-2</v>
      </c>
      <c r="G15" s="691"/>
      <c r="H15" s="692"/>
      <c r="I15" s="396"/>
      <c r="J15" s="396"/>
      <c r="K15" s="396"/>
      <c r="L15" s="396"/>
      <c r="M15" s="396"/>
    </row>
    <row r="16" spans="1:14" ht="15" customHeight="1" x14ac:dyDescent="0.2">
      <c r="A16" s="74"/>
      <c r="B16" s="698" t="s">
        <v>530</v>
      </c>
      <c r="C16" s="76"/>
      <c r="D16" s="76"/>
      <c r="E16" s="76"/>
      <c r="F16" s="193"/>
      <c r="G16" s="691"/>
      <c r="H16" s="692"/>
      <c r="I16" s="396"/>
      <c r="J16" s="396"/>
      <c r="K16" s="396"/>
      <c r="L16" s="396"/>
      <c r="M16" s="396"/>
    </row>
    <row r="17" spans="1:14" ht="15" customHeight="1" x14ac:dyDescent="0.2">
      <c r="A17" s="85">
        <v>2</v>
      </c>
      <c r="B17" s="698" t="s">
        <v>917</v>
      </c>
      <c r="C17" s="76">
        <v>27404866</v>
      </c>
      <c r="D17" s="76">
        <v>26762108</v>
      </c>
      <c r="E17" s="76">
        <f>+D17-C17</f>
        <v>-642758</v>
      </c>
      <c r="F17" s="77">
        <f>IF(C17=0,0,E17/C17)</f>
        <v>-2.3454155915230528E-2</v>
      </c>
      <c r="G17" s="691"/>
      <c r="H17" s="692"/>
      <c r="I17" s="396"/>
      <c r="J17" s="396"/>
      <c r="K17" s="396"/>
      <c r="L17" s="396"/>
      <c r="M17" s="396"/>
    </row>
    <row r="18" spans="1:14" ht="15.75" customHeight="1" x14ac:dyDescent="0.25">
      <c r="A18" s="83"/>
      <c r="B18" s="709"/>
      <c r="C18" s="76"/>
      <c r="D18" s="76"/>
      <c r="E18" s="76"/>
      <c r="F18" s="193"/>
      <c r="G18" s="691"/>
      <c r="H18" s="692"/>
      <c r="I18" s="396"/>
      <c r="J18" s="396"/>
      <c r="K18" s="396"/>
      <c r="L18" s="396"/>
      <c r="M18" s="396"/>
    </row>
    <row r="19" spans="1:14" ht="15.75" customHeight="1" x14ac:dyDescent="0.25">
      <c r="A19" s="71"/>
      <c r="B19" s="707" t="s">
        <v>918</v>
      </c>
      <c r="C19" s="79">
        <f>+C15-C17</f>
        <v>27839311</v>
      </c>
      <c r="D19" s="79">
        <f>+D15-D17</f>
        <v>25479835</v>
      </c>
      <c r="E19" s="79">
        <f>+D19-C19</f>
        <v>-2359476</v>
      </c>
      <c r="F19" s="80">
        <f>IF(C19=0,0,E19/C19)</f>
        <v>-8.4753390628094213E-2</v>
      </c>
      <c r="G19" s="691"/>
      <c r="H19" s="713"/>
      <c r="I19" s="396"/>
      <c r="J19" s="396"/>
      <c r="K19" s="396"/>
      <c r="L19" s="396"/>
      <c r="M19" s="396"/>
    </row>
    <row r="20" spans="1:14" ht="15.75" customHeight="1" x14ac:dyDescent="0.25">
      <c r="A20" s="71"/>
      <c r="B20" s="714"/>
      <c r="C20" s="697"/>
      <c r="D20" s="697"/>
      <c r="E20" s="79"/>
      <c r="F20" s="715"/>
      <c r="G20" s="716"/>
      <c r="H20" s="717"/>
      <c r="I20" s="718"/>
      <c r="J20" s="396"/>
      <c r="K20" s="396"/>
      <c r="L20" s="396"/>
      <c r="M20" s="396"/>
    </row>
    <row r="21" spans="1:14" ht="15.75" customHeight="1" x14ac:dyDescent="0.25">
      <c r="A21" s="71"/>
      <c r="B21" s="719" t="s">
        <v>919</v>
      </c>
      <c r="C21" s="720">
        <f>IF(C15=0,0,C17/C15)</f>
        <v>0.49606795662826147</v>
      </c>
      <c r="D21" s="720">
        <f>IF(D15=0,0,D17/D15)</f>
        <v>0.51227244744706379</v>
      </c>
      <c r="E21" s="720">
        <f>+D21-C21</f>
        <v>1.620449081880232E-2</v>
      </c>
      <c r="F21" s="80">
        <f>IF(C21=0,0,E21/C21)</f>
        <v>3.2665868863901402E-2</v>
      </c>
      <c r="G21" s="699"/>
      <c r="H21" s="700"/>
      <c r="I21" s="701"/>
      <c r="J21" s="396"/>
      <c r="K21" s="396"/>
      <c r="L21" s="396"/>
      <c r="M21" s="396"/>
    </row>
    <row r="22" spans="1:14" ht="15.75" customHeight="1" x14ac:dyDescent="0.25">
      <c r="A22" s="71"/>
      <c r="B22" s="709" t="s">
        <v>530</v>
      </c>
      <c r="C22" s="76"/>
      <c r="D22" s="76"/>
      <c r="E22" s="76"/>
      <c r="F22" s="76"/>
      <c r="G22" s="699"/>
      <c r="H22" s="700"/>
      <c r="I22" s="701"/>
      <c r="J22" s="396"/>
      <c r="K22" s="396"/>
      <c r="L22" s="396"/>
      <c r="M22" s="396"/>
    </row>
    <row r="23" spans="1:14" ht="15.75" customHeight="1" x14ac:dyDescent="0.25">
      <c r="A23" s="71"/>
      <c r="B23" s="709" t="s">
        <v>530</v>
      </c>
      <c r="C23" s="76"/>
      <c r="D23" s="76"/>
      <c r="E23" s="76"/>
      <c r="F23" s="76"/>
      <c r="G23" s="699"/>
      <c r="H23" s="700"/>
      <c r="I23" s="701"/>
      <c r="J23" s="396"/>
      <c r="K23" s="396"/>
      <c r="L23" s="396"/>
      <c r="M23" s="396"/>
    </row>
    <row r="24" spans="1:14" ht="15.75" customHeight="1" x14ac:dyDescent="0.25">
      <c r="A24" s="71"/>
      <c r="B24" s="709" t="s">
        <v>530</v>
      </c>
      <c r="C24" s="76"/>
      <c r="D24" s="76"/>
      <c r="E24" s="76"/>
      <c r="F24" s="76"/>
      <c r="G24" s="699"/>
      <c r="H24" s="700"/>
      <c r="I24" s="701"/>
      <c r="J24" s="396"/>
      <c r="K24" s="396"/>
      <c r="L24" s="396"/>
      <c r="M24" s="396"/>
    </row>
    <row r="25" spans="1:14" ht="15.75" customHeight="1" x14ac:dyDescent="0.25">
      <c r="A25" s="71"/>
      <c r="B25" s="709" t="s">
        <v>530</v>
      </c>
      <c r="C25" s="76"/>
      <c r="D25" s="76"/>
      <c r="E25" s="76"/>
      <c r="F25" s="76"/>
      <c r="G25" s="699"/>
      <c r="H25" s="700"/>
      <c r="I25" s="701"/>
      <c r="J25" s="396"/>
      <c r="K25" s="396"/>
      <c r="L25" s="396"/>
      <c r="M25" s="396"/>
    </row>
    <row r="26" spans="1:14" ht="15.75" x14ac:dyDescent="0.25">
      <c r="A26" s="835" t="s">
        <v>920</v>
      </c>
      <c r="B26" s="836"/>
      <c r="C26" s="836"/>
      <c r="D26" s="836"/>
      <c r="E26" s="836"/>
      <c r="F26" s="837"/>
      <c r="G26" s="699"/>
      <c r="H26" s="700"/>
      <c r="I26" s="701"/>
      <c r="J26" s="396"/>
      <c r="K26" s="396"/>
      <c r="L26" s="396"/>
      <c r="M26" s="396"/>
    </row>
    <row r="27" spans="1:14" ht="15.75" customHeight="1" x14ac:dyDescent="0.25">
      <c r="A27" s="688"/>
      <c r="B27" s="721"/>
      <c r="C27" s="76"/>
      <c r="D27" s="76"/>
      <c r="E27" s="76"/>
      <c r="F27" s="76"/>
      <c r="G27" s="699"/>
      <c r="H27" s="700"/>
      <c r="I27" s="701"/>
      <c r="J27" s="396"/>
      <c r="K27" s="396"/>
      <c r="L27" s="396"/>
      <c r="M27" s="396"/>
    </row>
    <row r="28" spans="1:14" x14ac:dyDescent="0.2">
      <c r="A28" s="190"/>
      <c r="B28" s="722"/>
      <c r="C28" s="723"/>
      <c r="D28" s="723"/>
      <c r="E28" s="723"/>
      <c r="F28" s="723"/>
      <c r="G28" s="699"/>
      <c r="H28" s="700"/>
      <c r="I28" s="701"/>
      <c r="J28" s="724"/>
      <c r="K28" s="724"/>
      <c r="L28" s="724"/>
      <c r="M28" s="724"/>
      <c r="N28" s="725"/>
    </row>
    <row r="29" spans="1:14" x14ac:dyDescent="0.2">
      <c r="A29" s="190"/>
      <c r="C29" s="190"/>
      <c r="D29" s="190"/>
      <c r="E29" s="190"/>
      <c r="F29" s="190"/>
      <c r="G29" s="699"/>
      <c r="H29" s="700"/>
      <c r="I29" s="701"/>
      <c r="J29" s="724"/>
      <c r="K29" s="724"/>
      <c r="L29" s="724"/>
      <c r="M29" s="724"/>
      <c r="N29" s="725"/>
    </row>
    <row r="30" spans="1:14" x14ac:dyDescent="0.2">
      <c r="A30" s="190"/>
      <c r="C30" s="190"/>
      <c r="D30" s="190"/>
      <c r="E30" s="190"/>
      <c r="F30" s="190"/>
      <c r="G30" s="699"/>
      <c r="H30" s="700"/>
      <c r="I30" s="701"/>
      <c r="J30" s="724"/>
      <c r="K30" s="724"/>
      <c r="L30" s="724"/>
      <c r="M30" s="724"/>
      <c r="N30" s="725"/>
    </row>
    <row r="31" spans="1:14" x14ac:dyDescent="0.2">
      <c r="A31" s="190"/>
      <c r="C31" s="190"/>
      <c r="D31" s="190"/>
      <c r="E31" s="190"/>
      <c r="F31" s="190"/>
      <c r="G31" s="699"/>
      <c r="H31" s="700"/>
      <c r="I31" s="701"/>
      <c r="J31" s="724"/>
      <c r="K31" s="724"/>
      <c r="L31" s="724"/>
      <c r="M31" s="724"/>
      <c r="N31" s="725"/>
    </row>
    <row r="32" spans="1:14" x14ac:dyDescent="0.2">
      <c r="A32" s="190"/>
      <c r="C32" s="190"/>
      <c r="D32" s="190"/>
      <c r="E32" s="190"/>
      <c r="F32" s="190"/>
      <c r="G32" s="699"/>
      <c r="H32" s="700"/>
      <c r="I32" s="701"/>
      <c r="J32" s="724"/>
      <c r="K32" s="724"/>
      <c r="L32" s="724"/>
      <c r="M32" s="724"/>
      <c r="N32" s="725"/>
    </row>
    <row r="33" spans="1:14" x14ac:dyDescent="0.2">
      <c r="A33" s="190"/>
      <c r="C33" s="190"/>
      <c r="D33" s="190"/>
      <c r="E33" s="190"/>
      <c r="F33" s="190"/>
      <c r="G33" s="699"/>
      <c r="H33" s="700"/>
      <c r="I33" s="701"/>
      <c r="J33" s="724"/>
      <c r="K33" s="724"/>
      <c r="L33" s="724"/>
      <c r="M33" s="724"/>
      <c r="N33" s="725"/>
    </row>
    <row r="34" spans="1:14" x14ac:dyDescent="0.2">
      <c r="A34" s="190"/>
      <c r="C34" s="726"/>
      <c r="D34" s="190"/>
      <c r="E34" s="190"/>
      <c r="F34" s="190"/>
      <c r="G34" s="699"/>
      <c r="H34" s="700"/>
      <c r="I34" s="701"/>
      <c r="J34" s="724"/>
      <c r="K34" s="724"/>
      <c r="L34" s="724"/>
      <c r="M34" s="724"/>
      <c r="N34" s="725"/>
    </row>
    <row r="35" spans="1:14" x14ac:dyDescent="0.2">
      <c r="A35" s="190"/>
      <c r="B35" s="727"/>
      <c r="C35" s="190"/>
      <c r="D35" s="723"/>
      <c r="E35" s="723"/>
      <c r="F35" s="723"/>
      <c r="G35" s="699"/>
      <c r="H35" s="700"/>
      <c r="I35" s="701"/>
      <c r="J35" s="724"/>
      <c r="K35" s="724"/>
      <c r="L35" s="724"/>
      <c r="M35" s="724"/>
      <c r="N35" s="725"/>
    </row>
    <row r="36" spans="1:14" x14ac:dyDescent="0.2">
      <c r="B36" s="728"/>
      <c r="C36" s="699"/>
      <c r="D36" s="699"/>
      <c r="E36" s="699"/>
      <c r="F36" s="699"/>
      <c r="G36" s="699"/>
      <c r="H36" s="700"/>
      <c r="I36" s="701"/>
      <c r="J36" s="724"/>
      <c r="K36" s="724"/>
      <c r="L36" s="724"/>
      <c r="M36" s="724"/>
      <c r="N36" s="725"/>
    </row>
    <row r="37" spans="1:14" x14ac:dyDescent="0.2">
      <c r="B37" s="728"/>
      <c r="C37" s="699"/>
      <c r="D37" s="699"/>
      <c r="E37" s="699"/>
      <c r="F37" s="699"/>
      <c r="G37" s="699"/>
      <c r="H37" s="700"/>
      <c r="I37" s="701"/>
      <c r="J37" s="724"/>
      <c r="K37" s="724"/>
      <c r="L37" s="724"/>
      <c r="M37" s="724"/>
      <c r="N37" s="725"/>
    </row>
    <row r="38" spans="1:14" x14ac:dyDescent="0.2">
      <c r="B38" s="728"/>
      <c r="C38" s="699"/>
      <c r="D38" s="699"/>
      <c r="E38" s="699"/>
      <c r="F38" s="699"/>
      <c r="G38" s="699"/>
      <c r="H38" s="700"/>
      <c r="I38" s="701"/>
      <c r="J38" s="724"/>
      <c r="K38" s="724"/>
      <c r="L38" s="724"/>
      <c r="M38" s="724"/>
      <c r="N38" s="729"/>
    </row>
    <row r="39" spans="1:14" x14ac:dyDescent="0.2">
      <c r="B39" s="728"/>
      <c r="C39" s="699"/>
      <c r="D39" s="699"/>
      <c r="E39" s="699"/>
      <c r="F39" s="699"/>
      <c r="G39" s="699"/>
      <c r="H39" s="700"/>
      <c r="I39" s="701"/>
      <c r="J39" s="724"/>
      <c r="K39" s="724"/>
      <c r="L39" s="724"/>
      <c r="M39" s="724"/>
    </row>
    <row r="40" spans="1:14" x14ac:dyDescent="0.2">
      <c r="B40" s="728"/>
      <c r="C40" s="699"/>
      <c r="D40" s="699"/>
      <c r="E40" s="699"/>
      <c r="F40" s="699"/>
      <c r="G40" s="699"/>
      <c r="H40" s="700"/>
      <c r="I40" s="701"/>
      <c r="J40" s="701"/>
      <c r="K40" s="701"/>
      <c r="L40" s="701"/>
      <c r="M40" s="701"/>
    </row>
    <row r="41" spans="1:14" x14ac:dyDescent="0.2">
      <c r="B41" s="728"/>
      <c r="C41" s="699"/>
      <c r="D41" s="699"/>
      <c r="E41" s="699"/>
      <c r="F41" s="699"/>
      <c r="G41" s="699"/>
      <c r="H41" s="700"/>
      <c r="I41" s="701"/>
      <c r="J41" s="724"/>
      <c r="K41" s="724"/>
      <c r="L41" s="724"/>
      <c r="M41" s="724"/>
    </row>
    <row r="44" spans="1:14" ht="15.75" customHeight="1" x14ac:dyDescent="0.25">
      <c r="B44" s="730"/>
    </row>
  </sheetData>
  <mergeCells count="6">
    <mergeCell ref="A2:F2"/>
    <mergeCell ref="A3:F3"/>
    <mergeCell ref="A4:F4"/>
    <mergeCell ref="A5:F5"/>
    <mergeCell ref="A6:F6"/>
    <mergeCell ref="A26:F26"/>
  </mergeCells>
  <pageMargins left="0.25" right="0.25" top="0.5" bottom="0.5" header="0.25" footer="0.5"/>
  <pageSetup scale="89" orientation="landscape" horizontalDpi="1200" verticalDpi="1200" r:id="rId1"/>
  <headerFooter>
    <oddHeader>&amp;L&amp;12OFFICE OF HEALTH CARE ACCESS&amp;C&amp;12TWELVE MONTHS ACTUAL FILING&amp;R&amp;12ESSENT-SHARON HOSPITAL</oddHeader>
    <oddFooter>&amp;L&amp;12REPORT 685&amp;C&amp;12PAGE &amp;P of &amp;N&amp;R&amp;12&amp;D,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"/>
  <sheetViews>
    <sheetView zoomScale="75" workbookViewId="0">
      <selection activeCell="A8" sqref="A8"/>
    </sheetView>
  </sheetViews>
  <sheetFormatPr defaultRowHeight="12.75" x14ac:dyDescent="0.2"/>
  <cols>
    <col min="1" max="1" width="9.42578125" style="733" customWidth="1"/>
    <col min="2" max="2" width="83.5703125" style="733" customWidth="1"/>
    <col min="3" max="5" width="18.85546875" style="733" customWidth="1"/>
    <col min="6" max="16384" width="9.140625" style="733"/>
  </cols>
  <sheetData>
    <row r="1" spans="1:6" ht="26.1" customHeight="1" x14ac:dyDescent="0.25">
      <c r="A1" s="838" t="s">
        <v>0</v>
      </c>
      <c r="B1" s="838"/>
      <c r="C1" s="838"/>
      <c r="D1" s="838"/>
      <c r="E1" s="838"/>
      <c r="F1" s="732"/>
    </row>
    <row r="2" spans="1:6" ht="26.1" customHeight="1" x14ac:dyDescent="0.25">
      <c r="A2" s="838" t="s">
        <v>1</v>
      </c>
      <c r="B2" s="838"/>
      <c r="C2" s="838"/>
      <c r="D2" s="838"/>
      <c r="E2" s="838"/>
      <c r="F2" s="732"/>
    </row>
    <row r="3" spans="1:6" ht="26.1" customHeight="1" x14ac:dyDescent="0.25">
      <c r="A3" s="838" t="s">
        <v>2</v>
      </c>
      <c r="B3" s="838"/>
      <c r="C3" s="838"/>
      <c r="D3" s="838"/>
      <c r="E3" s="838"/>
      <c r="F3" s="732"/>
    </row>
    <row r="4" spans="1:6" ht="26.1" customHeight="1" x14ac:dyDescent="0.25">
      <c r="A4" s="838" t="s">
        <v>921</v>
      </c>
      <c r="B4" s="838"/>
      <c r="C4" s="838"/>
      <c r="D4" s="838"/>
      <c r="E4" s="838"/>
      <c r="F4" s="732"/>
    </row>
    <row r="5" spans="1:6" ht="26.1" customHeight="1" x14ac:dyDescent="0.2">
      <c r="A5" s="839"/>
      <c r="B5" s="839"/>
      <c r="C5" s="839"/>
      <c r="D5" s="839"/>
      <c r="E5" s="839"/>
    </row>
    <row r="6" spans="1:6" ht="26.1" customHeight="1" x14ac:dyDescent="0.25">
      <c r="A6" s="734" t="s">
        <v>922</v>
      </c>
      <c r="B6" s="734" t="s">
        <v>923</v>
      </c>
      <c r="C6" s="734" t="s">
        <v>924</v>
      </c>
      <c r="D6" s="734" t="s">
        <v>925</v>
      </c>
      <c r="E6" s="734" t="s">
        <v>926</v>
      </c>
    </row>
    <row r="7" spans="1:6" ht="37.5" customHeight="1" x14ac:dyDescent="0.25">
      <c r="A7" s="735" t="s">
        <v>8</v>
      </c>
      <c r="B7" s="736" t="s">
        <v>9</v>
      </c>
      <c r="C7" s="737" t="s">
        <v>927</v>
      </c>
      <c r="D7" s="737" t="s">
        <v>928</v>
      </c>
      <c r="E7" s="737" t="s">
        <v>929</v>
      </c>
    </row>
    <row r="8" spans="1:6" ht="26.1" customHeight="1" x14ac:dyDescent="0.25">
      <c r="A8" s="738"/>
      <c r="B8" s="736"/>
      <c r="C8" s="739"/>
      <c r="D8" s="739"/>
      <c r="E8" s="739"/>
    </row>
    <row r="9" spans="1:6" ht="26.1" customHeight="1" x14ac:dyDescent="0.25">
      <c r="A9" s="731" t="s">
        <v>14</v>
      </c>
      <c r="B9" s="740" t="s">
        <v>930</v>
      </c>
      <c r="C9" s="741"/>
      <c r="D9" s="741"/>
      <c r="E9" s="741"/>
    </row>
    <row r="10" spans="1:6" ht="26.1" customHeight="1" x14ac:dyDescent="0.25">
      <c r="A10" s="742">
        <v>1</v>
      </c>
      <c r="B10" s="743" t="s">
        <v>931</v>
      </c>
      <c r="C10" s="744">
        <v>55607893</v>
      </c>
      <c r="D10" s="744">
        <v>61394562</v>
      </c>
      <c r="E10" s="744">
        <v>57855847</v>
      </c>
    </row>
    <row r="11" spans="1:6" ht="26.1" customHeight="1" x14ac:dyDescent="0.25">
      <c r="A11" s="742">
        <v>2</v>
      </c>
      <c r="B11" s="743" t="s">
        <v>932</v>
      </c>
      <c r="C11" s="744">
        <v>82823877</v>
      </c>
      <c r="D11" s="744">
        <v>86046480</v>
      </c>
      <c r="E11" s="744">
        <v>87316500</v>
      </c>
    </row>
    <row r="12" spans="1:6" ht="26.1" customHeight="1" x14ac:dyDescent="0.25">
      <c r="A12" s="742">
        <v>3</v>
      </c>
      <c r="B12" s="743" t="s">
        <v>71</v>
      </c>
      <c r="C12" s="744">
        <f>+C11+C10</f>
        <v>138431770</v>
      </c>
      <c r="D12" s="744">
        <f>+D11+D10</f>
        <v>147441042</v>
      </c>
      <c r="E12" s="744">
        <f>+E11+E10</f>
        <v>145172347</v>
      </c>
    </row>
    <row r="13" spans="1:6" ht="26.1" customHeight="1" x14ac:dyDescent="0.25">
      <c r="A13" s="742">
        <v>4</v>
      </c>
      <c r="B13" s="743" t="s">
        <v>507</v>
      </c>
      <c r="C13" s="744">
        <v>54558825</v>
      </c>
      <c r="D13" s="744">
        <v>53746903</v>
      </c>
      <c r="E13" s="744">
        <v>50085913</v>
      </c>
    </row>
    <row r="14" spans="1:6" ht="26.1" customHeight="1" x14ac:dyDescent="0.25">
      <c r="A14" s="742"/>
      <c r="B14" s="743"/>
      <c r="C14" s="744"/>
      <c r="D14" s="744"/>
      <c r="E14" s="744"/>
    </row>
    <row r="15" spans="1:6" ht="26.1" customHeight="1" x14ac:dyDescent="0.25">
      <c r="A15" s="731" t="s">
        <v>26</v>
      </c>
      <c r="B15" s="745" t="s">
        <v>334</v>
      </c>
      <c r="C15" s="744"/>
      <c r="D15" s="744"/>
      <c r="E15" s="744"/>
    </row>
    <row r="16" spans="1:6" ht="26.1" customHeight="1" x14ac:dyDescent="0.25">
      <c r="A16" s="742">
        <v>1</v>
      </c>
      <c r="B16" s="743" t="s">
        <v>933</v>
      </c>
      <c r="C16" s="744">
        <v>51745114</v>
      </c>
      <c r="D16" s="744">
        <v>49401485</v>
      </c>
      <c r="E16" s="744">
        <v>48236048</v>
      </c>
    </row>
    <row r="17" spans="1:5" ht="26.1" customHeight="1" x14ac:dyDescent="0.25">
      <c r="A17" s="742"/>
      <c r="B17" s="743"/>
      <c r="C17" s="744"/>
      <c r="D17" s="744"/>
      <c r="E17" s="744"/>
    </row>
    <row r="18" spans="1:5" ht="26.1" customHeight="1" x14ac:dyDescent="0.25">
      <c r="A18" s="731" t="s">
        <v>36</v>
      </c>
      <c r="B18" s="745" t="s">
        <v>934</v>
      </c>
      <c r="C18" s="746"/>
      <c r="D18" s="746"/>
      <c r="E18" s="744"/>
    </row>
    <row r="19" spans="1:5" ht="26.1" customHeight="1" x14ac:dyDescent="0.25">
      <c r="A19" s="742">
        <v>1</v>
      </c>
      <c r="B19" s="743" t="s">
        <v>380</v>
      </c>
      <c r="C19" s="747">
        <v>11914</v>
      </c>
      <c r="D19" s="747">
        <v>12338</v>
      </c>
      <c r="E19" s="747">
        <v>11690</v>
      </c>
    </row>
    <row r="20" spans="1:5" ht="26.1" customHeight="1" x14ac:dyDescent="0.25">
      <c r="A20" s="742">
        <v>2</v>
      </c>
      <c r="B20" s="743" t="s">
        <v>381</v>
      </c>
      <c r="C20" s="748">
        <v>2685</v>
      </c>
      <c r="D20" s="748">
        <v>2878</v>
      </c>
      <c r="E20" s="748">
        <v>2616</v>
      </c>
    </row>
    <row r="21" spans="1:5" ht="26.1" customHeight="1" x14ac:dyDescent="0.25">
      <c r="A21" s="742">
        <v>3</v>
      </c>
      <c r="B21" s="743" t="s">
        <v>935</v>
      </c>
      <c r="C21" s="749">
        <f>IF(C20=0,0,+C19/C20)</f>
        <v>4.4372439478584731</v>
      </c>
      <c r="D21" s="749">
        <f>IF(D20=0,0,+D19/D20)</f>
        <v>4.2870048644892282</v>
      </c>
      <c r="E21" s="749">
        <f>IF(E20=0,0,+E19/E20)</f>
        <v>4.4686544342507641</v>
      </c>
    </row>
    <row r="22" spans="1:5" ht="26.1" customHeight="1" x14ac:dyDescent="0.25">
      <c r="A22" s="742">
        <v>4</v>
      </c>
      <c r="B22" s="743" t="s">
        <v>936</v>
      </c>
      <c r="C22" s="748">
        <f>IF(C10=0,0,C19*(C12/C10))</f>
        <v>29659.028940010372</v>
      </c>
      <c r="D22" s="748">
        <f>IF(D10=0,0,D19*(D12/D10))</f>
        <v>29630.109197554015</v>
      </c>
      <c r="E22" s="748">
        <f>IF(E10=0,0,E19*(E12/E10))</f>
        <v>29332.640077501586</v>
      </c>
    </row>
    <row r="23" spans="1:5" ht="26.1" customHeight="1" x14ac:dyDescent="0.25">
      <c r="A23" s="742">
        <v>0</v>
      </c>
      <c r="B23" s="743" t="s">
        <v>937</v>
      </c>
      <c r="C23" s="748">
        <f>IF(C10=0,0,C20*(C12/C10))</f>
        <v>6684.1105173684609</v>
      </c>
      <c r="D23" s="748">
        <f>IF(D10=0,0,D20*(D12/D10))</f>
        <v>6911.6108178440954</v>
      </c>
      <c r="E23" s="748">
        <f>IF(E10=0,0,E20*(E12/E10))</f>
        <v>6564.0878051962491</v>
      </c>
    </row>
    <row r="24" spans="1:5" ht="26.1" customHeight="1" x14ac:dyDescent="0.25">
      <c r="A24" s="742"/>
      <c r="B24" s="743"/>
      <c r="C24" s="748"/>
      <c r="D24" s="748"/>
      <c r="E24" s="748"/>
    </row>
    <row r="25" spans="1:5" ht="26.1" customHeight="1" x14ac:dyDescent="0.25">
      <c r="A25" s="731" t="s">
        <v>170</v>
      </c>
      <c r="B25" s="745" t="s">
        <v>938</v>
      </c>
      <c r="C25" s="748"/>
      <c r="D25" s="748"/>
      <c r="E25" s="748"/>
    </row>
    <row r="26" spans="1:5" ht="26.1" customHeight="1" x14ac:dyDescent="0.25">
      <c r="A26" s="742">
        <v>1</v>
      </c>
      <c r="B26" s="743" t="s">
        <v>428</v>
      </c>
      <c r="C26" s="750">
        <v>1.0768874487895719</v>
      </c>
      <c r="D26" s="750">
        <v>1.0947610145934676</v>
      </c>
      <c r="E26" s="750">
        <v>1.0726553134556576</v>
      </c>
    </row>
    <row r="27" spans="1:5" ht="26.1" customHeight="1" x14ac:dyDescent="0.25">
      <c r="A27" s="742">
        <v>2</v>
      </c>
      <c r="B27" s="743" t="s">
        <v>939</v>
      </c>
      <c r="C27" s="748">
        <f>C19*C26</f>
        <v>12830.037064878959</v>
      </c>
      <c r="D27" s="748">
        <f>D19*D26</f>
        <v>13507.161398054204</v>
      </c>
      <c r="E27" s="748">
        <f>E19*E26</f>
        <v>12539.340614296638</v>
      </c>
    </row>
    <row r="28" spans="1:5" ht="26.1" customHeight="1" x14ac:dyDescent="0.25">
      <c r="A28" s="742">
        <v>3</v>
      </c>
      <c r="B28" s="743" t="s">
        <v>940</v>
      </c>
      <c r="C28" s="748">
        <f>C20*C26</f>
        <v>2891.4428000000007</v>
      </c>
      <c r="D28" s="748">
        <f>D20*D26</f>
        <v>3150.7221999999997</v>
      </c>
      <c r="E28" s="748">
        <f>E20*E26</f>
        <v>2806.0663000000004</v>
      </c>
    </row>
    <row r="29" spans="1:5" ht="26.1" customHeight="1" x14ac:dyDescent="0.25">
      <c r="A29" s="742">
        <v>4</v>
      </c>
      <c r="B29" s="743" t="s">
        <v>941</v>
      </c>
      <c r="C29" s="748">
        <f>C22*C26</f>
        <v>31939.43600878385</v>
      </c>
      <c r="D29" s="748">
        <f>D22*D26</f>
        <v>32437.888407629471</v>
      </c>
      <c r="E29" s="748">
        <f>E22*E26</f>
        <v>31463.812236814447</v>
      </c>
    </row>
    <row r="30" spans="1:5" ht="26.1" customHeight="1" x14ac:dyDescent="0.25">
      <c r="A30" s="742">
        <v>5</v>
      </c>
      <c r="B30" s="743" t="s">
        <v>942</v>
      </c>
      <c r="C30" s="748">
        <f>C23*C26</f>
        <v>7198.0347224764673</v>
      </c>
      <c r="D30" s="748">
        <f>D23*D26</f>
        <v>7566.5620714181887</v>
      </c>
      <c r="E30" s="748">
        <f>E23*E26</f>
        <v>7041.0036622332418</v>
      </c>
    </row>
    <row r="31" spans="1:5" ht="26.1" customHeight="1" x14ac:dyDescent="0.25">
      <c r="A31" s="742"/>
      <c r="B31" s="743"/>
      <c r="C31" s="748"/>
      <c r="D31" s="748"/>
      <c r="E31" s="748"/>
    </row>
    <row r="32" spans="1:5" ht="39" customHeight="1" x14ac:dyDescent="0.25">
      <c r="A32" s="731" t="s">
        <v>175</v>
      </c>
      <c r="B32" s="736" t="s">
        <v>943</v>
      </c>
      <c r="C32" s="751"/>
      <c r="D32" s="751"/>
      <c r="E32" s="748"/>
    </row>
    <row r="33" spans="1:5" ht="26.1" customHeight="1" x14ac:dyDescent="0.25">
      <c r="A33" s="742">
        <v>1</v>
      </c>
      <c r="B33" s="743" t="s">
        <v>944</v>
      </c>
      <c r="C33" s="744">
        <f>IF(C19=0,0,C12/C19)</f>
        <v>11619.252140339097</v>
      </c>
      <c r="D33" s="744">
        <f>IF(D19=0,0,D12/D19)</f>
        <v>11950.157399902739</v>
      </c>
      <c r="E33" s="744">
        <f>IF(E19=0,0,E12/E19)</f>
        <v>12418.507014542343</v>
      </c>
    </row>
    <row r="34" spans="1:5" ht="26.1" customHeight="1" x14ac:dyDescent="0.25">
      <c r="A34" s="742">
        <v>2</v>
      </c>
      <c r="B34" s="743" t="s">
        <v>945</v>
      </c>
      <c r="C34" s="744">
        <f>IF(C20=0,0,C12/C20)</f>
        <v>51557.456238361265</v>
      </c>
      <c r="D34" s="744">
        <f>IF(D20=0,0,D12/D20)</f>
        <v>51230.382904794998</v>
      </c>
      <c r="E34" s="744">
        <f>IF(E20=0,0,E12/E20)</f>
        <v>55494.01643730887</v>
      </c>
    </row>
    <row r="35" spans="1:5" ht="26.1" customHeight="1" x14ac:dyDescent="0.25">
      <c r="A35" s="742">
        <v>3</v>
      </c>
      <c r="B35" s="743" t="s">
        <v>946</v>
      </c>
      <c r="C35" s="744">
        <f>IF(C22=0,0,C12/C22)</f>
        <v>4667.4410777236862</v>
      </c>
      <c r="D35" s="744">
        <f>IF(D22=0,0,D12/D22)</f>
        <v>4976.0546279786022</v>
      </c>
      <c r="E35" s="744">
        <f>IF(E22=0,0,E12/E22)</f>
        <v>4949.1742514970065</v>
      </c>
    </row>
    <row r="36" spans="1:5" ht="26.1" customHeight="1" x14ac:dyDescent="0.25">
      <c r="A36" s="742">
        <v>4</v>
      </c>
      <c r="B36" s="743" t="s">
        <v>947</v>
      </c>
      <c r="C36" s="744">
        <f>IF(C23=0,0,C12/C23)</f>
        <v>20710.574674115454</v>
      </c>
      <c r="D36" s="744">
        <f>IF(D23=0,0,D12/D23)</f>
        <v>21332.370396108407</v>
      </c>
      <c r="E36" s="744">
        <f>IF(E23=0,0,E12/E23)</f>
        <v>22116.149464831804</v>
      </c>
    </row>
    <row r="37" spans="1:5" ht="26.1" customHeight="1" x14ac:dyDescent="0.25">
      <c r="A37" s="742">
        <v>5</v>
      </c>
      <c r="B37" s="743" t="s">
        <v>948</v>
      </c>
      <c r="C37" s="744">
        <f>IF(C29=0,0,C12/C29)</f>
        <v>4334.1958186715965</v>
      </c>
      <c r="D37" s="744">
        <f>IF(D29=0,0,D12/D29)</f>
        <v>4545.3341520627928</v>
      </c>
      <c r="E37" s="744">
        <f>IF(E29=0,0,E12/E29)</f>
        <v>4613.9465207633075</v>
      </c>
    </row>
    <row r="38" spans="1:5" ht="26.1" customHeight="1" x14ac:dyDescent="0.25">
      <c r="A38" s="742">
        <v>6</v>
      </c>
      <c r="B38" s="743" t="s">
        <v>949</v>
      </c>
      <c r="C38" s="744">
        <f>IF(C30=0,0,C12/C30)</f>
        <v>19231.884165234045</v>
      </c>
      <c r="D38" s="744">
        <f>IF(D30=0,0,D12/D30)</f>
        <v>19485.869620622216</v>
      </c>
      <c r="E38" s="744">
        <f>IF(E30=0,0,E12/E30)</f>
        <v>20618.132579404843</v>
      </c>
    </row>
    <row r="39" spans="1:5" ht="26.1" customHeight="1" x14ac:dyDescent="0.25">
      <c r="A39" s="742">
        <v>7</v>
      </c>
      <c r="B39" s="743" t="s">
        <v>950</v>
      </c>
      <c r="C39" s="744">
        <f>IF(C22=0,0,C10/C22)</f>
        <v>1874.9060568528698</v>
      </c>
      <c r="D39" s="744">
        <f>IF(D22=0,0,D10/D22)</f>
        <v>2072.0329307820493</v>
      </c>
      <c r="E39" s="744">
        <f>IF(E22=0,0,E10/E22)</f>
        <v>1972.4050357259177</v>
      </c>
    </row>
    <row r="40" spans="1:5" ht="26.1" customHeight="1" x14ac:dyDescent="0.25">
      <c r="A40" s="742">
        <v>8</v>
      </c>
      <c r="B40" s="743" t="s">
        <v>951</v>
      </c>
      <c r="C40" s="744">
        <f>IF(C23=0,0,C10/C23)</f>
        <v>8319.4155535735918</v>
      </c>
      <c r="D40" s="744">
        <f>IF(D23=0,0,D10/D23)</f>
        <v>8882.8152536445195</v>
      </c>
      <c r="E40" s="744">
        <f>IF(E23=0,0,E10/E23)</f>
        <v>8813.9965090351598</v>
      </c>
    </row>
    <row r="41" spans="1:5" ht="26.1" customHeight="1" x14ac:dyDescent="0.25">
      <c r="A41" s="742"/>
      <c r="B41" s="743"/>
      <c r="C41" s="744"/>
      <c r="D41" s="744"/>
      <c r="E41" s="744"/>
    </row>
    <row r="42" spans="1:5" ht="39.75" customHeight="1" x14ac:dyDescent="0.25">
      <c r="A42" s="731" t="s">
        <v>181</v>
      </c>
      <c r="B42" s="736" t="s">
        <v>952</v>
      </c>
      <c r="C42" s="744"/>
      <c r="D42" s="744"/>
      <c r="E42" s="744"/>
    </row>
    <row r="43" spans="1:5" ht="26.1" customHeight="1" x14ac:dyDescent="0.25">
      <c r="A43" s="742">
        <v>1</v>
      </c>
      <c r="B43" s="743" t="s">
        <v>953</v>
      </c>
      <c r="C43" s="744">
        <f>IF(C19=0,0,C13/C19)</f>
        <v>4579.3876951485645</v>
      </c>
      <c r="D43" s="744">
        <f>IF(D19=0,0,D13/D19)</f>
        <v>4356.2087048143949</v>
      </c>
      <c r="E43" s="744">
        <f>IF(E19=0,0,E13/E19)</f>
        <v>4284.509238665526</v>
      </c>
    </row>
    <row r="44" spans="1:5" ht="26.1" customHeight="1" x14ac:dyDescent="0.25">
      <c r="A44" s="742">
        <v>2</v>
      </c>
      <c r="B44" s="743" t="s">
        <v>954</v>
      </c>
      <c r="C44" s="744">
        <f>IF(C20=0,0,C13/C20)</f>
        <v>20319.860335195532</v>
      </c>
      <c r="D44" s="744">
        <f>IF(D20=0,0,D13/D20)</f>
        <v>18675.08790826963</v>
      </c>
      <c r="E44" s="744">
        <f>IF(E20=0,0,E13/E20)</f>
        <v>19145.991207951069</v>
      </c>
    </row>
    <row r="45" spans="1:5" ht="26.1" customHeight="1" x14ac:dyDescent="0.25">
      <c r="A45" s="742">
        <v>3</v>
      </c>
      <c r="B45" s="743" t="s">
        <v>955</v>
      </c>
      <c r="C45" s="744">
        <f>IF(C22=0,0,C13/C22)</f>
        <v>1839.5351078537678</v>
      </c>
      <c r="D45" s="744">
        <f>IF(D22=0,0,D13/D22)</f>
        <v>1813.928617058112</v>
      </c>
      <c r="E45" s="744">
        <f>IF(E22=0,0,E13/E22)</f>
        <v>1707.5146617442176</v>
      </c>
    </row>
    <row r="46" spans="1:5" ht="26.1" customHeight="1" x14ac:dyDescent="0.25">
      <c r="A46" s="742">
        <v>4</v>
      </c>
      <c r="B46" s="743" t="s">
        <v>956</v>
      </c>
      <c r="C46" s="744">
        <f>IF(C23=0,0,C13/C23)</f>
        <v>8162.4660241973152</v>
      </c>
      <c r="D46" s="744">
        <f>IF(D23=0,0,D13/D23)</f>
        <v>7776.320805164346</v>
      </c>
      <c r="E46" s="744">
        <f>IF(E23=0,0,E13/E23)</f>
        <v>7630.292964751492</v>
      </c>
    </row>
    <row r="47" spans="1:5" ht="26.1" customHeight="1" x14ac:dyDescent="0.25">
      <c r="A47" s="742">
        <v>5</v>
      </c>
      <c r="B47" s="743" t="s">
        <v>957</v>
      </c>
      <c r="C47" s="744">
        <f>IF(C29=0,0,C13/C29)</f>
        <v>1708.1962557195893</v>
      </c>
      <c r="D47" s="744">
        <f>IF(D29=0,0,D13/D29)</f>
        <v>1656.9174394027016</v>
      </c>
      <c r="E47" s="744">
        <f>IF(E29=0,0,E13/E29)</f>
        <v>1591.8577387579448</v>
      </c>
    </row>
    <row r="48" spans="1:5" ht="26.1" customHeight="1" x14ac:dyDescent="0.25">
      <c r="A48" s="742">
        <v>6</v>
      </c>
      <c r="B48" s="743" t="s">
        <v>958</v>
      </c>
      <c r="C48" s="744">
        <f>IF(C30=0,0,C13/C30)</f>
        <v>7579.6834974462536</v>
      </c>
      <c r="D48" s="744">
        <f>IF(D30=0,0,D13/D30)</f>
        <v>7103.2131227764185</v>
      </c>
      <c r="E48" s="744">
        <f>IF(E30=0,0,E13/E30)</f>
        <v>7113.4621429970848</v>
      </c>
    </row>
    <row r="49" spans="1:6" ht="26.1" customHeight="1" x14ac:dyDescent="0.25">
      <c r="A49" s="742"/>
      <c r="B49" s="743"/>
      <c r="C49" s="744"/>
      <c r="D49" s="744"/>
      <c r="E49" s="744"/>
    </row>
    <row r="50" spans="1:6" ht="37.5" customHeight="1" x14ac:dyDescent="0.25">
      <c r="A50" s="731" t="s">
        <v>183</v>
      </c>
      <c r="B50" s="736" t="s">
        <v>959</v>
      </c>
      <c r="C50" s="751"/>
      <c r="D50" s="751"/>
      <c r="E50" s="744"/>
    </row>
    <row r="51" spans="1:6" ht="26.1" customHeight="1" x14ac:dyDescent="0.25">
      <c r="A51" s="742">
        <v>1</v>
      </c>
      <c r="B51" s="743" t="s">
        <v>960</v>
      </c>
      <c r="C51" s="744">
        <f>IF(C19=0,0,C16/C19)</f>
        <v>4343.2192378714117</v>
      </c>
      <c r="D51" s="744">
        <f>IF(D19=0,0,D16/D19)</f>
        <v>4004.0107797049764</v>
      </c>
      <c r="E51" s="744">
        <f>IF(E19=0,0,E16/E19)</f>
        <v>4126.2658682634728</v>
      </c>
    </row>
    <row r="52" spans="1:6" ht="26.1" customHeight="1" x14ac:dyDescent="0.25">
      <c r="A52" s="742">
        <v>2</v>
      </c>
      <c r="B52" s="743" t="s">
        <v>961</v>
      </c>
      <c r="C52" s="744">
        <f>IF(C20=0,0,C16/C20)</f>
        <v>19271.923277467413</v>
      </c>
      <c r="D52" s="744">
        <f>IF(D20=0,0,D16/D20)</f>
        <v>17165.213690062545</v>
      </c>
      <c r="E52" s="744">
        <f>IF(E20=0,0,E16/E20)</f>
        <v>18438.856269113148</v>
      </c>
    </row>
    <row r="53" spans="1:6" ht="26.1" customHeight="1" x14ac:dyDescent="0.25">
      <c r="A53" s="742">
        <v>3</v>
      </c>
      <c r="B53" s="743" t="s">
        <v>962</v>
      </c>
      <c r="C53" s="744">
        <f>IF(C22=0,0,C16/C22)</f>
        <v>1744.6664927790418</v>
      </c>
      <c r="D53" s="744">
        <f>IF(D22=0,0,D16/D22)</f>
        <v>1667.2731332383387</v>
      </c>
      <c r="E53" s="744">
        <f>IF(E22=0,0,E16/E22)</f>
        <v>1644.4495917364598</v>
      </c>
    </row>
    <row r="54" spans="1:6" ht="26.1" customHeight="1" x14ac:dyDescent="0.25">
      <c r="A54" s="742">
        <v>4</v>
      </c>
      <c r="B54" s="743" t="s">
        <v>963</v>
      </c>
      <c r="C54" s="744">
        <f>IF(C23=0,0,C16/C23)</f>
        <v>7741.5108361152725</v>
      </c>
      <c r="D54" s="744">
        <f>IF(D23=0,0,D16/D23)</f>
        <v>7147.6080326249566</v>
      </c>
      <c r="E54" s="744">
        <f>IF(E23=0,0,E16/E23)</f>
        <v>7348.4769600149903</v>
      </c>
    </row>
    <row r="55" spans="1:6" ht="26.1" customHeight="1" x14ac:dyDescent="0.25">
      <c r="A55" s="742">
        <v>5</v>
      </c>
      <c r="B55" s="743" t="s">
        <v>964</v>
      </c>
      <c r="C55" s="744">
        <f>IF(C29=0,0,C16/C29)</f>
        <v>1620.1010558160538</v>
      </c>
      <c r="D55" s="744">
        <f>IF(D29=0,0,D16/D29)</f>
        <v>1522.9562534773579</v>
      </c>
      <c r="E55" s="744">
        <f>IF(E29=0,0,E16/E29)</f>
        <v>1533.0643228146741</v>
      </c>
    </row>
    <row r="56" spans="1:6" ht="26.1" customHeight="1" x14ac:dyDescent="0.25">
      <c r="A56" s="742">
        <v>6</v>
      </c>
      <c r="B56" s="743" t="s">
        <v>965</v>
      </c>
      <c r="C56" s="744">
        <f>IF(C30=0,0,C16/C30)</f>
        <v>7188.7836048389072</v>
      </c>
      <c r="D56" s="744">
        <f>IF(D30=0,0,D16/D30)</f>
        <v>6528.9208670617245</v>
      </c>
      <c r="E56" s="744">
        <f>IF(E30=0,0,E16/E30)</f>
        <v>6850.7346841374392</v>
      </c>
    </row>
    <row r="57" spans="1:6" ht="26.1" customHeight="1" x14ac:dyDescent="0.25">
      <c r="A57" s="742"/>
      <c r="B57" s="743"/>
      <c r="C57" s="744"/>
      <c r="D57" s="744"/>
      <c r="E57" s="744"/>
    </row>
    <row r="58" spans="1:6" ht="26.1" customHeight="1" x14ac:dyDescent="0.25">
      <c r="A58" s="731" t="s">
        <v>185</v>
      </c>
      <c r="B58" s="745" t="s">
        <v>966</v>
      </c>
      <c r="C58" s="744"/>
      <c r="D58" s="744"/>
      <c r="E58" s="744"/>
    </row>
    <row r="59" spans="1:6" ht="26.1" customHeight="1" x14ac:dyDescent="0.25">
      <c r="A59" s="742">
        <v>1</v>
      </c>
      <c r="B59" s="743" t="s">
        <v>967</v>
      </c>
      <c r="C59" s="752">
        <v>7016561</v>
      </c>
      <c r="D59" s="752">
        <v>6922138</v>
      </c>
      <c r="E59" s="752">
        <v>7183819</v>
      </c>
    </row>
    <row r="60" spans="1:6" ht="26.1" customHeight="1" x14ac:dyDescent="0.25">
      <c r="A60" s="742">
        <v>2</v>
      </c>
      <c r="B60" s="743" t="s">
        <v>968</v>
      </c>
      <c r="C60" s="752">
        <v>1687424</v>
      </c>
      <c r="D60" s="752">
        <v>1697890</v>
      </c>
      <c r="E60" s="752">
        <v>1803117</v>
      </c>
    </row>
    <row r="61" spans="1:6" ht="26.1" customHeight="1" x14ac:dyDescent="0.25">
      <c r="A61" s="753">
        <v>3</v>
      </c>
      <c r="B61" s="754" t="s">
        <v>969</v>
      </c>
      <c r="C61" s="755">
        <f>C59+C60</f>
        <v>8703985</v>
      </c>
      <c r="D61" s="755">
        <f>D59+D60</f>
        <v>8620028</v>
      </c>
      <c r="E61" s="755">
        <f>E59+E60</f>
        <v>8986936</v>
      </c>
    </row>
    <row r="62" spans="1:6" ht="26.1" customHeight="1" x14ac:dyDescent="0.25">
      <c r="A62" s="742"/>
      <c r="B62" s="743"/>
      <c r="C62" s="752"/>
      <c r="D62" s="752"/>
      <c r="E62" s="752"/>
    </row>
    <row r="63" spans="1:6" ht="26.1" customHeight="1" x14ac:dyDescent="0.25">
      <c r="A63" s="731" t="s">
        <v>12</v>
      </c>
      <c r="B63" s="745" t="s">
        <v>970</v>
      </c>
      <c r="C63" s="743"/>
      <c r="D63" s="743"/>
      <c r="E63" s="752"/>
      <c r="F63" s="756"/>
    </row>
    <row r="64" spans="1:6" ht="26.1" customHeight="1" x14ac:dyDescent="0.25">
      <c r="A64" s="742">
        <v>1</v>
      </c>
      <c r="B64" s="743" t="s">
        <v>971</v>
      </c>
      <c r="C64" s="744">
        <v>0</v>
      </c>
      <c r="D64" s="744">
        <v>0</v>
      </c>
      <c r="E64" s="752">
        <v>0</v>
      </c>
      <c r="F64" s="756"/>
    </row>
    <row r="65" spans="1:6" ht="26.1" customHeight="1" x14ac:dyDescent="0.25">
      <c r="A65" s="742">
        <v>2</v>
      </c>
      <c r="B65" s="743" t="s">
        <v>972</v>
      </c>
      <c r="C65" s="752">
        <v>0</v>
      </c>
      <c r="D65" s="752">
        <v>0</v>
      </c>
      <c r="E65" s="752">
        <v>0</v>
      </c>
      <c r="F65" s="756"/>
    </row>
    <row r="66" spans="1:6" ht="26.1" customHeight="1" x14ac:dyDescent="0.25">
      <c r="A66" s="753">
        <v>3</v>
      </c>
      <c r="B66" s="754" t="s">
        <v>973</v>
      </c>
      <c r="C66" s="757">
        <f>C64+C65</f>
        <v>0</v>
      </c>
      <c r="D66" s="757">
        <f>D64+D65</f>
        <v>0</v>
      </c>
      <c r="E66" s="757">
        <f>E64+E65</f>
        <v>0</v>
      </c>
      <c r="F66" s="758"/>
    </row>
    <row r="67" spans="1:6" ht="26.1" customHeight="1" x14ac:dyDescent="0.25">
      <c r="A67" s="742"/>
      <c r="B67" s="743"/>
      <c r="C67" s="752"/>
      <c r="D67" s="752"/>
      <c r="E67" s="752"/>
    </row>
    <row r="68" spans="1:6" ht="26.1" customHeight="1" x14ac:dyDescent="0.25">
      <c r="A68" s="731" t="s">
        <v>195</v>
      </c>
      <c r="B68" s="745" t="s">
        <v>974</v>
      </c>
      <c r="C68" s="752"/>
      <c r="D68" s="752"/>
      <c r="E68" s="752"/>
    </row>
    <row r="69" spans="1:6" ht="26.1" customHeight="1" x14ac:dyDescent="0.25">
      <c r="A69" s="742">
        <v>1</v>
      </c>
      <c r="B69" s="743" t="s">
        <v>975</v>
      </c>
      <c r="C69" s="752">
        <v>10390256</v>
      </c>
      <c r="D69" s="752">
        <v>10327838</v>
      </c>
      <c r="E69" s="752">
        <v>9839922</v>
      </c>
    </row>
    <row r="70" spans="1:6" ht="26.1" customHeight="1" x14ac:dyDescent="0.25">
      <c r="A70" s="742">
        <v>2</v>
      </c>
      <c r="B70" s="743" t="s">
        <v>976</v>
      </c>
      <c r="C70" s="752">
        <v>2354664</v>
      </c>
      <c r="D70" s="752">
        <v>2533292</v>
      </c>
      <c r="E70" s="752">
        <v>2469797</v>
      </c>
    </row>
    <row r="71" spans="1:6" ht="26.1" customHeight="1" x14ac:dyDescent="0.25">
      <c r="A71" s="753">
        <v>3</v>
      </c>
      <c r="B71" s="754" t="s">
        <v>977</v>
      </c>
      <c r="C71" s="755">
        <f>C69+C70</f>
        <v>12744920</v>
      </c>
      <c r="D71" s="755">
        <f>D69+D70</f>
        <v>12861130</v>
      </c>
      <c r="E71" s="755">
        <f>E69+E70</f>
        <v>12309719</v>
      </c>
    </row>
    <row r="72" spans="1:6" ht="26.1" customHeight="1" x14ac:dyDescent="0.25">
      <c r="A72" s="742"/>
      <c r="B72" s="743"/>
      <c r="C72" s="752"/>
      <c r="D72" s="752"/>
      <c r="E72" s="752"/>
    </row>
    <row r="73" spans="1:6" ht="26.1" customHeight="1" x14ac:dyDescent="0.25">
      <c r="A73" s="742"/>
      <c r="B73" s="743"/>
      <c r="C73" s="752"/>
      <c r="D73" s="752"/>
      <c r="E73" s="752"/>
    </row>
    <row r="74" spans="1:6" ht="26.1" customHeight="1" x14ac:dyDescent="0.25">
      <c r="A74" s="731" t="s">
        <v>226</v>
      </c>
      <c r="B74" s="745" t="s">
        <v>978</v>
      </c>
      <c r="C74" s="744"/>
      <c r="D74" s="744"/>
      <c r="E74" s="744"/>
    </row>
    <row r="75" spans="1:6" ht="26.1" customHeight="1" x14ac:dyDescent="0.25">
      <c r="A75" s="742">
        <v>1</v>
      </c>
      <c r="B75" s="743" t="s">
        <v>979</v>
      </c>
      <c r="C75" s="744">
        <f t="shared" ref="C75:E76" si="0">+C59+C64+C69</f>
        <v>17406817</v>
      </c>
      <c r="D75" s="744">
        <f t="shared" si="0"/>
        <v>17249976</v>
      </c>
      <c r="E75" s="744">
        <f t="shared" si="0"/>
        <v>17023741</v>
      </c>
    </row>
    <row r="76" spans="1:6" ht="26.1" customHeight="1" x14ac:dyDescent="0.25">
      <c r="A76" s="742">
        <v>2</v>
      </c>
      <c r="B76" s="743" t="s">
        <v>980</v>
      </c>
      <c r="C76" s="744">
        <f t="shared" si="0"/>
        <v>4042088</v>
      </c>
      <c r="D76" s="744">
        <f t="shared" si="0"/>
        <v>4231182</v>
      </c>
      <c r="E76" s="744">
        <f t="shared" si="0"/>
        <v>4272914</v>
      </c>
    </row>
    <row r="77" spans="1:6" ht="26.1" customHeight="1" x14ac:dyDescent="0.25">
      <c r="A77" s="753">
        <v>3</v>
      </c>
      <c r="B77" s="754" t="s">
        <v>978</v>
      </c>
      <c r="C77" s="757">
        <f>C75+C76</f>
        <v>21448905</v>
      </c>
      <c r="D77" s="757">
        <f>D75+D76</f>
        <v>21481158</v>
      </c>
      <c r="E77" s="757">
        <f>E75+E76</f>
        <v>21296655</v>
      </c>
    </row>
    <row r="78" spans="1:6" ht="26.1" customHeight="1" x14ac:dyDescent="0.25">
      <c r="A78" s="753"/>
      <c r="B78" s="754"/>
      <c r="C78" s="757"/>
      <c r="D78" s="757"/>
      <c r="E78" s="757"/>
    </row>
    <row r="79" spans="1:6" ht="26.1" customHeight="1" x14ac:dyDescent="0.25">
      <c r="A79" s="731" t="s">
        <v>427</v>
      </c>
      <c r="B79" s="745" t="s">
        <v>981</v>
      </c>
      <c r="C79" s="752"/>
      <c r="D79" s="752"/>
      <c r="E79" s="752"/>
    </row>
    <row r="80" spans="1:6" ht="26.1" customHeight="1" x14ac:dyDescent="0.25">
      <c r="A80" s="742">
        <v>1</v>
      </c>
      <c r="B80" s="743" t="s">
        <v>616</v>
      </c>
      <c r="C80" s="749">
        <v>100.6</v>
      </c>
      <c r="D80" s="749">
        <v>95.5</v>
      </c>
      <c r="E80" s="749">
        <v>102.6</v>
      </c>
    </row>
    <row r="81" spans="1:5" ht="26.1" customHeight="1" x14ac:dyDescent="0.25">
      <c r="A81" s="742">
        <v>2</v>
      </c>
      <c r="B81" s="743" t="s">
        <v>617</v>
      </c>
      <c r="C81" s="749">
        <v>0</v>
      </c>
      <c r="D81" s="749">
        <v>0</v>
      </c>
      <c r="E81" s="749">
        <v>0</v>
      </c>
    </row>
    <row r="82" spans="1:5" ht="26.1" customHeight="1" x14ac:dyDescent="0.25">
      <c r="A82" s="742">
        <v>3</v>
      </c>
      <c r="B82" s="743" t="s">
        <v>982</v>
      </c>
      <c r="C82" s="749">
        <v>155</v>
      </c>
      <c r="D82" s="749">
        <v>151.9</v>
      </c>
      <c r="E82" s="749">
        <v>157</v>
      </c>
    </row>
    <row r="83" spans="1:5" ht="26.1" customHeight="1" x14ac:dyDescent="0.25">
      <c r="A83" s="753">
        <v>4</v>
      </c>
      <c r="B83" s="754" t="s">
        <v>981</v>
      </c>
      <c r="C83" s="759">
        <f>C80+C81+C82</f>
        <v>255.6</v>
      </c>
      <c r="D83" s="759">
        <f>D80+D81+D82</f>
        <v>247.4</v>
      </c>
      <c r="E83" s="759">
        <f>E80+E81+E82</f>
        <v>259.60000000000002</v>
      </c>
    </row>
    <row r="84" spans="1:5" ht="26.1" customHeight="1" x14ac:dyDescent="0.25">
      <c r="A84" s="742"/>
      <c r="B84" s="743"/>
      <c r="C84" s="760"/>
      <c r="D84" s="760"/>
      <c r="E84" s="760"/>
    </row>
    <row r="85" spans="1:5" ht="26.1" customHeight="1" x14ac:dyDescent="0.25">
      <c r="A85" s="731" t="s">
        <v>430</v>
      </c>
      <c r="B85" s="745" t="s">
        <v>983</v>
      </c>
      <c r="C85" s="760"/>
      <c r="D85" s="760"/>
      <c r="E85" s="760"/>
    </row>
    <row r="86" spans="1:5" ht="26.1" customHeight="1" x14ac:dyDescent="0.25">
      <c r="A86" s="742">
        <v>1</v>
      </c>
      <c r="B86" s="743" t="s">
        <v>984</v>
      </c>
      <c r="C86" s="752">
        <f>IF(C80=0,0,C59/C80)</f>
        <v>69747.12723658052</v>
      </c>
      <c r="D86" s="752">
        <f>IF(D80=0,0,D59/D80)</f>
        <v>72483.120418848164</v>
      </c>
      <c r="E86" s="752">
        <f>IF(E80=0,0,E59/E80)</f>
        <v>70017.729044834312</v>
      </c>
    </row>
    <row r="87" spans="1:5" ht="26.1" customHeight="1" x14ac:dyDescent="0.25">
      <c r="A87" s="742">
        <v>2</v>
      </c>
      <c r="B87" s="743" t="s">
        <v>985</v>
      </c>
      <c r="C87" s="752">
        <f>IF(C80=0,0,C60/C80)</f>
        <v>16773.598409542745</v>
      </c>
      <c r="D87" s="752">
        <f>IF(D80=0,0,D60/D80)</f>
        <v>17778.952879581153</v>
      </c>
      <c r="E87" s="752">
        <f>IF(E80=0,0,E60/E80)</f>
        <v>17574.239766081871</v>
      </c>
    </row>
    <row r="88" spans="1:5" ht="26.1" customHeight="1" x14ac:dyDescent="0.25">
      <c r="A88" s="753">
        <v>3</v>
      </c>
      <c r="B88" s="754" t="s">
        <v>986</v>
      </c>
      <c r="C88" s="755">
        <f>+C86+C87</f>
        <v>86520.725646123261</v>
      </c>
      <c r="D88" s="755">
        <f>+D86+D87</f>
        <v>90262.073298429314</v>
      </c>
      <c r="E88" s="755">
        <f>+E86+E87</f>
        <v>87591.96881091618</v>
      </c>
    </row>
    <row r="89" spans="1:5" ht="26.1" customHeight="1" x14ac:dyDescent="0.25">
      <c r="A89" s="742"/>
      <c r="B89" s="743"/>
      <c r="C89" s="752"/>
      <c r="D89" s="752"/>
      <c r="E89" s="752"/>
    </row>
    <row r="90" spans="1:5" ht="26.1" customHeight="1" x14ac:dyDescent="0.25">
      <c r="A90" s="731" t="s">
        <v>462</v>
      </c>
      <c r="B90" s="745" t="s">
        <v>987</v>
      </c>
    </row>
    <row r="91" spans="1:5" ht="26.1" customHeight="1" x14ac:dyDescent="0.25">
      <c r="A91" s="742">
        <v>1</v>
      </c>
      <c r="B91" s="743" t="s">
        <v>988</v>
      </c>
      <c r="C91" s="744">
        <f>IF(C81=0,0,C64/C81)</f>
        <v>0</v>
      </c>
      <c r="D91" s="744">
        <f>IF(D81=0,0,D64/D81)</f>
        <v>0</v>
      </c>
      <c r="E91" s="744">
        <f>IF(E81=0,0,E64/E81)</f>
        <v>0</v>
      </c>
    </row>
    <row r="92" spans="1:5" ht="26.1" customHeight="1" x14ac:dyDescent="0.25">
      <c r="A92" s="742">
        <v>2</v>
      </c>
      <c r="B92" s="743" t="s">
        <v>989</v>
      </c>
      <c r="C92" s="744">
        <f>IF(C81=0,0,C65/C81)</f>
        <v>0</v>
      </c>
      <c r="D92" s="744">
        <f>IF(D81=0,0,D65/D81)</f>
        <v>0</v>
      </c>
      <c r="E92" s="744">
        <f>IF(E81=0,0,E65/E81)</f>
        <v>0</v>
      </c>
    </row>
    <row r="93" spans="1:5" ht="26.1" customHeight="1" x14ac:dyDescent="0.25">
      <c r="A93" s="753">
        <v>3</v>
      </c>
      <c r="B93" s="754" t="s">
        <v>990</v>
      </c>
      <c r="C93" s="757">
        <f>+C91+C92</f>
        <v>0</v>
      </c>
      <c r="D93" s="757">
        <f>+D91+D92</f>
        <v>0</v>
      </c>
      <c r="E93" s="757">
        <f>+E91+E92</f>
        <v>0</v>
      </c>
    </row>
    <row r="94" spans="1:5" ht="26.1" customHeight="1" x14ac:dyDescent="0.25">
      <c r="A94" s="742"/>
      <c r="B94" s="743"/>
      <c r="C94" s="752"/>
      <c r="D94" s="752"/>
      <c r="E94" s="752"/>
    </row>
    <row r="95" spans="1:5" ht="26.1" customHeight="1" x14ac:dyDescent="0.25">
      <c r="A95" s="731" t="s">
        <v>991</v>
      </c>
      <c r="B95" s="745" t="s">
        <v>992</v>
      </c>
      <c r="C95" s="752"/>
      <c r="D95" s="752"/>
      <c r="E95" s="752"/>
    </row>
    <row r="96" spans="1:5" ht="26.1" customHeight="1" x14ac:dyDescent="0.25">
      <c r="A96" s="742">
        <v>1</v>
      </c>
      <c r="B96" s="743" t="s">
        <v>993</v>
      </c>
      <c r="C96" s="752">
        <f>IF(C82=0,0,C69/C82)</f>
        <v>67033.90967741936</v>
      </c>
      <c r="D96" s="752">
        <f>IF(D82=0,0,D69/D82)</f>
        <v>67991.033574720204</v>
      </c>
      <c r="E96" s="752">
        <f>IF(E82=0,0,E69/E82)</f>
        <v>62674.662420382163</v>
      </c>
    </row>
    <row r="97" spans="1:5" ht="26.1" customHeight="1" x14ac:dyDescent="0.25">
      <c r="A97" s="742">
        <v>2</v>
      </c>
      <c r="B97" s="743" t="s">
        <v>994</v>
      </c>
      <c r="C97" s="752">
        <f>IF(C82=0,0,C70/C82)</f>
        <v>15191.380645161291</v>
      </c>
      <c r="D97" s="752">
        <f>IF(D82=0,0,D70/D82)</f>
        <v>16677.366688610928</v>
      </c>
      <c r="E97" s="752">
        <f>IF(E82=0,0,E70/E82)</f>
        <v>15731.191082802548</v>
      </c>
    </row>
    <row r="98" spans="1:5" ht="26.1" customHeight="1" x14ac:dyDescent="0.25">
      <c r="A98" s="753">
        <v>3</v>
      </c>
      <c r="B98" s="754" t="s">
        <v>995</v>
      </c>
      <c r="C98" s="757">
        <f>+C96+C97</f>
        <v>82225.290322580651</v>
      </c>
      <c r="D98" s="757">
        <f>+D96+D97</f>
        <v>84668.400263331132</v>
      </c>
      <c r="E98" s="757">
        <f>+E96+E97</f>
        <v>78405.853503184713</v>
      </c>
    </row>
    <row r="99" spans="1:5" ht="26.1" customHeight="1" x14ac:dyDescent="0.25">
      <c r="A99" s="742"/>
      <c r="B99" s="743"/>
      <c r="C99" s="752"/>
      <c r="D99" s="752"/>
      <c r="E99" s="752"/>
    </row>
    <row r="100" spans="1:5" ht="26.1" customHeight="1" x14ac:dyDescent="0.25">
      <c r="A100" s="731" t="s">
        <v>996</v>
      </c>
      <c r="B100" s="745" t="s">
        <v>997</v>
      </c>
    </row>
    <row r="101" spans="1:5" ht="26.1" customHeight="1" x14ac:dyDescent="0.25">
      <c r="A101" s="742">
        <v>1</v>
      </c>
      <c r="B101" s="743" t="s">
        <v>998</v>
      </c>
      <c r="C101" s="744">
        <f>IF(C83=0,0,C75/C83)</f>
        <v>68101.787949921752</v>
      </c>
      <c r="D101" s="744">
        <f>IF(D83=0,0,D75/D83)</f>
        <v>69725.04446240906</v>
      </c>
      <c r="E101" s="744">
        <f>IF(E83=0,0,E75/E83)</f>
        <v>65576.814329738059</v>
      </c>
    </row>
    <row r="102" spans="1:5" ht="26.1" customHeight="1" x14ac:dyDescent="0.25">
      <c r="A102" s="742">
        <v>2</v>
      </c>
      <c r="B102" s="743" t="s">
        <v>999</v>
      </c>
      <c r="C102" s="761">
        <f>IF(C83=0,0,C76/C83)</f>
        <v>15814.115805946793</v>
      </c>
      <c r="D102" s="761">
        <f>IF(D83=0,0,D76/D83)</f>
        <v>17102.594987873887</v>
      </c>
      <c r="E102" s="761">
        <f>IF(E83=0,0,E76/E83)</f>
        <v>16459.607087827426</v>
      </c>
    </row>
    <row r="103" spans="1:5" ht="26.1" customHeight="1" x14ac:dyDescent="0.25">
      <c r="A103" s="753">
        <v>3</v>
      </c>
      <c r="B103" s="754" t="s">
        <v>997</v>
      </c>
      <c r="C103" s="757">
        <f>+C101+C102</f>
        <v>83915.903755868552</v>
      </c>
      <c r="D103" s="757">
        <f>+D101+D102</f>
        <v>86827.63945028295</v>
      </c>
      <c r="E103" s="757">
        <f>+E101+E102</f>
        <v>82036.421417565492</v>
      </c>
    </row>
    <row r="104" spans="1:5" ht="26.1" customHeight="1" x14ac:dyDescent="0.25">
      <c r="A104" s="753"/>
      <c r="B104" s="754"/>
      <c r="C104" s="757"/>
      <c r="D104" s="757"/>
      <c r="E104" s="757"/>
    </row>
    <row r="105" spans="1:5" ht="26.1" customHeight="1" x14ac:dyDescent="0.25">
      <c r="A105" s="753"/>
      <c r="B105" s="754"/>
      <c r="C105" s="757"/>
      <c r="D105" s="757"/>
      <c r="E105" s="757"/>
    </row>
    <row r="106" spans="1:5" ht="26.1" customHeight="1" x14ac:dyDescent="0.25">
      <c r="A106" s="753"/>
      <c r="B106" s="754"/>
      <c r="C106" s="757"/>
      <c r="D106" s="757"/>
      <c r="E106" s="757"/>
    </row>
    <row r="107" spans="1:5" ht="30" customHeight="1" x14ac:dyDescent="0.25">
      <c r="A107" s="731" t="s">
        <v>1000</v>
      </c>
      <c r="B107" s="736" t="s">
        <v>1001</v>
      </c>
      <c r="C107" s="762"/>
      <c r="D107" s="762"/>
      <c r="E107" s="744"/>
    </row>
    <row r="108" spans="1:5" ht="26.1" customHeight="1" x14ac:dyDescent="0.25">
      <c r="A108" s="742">
        <v>1</v>
      </c>
      <c r="B108" s="743" t="s">
        <v>1002</v>
      </c>
      <c r="C108" s="744">
        <f>IF(C19=0,0,C77/C19)</f>
        <v>1800.3109786805439</v>
      </c>
      <c r="D108" s="744">
        <f>IF(D19=0,0,D77/D19)</f>
        <v>1741.0567352893499</v>
      </c>
      <c r="E108" s="744">
        <f>IF(E19=0,0,E77/E19)</f>
        <v>1821.7840034217279</v>
      </c>
    </row>
    <row r="109" spans="1:5" ht="26.1" customHeight="1" x14ac:dyDescent="0.25">
      <c r="A109" s="742">
        <v>2</v>
      </c>
      <c r="B109" s="743" t="s">
        <v>1003</v>
      </c>
      <c r="C109" s="744">
        <f>IF(C20=0,0,C77/C20)</f>
        <v>7988.4189944134077</v>
      </c>
      <c r="D109" s="744">
        <f>IF(D20=0,0,D77/D20)</f>
        <v>7463.918693537179</v>
      </c>
      <c r="E109" s="744">
        <f>IF(E20=0,0,E77/E20)</f>
        <v>8140.9231651376149</v>
      </c>
    </row>
    <row r="110" spans="1:5" ht="26.1" customHeight="1" x14ac:dyDescent="0.25">
      <c r="A110" s="742">
        <v>3</v>
      </c>
      <c r="B110" s="743" t="s">
        <v>1004</v>
      </c>
      <c r="C110" s="744">
        <f>IF(C22=0,0,C77/C22)</f>
        <v>723.1829822676757</v>
      </c>
      <c r="D110" s="744">
        <f>IF(D22=0,0,D77/D22)</f>
        <v>724.97734843897513</v>
      </c>
      <c r="E110" s="744">
        <f>IF(E22=0,0,E77/E22)</f>
        <v>726.03948856055194</v>
      </c>
    </row>
    <row r="111" spans="1:5" ht="26.1" customHeight="1" x14ac:dyDescent="0.25">
      <c r="A111" s="742">
        <v>4</v>
      </c>
      <c r="B111" s="743" t="s">
        <v>1005</v>
      </c>
      <c r="C111" s="744">
        <f>IF(C23=0,0,C77/C23)</f>
        <v>3208.9393112614853</v>
      </c>
      <c r="D111" s="744">
        <f>IF(D23=0,0,D77/D23)</f>
        <v>3107.9814194023893</v>
      </c>
      <c r="E111" s="744">
        <f>IF(E23=0,0,E77/E23)</f>
        <v>3244.4195799972676</v>
      </c>
    </row>
    <row r="112" spans="1:5" ht="26.1" customHeight="1" x14ac:dyDescent="0.25">
      <c r="A112" s="742">
        <v>5</v>
      </c>
      <c r="B112" s="743" t="s">
        <v>1006</v>
      </c>
      <c r="C112" s="744">
        <f>IF(C29=0,0,C77/C29)</f>
        <v>671.54927200659438</v>
      </c>
      <c r="D112" s="744">
        <f>IF(D29=0,0,D77/D29)</f>
        <v>662.2243017195774</v>
      </c>
      <c r="E112" s="744">
        <f>IF(E29=0,0,E77/E29)</f>
        <v>676.86187673983466</v>
      </c>
    </row>
    <row r="113" spans="1:7" ht="25.5" customHeight="1" x14ac:dyDescent="0.25">
      <c r="A113" s="742">
        <v>6</v>
      </c>
      <c r="B113" s="743" t="s">
        <v>1007</v>
      </c>
      <c r="C113" s="744">
        <f>IF(C30=0,0,C77/C30)</f>
        <v>2979.8279429000245</v>
      </c>
      <c r="D113" s="744">
        <f>IF(D30=0,0,D77/D30)</f>
        <v>2838.958802854811</v>
      </c>
      <c r="E113" s="744">
        <f>IF(E30=0,0,E77/E30)</f>
        <v>3024.6618268687562</v>
      </c>
    </row>
    <row r="116" spans="1:7" x14ac:dyDescent="0.2">
      <c r="A116" s="732"/>
      <c r="B116" s="732"/>
      <c r="C116" s="732"/>
      <c r="D116" s="732"/>
      <c r="E116" s="732"/>
      <c r="F116" s="732"/>
      <c r="G116" s="732"/>
    </row>
    <row r="117" spans="1:7" ht="18" customHeight="1" x14ac:dyDescent="0.25">
      <c r="A117" s="732"/>
      <c r="B117" s="731"/>
      <c r="C117" s="732"/>
      <c r="D117" s="732"/>
      <c r="E117" s="732"/>
      <c r="F117" s="732"/>
      <c r="G117" s="732"/>
    </row>
    <row r="118" spans="1:7" ht="18" customHeight="1" x14ac:dyDescent="0.25">
      <c r="A118" s="732"/>
      <c r="B118" s="731"/>
      <c r="C118" s="732"/>
      <c r="D118" s="732"/>
      <c r="E118" s="732"/>
      <c r="F118" s="732"/>
      <c r="G118" s="732"/>
    </row>
    <row r="119" spans="1:7" ht="18" customHeight="1" x14ac:dyDescent="0.25">
      <c r="A119" s="732"/>
      <c r="B119" s="731"/>
      <c r="C119" s="732"/>
      <c r="D119" s="732"/>
      <c r="E119" s="732"/>
      <c r="F119" s="732"/>
      <c r="G119" s="732"/>
    </row>
    <row r="120" spans="1:7" ht="18" customHeight="1" x14ac:dyDescent="0.25">
      <c r="A120" s="732"/>
      <c r="B120" s="731"/>
      <c r="C120" s="732"/>
      <c r="D120" s="732"/>
      <c r="E120" s="732"/>
      <c r="F120" s="732"/>
      <c r="G120" s="732"/>
    </row>
    <row r="121" spans="1:7" ht="18" customHeight="1" x14ac:dyDescent="0.25">
      <c r="A121" s="731"/>
      <c r="B121" s="731"/>
      <c r="C121" s="732"/>
      <c r="D121" s="732"/>
      <c r="E121" s="732"/>
      <c r="F121" s="732"/>
      <c r="G121" s="732"/>
    </row>
    <row r="122" spans="1:7" ht="18" customHeight="1" x14ac:dyDescent="0.25">
      <c r="A122" s="732"/>
      <c r="B122" s="731"/>
      <c r="C122" s="732"/>
      <c r="D122" s="732"/>
      <c r="E122" s="732"/>
      <c r="F122" s="732"/>
      <c r="G122" s="732"/>
    </row>
    <row r="123" spans="1:7" ht="18" customHeight="1" x14ac:dyDescent="0.25">
      <c r="A123" s="732"/>
      <c r="B123" s="731"/>
      <c r="C123" s="732"/>
      <c r="D123" s="732"/>
      <c r="E123" s="732"/>
      <c r="F123" s="732"/>
      <c r="G123" s="732"/>
    </row>
    <row r="124" spans="1:7" ht="18" customHeight="1" x14ac:dyDescent="0.25">
      <c r="A124" s="732"/>
      <c r="B124" s="731"/>
      <c r="C124" s="732"/>
      <c r="D124" s="732"/>
      <c r="E124" s="732"/>
      <c r="F124" s="732"/>
      <c r="G124" s="732"/>
    </row>
  </sheetData>
  <mergeCells count="5">
    <mergeCell ref="A1:E1"/>
    <mergeCell ref="A2:E2"/>
    <mergeCell ref="A3:E3"/>
    <mergeCell ref="A4:E4"/>
    <mergeCell ref="A5:E5"/>
  </mergeCells>
  <printOptions gridLines="1"/>
  <pageMargins left="0.25" right="0.25" top="0.5" bottom="0.5" header="0.25" footer="0.25"/>
  <pageSetup paperSize="9" scale="65" fitToHeight="5" orientation="portrait" horizontalDpi="1200" verticalDpi="1200" r:id="rId1"/>
  <headerFooter>
    <oddHeader>&amp;L&amp;"Arial,Bold"&amp;12OFFICE OF HEALTH CARE ACCESS&amp;C&amp;"Arial,Bold"&amp;12TWELVE MONTHS ACTUAL FILING&amp;R&amp;"Arial,Bold"&amp;12ESSENT-SHARON HOSPITAL</oddHeader>
    <oddFooter>&amp;L&amp;"Arial,Bold"&amp;12REPORT 700&amp;C&amp;"Arial,Bold"&amp;12PAGE &amp;P of &amp;N&amp;R&amp;"Arial,Bold"&amp;12&amp;D, &amp;T</oddFooter>
  </headerFooter>
  <rowBreaks count="2" manualBreakCount="2">
    <brk id="40" max="5" man="1"/>
    <brk id="77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zoomScale="75" zoomScaleSheetLayoutView="75" workbookViewId="0">
      <selection activeCell="C37" sqref="C37"/>
    </sheetView>
  </sheetViews>
  <sheetFormatPr defaultRowHeight="23.1" customHeight="1" x14ac:dyDescent="0.2"/>
  <cols>
    <col min="1" max="1" width="6.7109375" style="56" customWidth="1"/>
    <col min="2" max="2" width="54.42578125" style="56" customWidth="1"/>
    <col min="3" max="4" width="18.85546875" style="56" customWidth="1"/>
    <col min="5" max="6" width="18.85546875" style="91" customWidth="1"/>
    <col min="7" max="7" width="12.7109375" style="56" customWidth="1"/>
    <col min="8" max="16384" width="9.140625" style="56"/>
  </cols>
  <sheetData>
    <row r="1" spans="1:8" ht="23.1" customHeight="1" x14ac:dyDescent="0.25">
      <c r="A1" s="766" t="s">
        <v>0</v>
      </c>
      <c r="B1" s="767"/>
      <c r="C1" s="767"/>
      <c r="D1" s="767"/>
      <c r="E1" s="767"/>
      <c r="F1" s="768"/>
    </row>
    <row r="2" spans="1:8" ht="23.1" customHeight="1" x14ac:dyDescent="0.25">
      <c r="A2" s="766" t="s">
        <v>1</v>
      </c>
      <c r="B2" s="767"/>
      <c r="C2" s="767"/>
      <c r="D2" s="767"/>
      <c r="E2" s="767"/>
      <c r="F2" s="768"/>
    </row>
    <row r="3" spans="1:8" ht="23.1" customHeight="1" x14ac:dyDescent="0.25">
      <c r="A3" s="766" t="s">
        <v>2</v>
      </c>
      <c r="B3" s="767"/>
      <c r="C3" s="767"/>
      <c r="D3" s="767"/>
      <c r="E3" s="767"/>
      <c r="F3" s="768"/>
    </row>
    <row r="4" spans="1:8" ht="23.1" customHeight="1" x14ac:dyDescent="0.25">
      <c r="A4" s="766" t="s">
        <v>69</v>
      </c>
      <c r="B4" s="767"/>
      <c r="C4" s="767"/>
      <c r="D4" s="767"/>
      <c r="E4" s="767"/>
      <c r="F4" s="768"/>
    </row>
    <row r="5" spans="1:8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8" ht="15.75" customHeight="1" x14ac:dyDescent="0.25">
      <c r="A6" s="58"/>
      <c r="B6" s="59"/>
      <c r="C6" s="60" t="s">
        <v>4</v>
      </c>
      <c r="D6" s="60" t="s">
        <v>5</v>
      </c>
      <c r="E6" s="57" t="s">
        <v>6</v>
      </c>
      <c r="F6" s="57" t="s">
        <v>7</v>
      </c>
    </row>
    <row r="7" spans="1:8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  <c r="G7" s="65"/>
      <c r="H7" s="66"/>
    </row>
    <row r="8" spans="1:8" ht="15.75" customHeight="1" x14ac:dyDescent="0.25">
      <c r="A8" s="67"/>
      <c r="B8" s="67"/>
      <c r="C8" s="68"/>
      <c r="D8" s="68"/>
      <c r="E8" s="69"/>
      <c r="F8" s="69"/>
    </row>
    <row r="9" spans="1:8" ht="12.75" customHeight="1" x14ac:dyDescent="0.2">
      <c r="A9" s="70"/>
      <c r="B9" s="70"/>
      <c r="C9" s="70"/>
      <c r="D9" s="70"/>
      <c r="E9" s="67"/>
      <c r="F9" s="67"/>
    </row>
    <row r="10" spans="1:8" ht="15.75" customHeight="1" x14ac:dyDescent="0.25">
      <c r="A10" s="71"/>
      <c r="B10" s="72"/>
      <c r="C10" s="68"/>
      <c r="D10" s="68"/>
      <c r="E10" s="73"/>
      <c r="F10" s="73"/>
    </row>
    <row r="11" spans="1:8" ht="15.75" customHeight="1" x14ac:dyDescent="0.25">
      <c r="A11" s="71" t="s">
        <v>14</v>
      </c>
      <c r="B11" s="72" t="s">
        <v>70</v>
      </c>
      <c r="C11" s="68"/>
      <c r="D11" s="68"/>
      <c r="E11" s="73"/>
      <c r="F11" s="73"/>
    </row>
    <row r="12" spans="1:8" ht="23.1" customHeight="1" x14ac:dyDescent="0.2">
      <c r="A12" s="74">
        <v>1</v>
      </c>
      <c r="B12" s="75" t="s">
        <v>71</v>
      </c>
      <c r="C12" s="76">
        <v>147441042</v>
      </c>
      <c r="D12" s="76">
        <v>145172345</v>
      </c>
      <c r="E12" s="76">
        <f t="shared" ref="E12:E21" si="0">D12-C12</f>
        <v>-2268697</v>
      </c>
      <c r="F12" s="77">
        <f t="shared" ref="F12:F21" si="1">IF(C12=0,0,E12/C12)</f>
        <v>-1.538714708757959E-2</v>
      </c>
    </row>
    <row r="13" spans="1:8" ht="23.1" customHeight="1" x14ac:dyDescent="0.2">
      <c r="A13" s="74">
        <v>2</v>
      </c>
      <c r="B13" s="75" t="s">
        <v>72</v>
      </c>
      <c r="C13" s="76">
        <v>89772556</v>
      </c>
      <c r="D13" s="76">
        <v>91176876</v>
      </c>
      <c r="E13" s="76">
        <f t="shared" si="0"/>
        <v>1404320</v>
      </c>
      <c r="F13" s="77">
        <f t="shared" si="1"/>
        <v>1.5643088072483977E-2</v>
      </c>
    </row>
    <row r="14" spans="1:8" ht="23.1" customHeight="1" x14ac:dyDescent="0.2">
      <c r="A14" s="74">
        <v>3</v>
      </c>
      <c r="B14" s="75" t="s">
        <v>73</v>
      </c>
      <c r="C14" s="76">
        <v>941923</v>
      </c>
      <c r="D14" s="76">
        <v>892961</v>
      </c>
      <c r="E14" s="76">
        <f t="shared" si="0"/>
        <v>-48962</v>
      </c>
      <c r="F14" s="77">
        <f t="shared" si="1"/>
        <v>-5.1980894404319675E-2</v>
      </c>
    </row>
    <row r="15" spans="1:8" ht="23.1" customHeight="1" x14ac:dyDescent="0.2">
      <c r="A15" s="74">
        <v>4</v>
      </c>
      <c r="B15" s="75" t="s">
        <v>74</v>
      </c>
      <c r="C15" s="76">
        <v>686153</v>
      </c>
      <c r="D15" s="76">
        <v>745895</v>
      </c>
      <c r="E15" s="76">
        <f t="shared" si="0"/>
        <v>59742</v>
      </c>
      <c r="F15" s="77">
        <f t="shared" si="1"/>
        <v>8.7068044590637952E-2</v>
      </c>
      <c r="G15" s="65"/>
    </row>
    <row r="16" spans="1:8" ht="23.1" customHeight="1" x14ac:dyDescent="0.25">
      <c r="A16" s="71"/>
      <c r="B16" s="78" t="s">
        <v>75</v>
      </c>
      <c r="C16" s="79">
        <f>C12-C13-C14-C15</f>
        <v>56040410</v>
      </c>
      <c r="D16" s="79">
        <f>D12-D13-D14-D15</f>
        <v>52356613</v>
      </c>
      <c r="E16" s="79">
        <f t="shared" si="0"/>
        <v>-3683797</v>
      </c>
      <c r="F16" s="80">
        <f t="shared" si="1"/>
        <v>-6.57346546893572E-2</v>
      </c>
    </row>
    <row r="17" spans="1:7" ht="23.1" customHeight="1" x14ac:dyDescent="0.2">
      <c r="A17" s="74">
        <v>5</v>
      </c>
      <c r="B17" s="75" t="s">
        <v>76</v>
      </c>
      <c r="C17" s="76">
        <v>2293507</v>
      </c>
      <c r="D17" s="76">
        <v>2270700</v>
      </c>
      <c r="E17" s="76">
        <f t="shared" si="0"/>
        <v>-22807</v>
      </c>
      <c r="F17" s="77">
        <f t="shared" si="1"/>
        <v>-9.9441597518560004E-3</v>
      </c>
      <c r="G17" s="65"/>
    </row>
    <row r="18" spans="1:7" ht="31.5" customHeight="1" x14ac:dyDescent="0.25">
      <c r="A18" s="71"/>
      <c r="B18" s="81" t="s">
        <v>77</v>
      </c>
      <c r="C18" s="79">
        <f>C16-C17</f>
        <v>53746903</v>
      </c>
      <c r="D18" s="79">
        <f>D16-D17</f>
        <v>50085913</v>
      </c>
      <c r="E18" s="79">
        <f t="shared" si="0"/>
        <v>-3660990</v>
      </c>
      <c r="F18" s="80">
        <f t="shared" si="1"/>
        <v>-6.811536657284234E-2</v>
      </c>
    </row>
    <row r="19" spans="1:7" ht="23.1" customHeight="1" x14ac:dyDescent="0.2">
      <c r="A19" s="74">
        <v>6</v>
      </c>
      <c r="B19" s="75" t="s">
        <v>78</v>
      </c>
      <c r="C19" s="76">
        <v>429185</v>
      </c>
      <c r="D19" s="76">
        <v>1092483</v>
      </c>
      <c r="E19" s="76">
        <f t="shared" si="0"/>
        <v>663298</v>
      </c>
      <c r="F19" s="77">
        <f t="shared" si="1"/>
        <v>1.5454827172431469</v>
      </c>
      <c r="G19" s="65"/>
    </row>
    <row r="20" spans="1:7" ht="33" customHeight="1" x14ac:dyDescent="0.2">
      <c r="A20" s="74">
        <v>7</v>
      </c>
      <c r="B20" s="82" t="s">
        <v>79</v>
      </c>
      <c r="C20" s="76">
        <v>0</v>
      </c>
      <c r="D20" s="76">
        <v>0</v>
      </c>
      <c r="E20" s="76">
        <f t="shared" si="0"/>
        <v>0</v>
      </c>
      <c r="F20" s="77">
        <f t="shared" si="1"/>
        <v>0</v>
      </c>
      <c r="G20" s="65"/>
    </row>
    <row r="21" spans="1:7" ht="23.1" customHeight="1" x14ac:dyDescent="0.25">
      <c r="A21" s="71"/>
      <c r="B21" s="78" t="s">
        <v>80</v>
      </c>
      <c r="C21" s="79">
        <f>SUM(C18:C20)</f>
        <v>54176088</v>
      </c>
      <c r="D21" s="79">
        <f>SUM(D18:D20)</f>
        <v>51178396</v>
      </c>
      <c r="E21" s="79">
        <f t="shared" si="0"/>
        <v>-2997692</v>
      </c>
      <c r="F21" s="80">
        <f t="shared" si="1"/>
        <v>-5.5332382064943487E-2</v>
      </c>
    </row>
    <row r="22" spans="1:7" ht="15.75" customHeight="1" x14ac:dyDescent="0.25">
      <c r="A22" s="74"/>
      <c r="B22" s="78"/>
      <c r="C22" s="76"/>
      <c r="D22" s="76"/>
      <c r="E22" s="76"/>
      <c r="F22" s="77"/>
    </row>
    <row r="23" spans="1:7" ht="23.1" customHeight="1" x14ac:dyDescent="0.25">
      <c r="A23" s="71" t="s">
        <v>26</v>
      </c>
      <c r="B23" s="72" t="s">
        <v>81</v>
      </c>
      <c r="C23" s="76"/>
      <c r="D23" s="76"/>
      <c r="E23" s="76"/>
      <c r="F23" s="77"/>
    </row>
    <row r="24" spans="1:7" ht="23.1" customHeight="1" x14ac:dyDescent="0.2">
      <c r="A24" s="74">
        <v>1</v>
      </c>
      <c r="B24" s="75" t="s">
        <v>82</v>
      </c>
      <c r="C24" s="76">
        <v>17249976</v>
      </c>
      <c r="D24" s="76">
        <v>17023741</v>
      </c>
      <c r="E24" s="76">
        <f t="shared" ref="E24:E33" si="2">D24-C24</f>
        <v>-226235</v>
      </c>
      <c r="F24" s="77">
        <f t="shared" ref="F24:F33" si="3">IF(C24=0,0,E24/C24)</f>
        <v>-1.3115090710850845E-2</v>
      </c>
    </row>
    <row r="25" spans="1:7" ht="23.1" customHeight="1" x14ac:dyDescent="0.2">
      <c r="A25" s="74">
        <v>2</v>
      </c>
      <c r="B25" s="75" t="s">
        <v>83</v>
      </c>
      <c r="C25" s="76">
        <v>4231182</v>
      </c>
      <c r="D25" s="76">
        <v>4272914</v>
      </c>
      <c r="E25" s="76">
        <f t="shared" si="2"/>
        <v>41732</v>
      </c>
      <c r="F25" s="77">
        <f t="shared" si="3"/>
        <v>9.8629650059959603E-3</v>
      </c>
    </row>
    <row r="26" spans="1:7" ht="23.1" customHeight="1" x14ac:dyDescent="0.2">
      <c r="A26" s="74">
        <v>3</v>
      </c>
      <c r="B26" s="75" t="s">
        <v>84</v>
      </c>
      <c r="C26" s="76">
        <v>1670355</v>
      </c>
      <c r="D26" s="76">
        <v>1992369</v>
      </c>
      <c r="E26" s="76">
        <f t="shared" si="2"/>
        <v>322014</v>
      </c>
      <c r="F26" s="77">
        <f t="shared" si="3"/>
        <v>0.19278177393428342</v>
      </c>
      <c r="G26" s="65"/>
    </row>
    <row r="27" spans="1:7" ht="23.1" customHeight="1" x14ac:dyDescent="0.2">
      <c r="A27" s="74">
        <v>4</v>
      </c>
      <c r="B27" s="75" t="s">
        <v>85</v>
      </c>
      <c r="C27" s="76">
        <v>6628436</v>
      </c>
      <c r="D27" s="76">
        <v>5992935</v>
      </c>
      <c r="E27" s="76">
        <f t="shared" si="2"/>
        <v>-635501</v>
      </c>
      <c r="F27" s="77">
        <f t="shared" si="3"/>
        <v>-9.5874954514156882E-2</v>
      </c>
    </row>
    <row r="28" spans="1:7" ht="23.1" customHeight="1" x14ac:dyDescent="0.2">
      <c r="A28" s="74">
        <v>5</v>
      </c>
      <c r="B28" s="75" t="s">
        <v>86</v>
      </c>
      <c r="C28" s="76">
        <v>3004141</v>
      </c>
      <c r="D28" s="76">
        <v>2563946</v>
      </c>
      <c r="E28" s="76">
        <f t="shared" si="2"/>
        <v>-440195</v>
      </c>
      <c r="F28" s="77">
        <f t="shared" si="3"/>
        <v>-0.1465294072415376</v>
      </c>
    </row>
    <row r="29" spans="1:7" ht="23.1" customHeight="1" x14ac:dyDescent="0.2">
      <c r="A29" s="74">
        <v>6</v>
      </c>
      <c r="B29" s="75" t="s">
        <v>87</v>
      </c>
      <c r="C29" s="76">
        <v>0</v>
      </c>
      <c r="D29" s="76">
        <v>0</v>
      </c>
      <c r="E29" s="76">
        <f t="shared" si="2"/>
        <v>0</v>
      </c>
      <c r="F29" s="77">
        <f t="shared" si="3"/>
        <v>0</v>
      </c>
    </row>
    <row r="30" spans="1:7" ht="23.1" customHeight="1" x14ac:dyDescent="0.2">
      <c r="A30" s="74">
        <v>7</v>
      </c>
      <c r="B30" s="75" t="s">
        <v>88</v>
      </c>
      <c r="C30" s="76">
        <v>0</v>
      </c>
      <c r="D30" s="76">
        <v>11263</v>
      </c>
      <c r="E30" s="76">
        <f t="shared" si="2"/>
        <v>11263</v>
      </c>
      <c r="F30" s="77">
        <f t="shared" si="3"/>
        <v>0</v>
      </c>
    </row>
    <row r="31" spans="1:7" ht="23.1" customHeight="1" x14ac:dyDescent="0.2">
      <c r="A31" s="74">
        <v>8</v>
      </c>
      <c r="B31" s="75" t="s">
        <v>89</v>
      </c>
      <c r="C31" s="76">
        <v>1146180</v>
      </c>
      <c r="D31" s="76">
        <v>1435298</v>
      </c>
      <c r="E31" s="76">
        <f t="shared" si="2"/>
        <v>289118</v>
      </c>
      <c r="F31" s="77">
        <f t="shared" si="3"/>
        <v>0.25224484810413722</v>
      </c>
    </row>
    <row r="32" spans="1:7" ht="23.1" customHeight="1" x14ac:dyDescent="0.2">
      <c r="A32" s="74">
        <v>9</v>
      </c>
      <c r="B32" s="75" t="s">
        <v>90</v>
      </c>
      <c r="C32" s="76">
        <v>15471215</v>
      </c>
      <c r="D32" s="76">
        <v>14943582</v>
      </c>
      <c r="E32" s="76">
        <f t="shared" si="2"/>
        <v>-527633</v>
      </c>
      <c r="F32" s="77">
        <f t="shared" si="3"/>
        <v>-3.4104173460196889E-2</v>
      </c>
    </row>
    <row r="33" spans="1:6" ht="23.1" customHeight="1" x14ac:dyDescent="0.25">
      <c r="A33" s="71"/>
      <c r="B33" s="78" t="s">
        <v>91</v>
      </c>
      <c r="C33" s="79">
        <f>SUM(C24:C32)</f>
        <v>49401485</v>
      </c>
      <c r="D33" s="79">
        <f>SUM(D24:D32)</f>
        <v>48236048</v>
      </c>
      <c r="E33" s="79">
        <f t="shared" si="2"/>
        <v>-1165437</v>
      </c>
      <c r="F33" s="80">
        <f t="shared" si="3"/>
        <v>-2.3591132938615103E-2</v>
      </c>
    </row>
    <row r="34" spans="1:6" ht="15" customHeight="1" x14ac:dyDescent="0.2">
      <c r="A34" s="74"/>
      <c r="B34" s="67"/>
      <c r="C34" s="76"/>
      <c r="D34" s="76"/>
      <c r="E34" s="76"/>
      <c r="F34" s="77"/>
    </row>
    <row r="35" spans="1:6" ht="23.1" customHeight="1" x14ac:dyDescent="0.25">
      <c r="A35" s="83"/>
      <c r="B35" s="78" t="s">
        <v>92</v>
      </c>
      <c r="C35" s="79">
        <f>+C21-C33</f>
        <v>4774603</v>
      </c>
      <c r="D35" s="79">
        <f>+D21-D33</f>
        <v>2942348</v>
      </c>
      <c r="E35" s="79">
        <f>D35-C35</f>
        <v>-1832255</v>
      </c>
      <c r="F35" s="80">
        <f>IF(C35=0,0,E35/C35)</f>
        <v>-0.38375023012384485</v>
      </c>
    </row>
    <row r="36" spans="1:6" ht="15.75" customHeight="1" x14ac:dyDescent="0.25">
      <c r="A36" s="84"/>
      <c r="B36" s="78"/>
      <c r="C36" s="76"/>
      <c r="D36" s="76"/>
      <c r="E36" s="76"/>
      <c r="F36" s="77"/>
    </row>
    <row r="37" spans="1:6" ht="15.75" customHeight="1" x14ac:dyDescent="0.25">
      <c r="A37" s="71" t="s">
        <v>36</v>
      </c>
      <c r="B37" s="72" t="s">
        <v>93</v>
      </c>
      <c r="C37" s="76"/>
      <c r="D37" s="76"/>
      <c r="E37" s="76"/>
      <c r="F37" s="77"/>
    </row>
    <row r="38" spans="1:6" ht="23.1" customHeight="1" x14ac:dyDescent="0.2">
      <c r="A38" s="85">
        <v>1</v>
      </c>
      <c r="B38" s="75" t="s">
        <v>94</v>
      </c>
      <c r="C38" s="76">
        <v>0</v>
      </c>
      <c r="D38" s="76">
        <v>0</v>
      </c>
      <c r="E38" s="76">
        <f>D38-C38</f>
        <v>0</v>
      </c>
      <c r="F38" s="77">
        <f>IF(C38=0,0,E38/C38)</f>
        <v>0</v>
      </c>
    </row>
    <row r="39" spans="1:6" ht="23.1" customHeight="1" x14ac:dyDescent="0.2">
      <c r="A39" s="85">
        <v>2</v>
      </c>
      <c r="B39" s="75" t="s">
        <v>95</v>
      </c>
      <c r="C39" s="76">
        <v>0</v>
      </c>
      <c r="D39" s="76">
        <v>0</v>
      </c>
      <c r="E39" s="76">
        <f>D39-C39</f>
        <v>0</v>
      </c>
      <c r="F39" s="77">
        <f>IF(C39=0,0,E39/C39)</f>
        <v>0</v>
      </c>
    </row>
    <row r="40" spans="1:6" ht="23.1" customHeight="1" x14ac:dyDescent="0.2">
      <c r="A40" s="85">
        <v>3</v>
      </c>
      <c r="B40" s="75" t="s">
        <v>96</v>
      </c>
      <c r="C40" s="76">
        <v>0</v>
      </c>
      <c r="D40" s="76">
        <v>0</v>
      </c>
      <c r="E40" s="76">
        <f>D40-C40</f>
        <v>0</v>
      </c>
      <c r="F40" s="77">
        <f>IF(C40=0,0,E40/C40)</f>
        <v>0</v>
      </c>
    </row>
    <row r="41" spans="1:6" ht="23.1" customHeight="1" x14ac:dyDescent="0.25">
      <c r="A41" s="83"/>
      <c r="B41" s="78" t="s">
        <v>97</v>
      </c>
      <c r="C41" s="79">
        <f>SUM(C38:C40)</f>
        <v>0</v>
      </c>
      <c r="D41" s="79">
        <f>SUM(D38:D40)</f>
        <v>0</v>
      </c>
      <c r="E41" s="79">
        <f>D41-C41</f>
        <v>0</v>
      </c>
      <c r="F41" s="80">
        <f>IF(C41=0,0,E41/C41)</f>
        <v>0</v>
      </c>
    </row>
    <row r="42" spans="1:6" ht="15.75" customHeight="1" x14ac:dyDescent="0.25">
      <c r="A42" s="85"/>
      <c r="B42" s="78"/>
      <c r="C42" s="86"/>
      <c r="D42" s="86"/>
      <c r="E42" s="86"/>
      <c r="F42" s="80"/>
    </row>
    <row r="43" spans="1:6" ht="33" customHeight="1" x14ac:dyDescent="0.25">
      <c r="A43" s="83"/>
      <c r="B43" s="81" t="s">
        <v>98</v>
      </c>
      <c r="C43" s="79">
        <f>C35+C41</f>
        <v>4774603</v>
      </c>
      <c r="D43" s="79">
        <f>D35+D41</f>
        <v>2942348</v>
      </c>
      <c r="E43" s="79">
        <f>D43-C43</f>
        <v>-1832255</v>
      </c>
      <c r="F43" s="80">
        <f>IF(C43=0,0,E43/C43)</f>
        <v>-0.38375023012384485</v>
      </c>
    </row>
    <row r="44" spans="1:6" ht="15.75" customHeight="1" x14ac:dyDescent="0.25">
      <c r="A44" s="85"/>
      <c r="B44" s="78"/>
      <c r="C44" s="86"/>
      <c r="D44" s="86"/>
      <c r="E44" s="86"/>
      <c r="F44" s="80"/>
    </row>
    <row r="45" spans="1:6" ht="23.1" customHeight="1" x14ac:dyDescent="0.25">
      <c r="A45" s="83"/>
      <c r="B45" s="87" t="s">
        <v>99</v>
      </c>
      <c r="C45" s="86"/>
      <c r="D45" s="86"/>
      <c r="E45" s="86"/>
      <c r="F45" s="80"/>
    </row>
    <row r="46" spans="1:6" ht="23.1" customHeight="1" x14ac:dyDescent="0.2">
      <c r="A46" s="85"/>
      <c r="B46" s="75" t="s">
        <v>100</v>
      </c>
      <c r="C46" s="76">
        <v>0</v>
      </c>
      <c r="D46" s="76">
        <v>0</v>
      </c>
      <c r="E46" s="76">
        <f>D46-C46</f>
        <v>0</v>
      </c>
      <c r="F46" s="77">
        <f>IF(C46=0,0,E46/C46)</f>
        <v>0</v>
      </c>
    </row>
    <row r="47" spans="1:6" ht="23.1" customHeight="1" x14ac:dyDescent="0.2">
      <c r="A47" s="85"/>
      <c r="B47" s="75" t="s">
        <v>101</v>
      </c>
      <c r="C47" s="76">
        <v>0</v>
      </c>
      <c r="D47" s="76">
        <v>0</v>
      </c>
      <c r="E47" s="76">
        <f>D47-C47</f>
        <v>0</v>
      </c>
      <c r="F47" s="77">
        <f>IF(C47=0,0,E47/C47)</f>
        <v>0</v>
      </c>
    </row>
    <row r="48" spans="1:6" ht="23.1" customHeight="1" x14ac:dyDescent="0.25">
      <c r="A48" s="83"/>
      <c r="B48" s="78" t="s">
        <v>102</v>
      </c>
      <c r="C48" s="79">
        <f>SUM(C46:C47)</f>
        <v>0</v>
      </c>
      <c r="D48" s="79">
        <f>SUM(D46:D47)</f>
        <v>0</v>
      </c>
      <c r="E48" s="79">
        <f>D48-C48</f>
        <v>0</v>
      </c>
      <c r="F48" s="80">
        <f>IF(C48=0,0,E48/C48)</f>
        <v>0</v>
      </c>
    </row>
    <row r="49" spans="1:6" ht="15.75" customHeight="1" x14ac:dyDescent="0.25">
      <c r="A49" s="83"/>
      <c r="B49" s="65"/>
      <c r="C49" s="79"/>
      <c r="D49" s="79"/>
      <c r="E49" s="79"/>
      <c r="F49" s="79"/>
    </row>
    <row r="50" spans="1:6" ht="23.1" customHeight="1" x14ac:dyDescent="0.25">
      <c r="A50" s="83"/>
      <c r="B50" s="87" t="s">
        <v>103</v>
      </c>
      <c r="C50" s="79">
        <f>C43+C48</f>
        <v>4774603</v>
      </c>
      <c r="D50" s="79">
        <f>D43+D48</f>
        <v>2942348</v>
      </c>
      <c r="E50" s="79">
        <f>D50-C50</f>
        <v>-1832255</v>
      </c>
      <c r="F50" s="80">
        <f>IF(C50=0,0,E50/C50)</f>
        <v>-0.38375023012384485</v>
      </c>
    </row>
    <row r="51" spans="1:6" ht="23.1" customHeight="1" x14ac:dyDescent="0.2">
      <c r="A51" s="85"/>
      <c r="B51" s="75" t="s">
        <v>104</v>
      </c>
      <c r="C51" s="76">
        <v>1</v>
      </c>
      <c r="D51" s="76">
        <v>1</v>
      </c>
      <c r="E51" s="76">
        <f>D51-C51</f>
        <v>0</v>
      </c>
      <c r="F51" s="77">
        <f>IF(C51=0,0,E51/C51)</f>
        <v>0</v>
      </c>
    </row>
    <row r="52" spans="1:6" ht="23.1" customHeight="1" x14ac:dyDescent="0.25">
      <c r="A52" s="85"/>
      <c r="B52" s="78"/>
      <c r="C52" s="79"/>
      <c r="D52" s="79"/>
      <c r="E52" s="88"/>
      <c r="F52" s="80"/>
    </row>
    <row r="53" spans="1:6" ht="23.1" customHeight="1" x14ac:dyDescent="0.25">
      <c r="A53" s="89"/>
      <c r="B53" s="78"/>
      <c r="C53" s="79"/>
      <c r="D53" s="79"/>
      <c r="E53" s="88"/>
      <c r="F53" s="80"/>
    </row>
    <row r="54" spans="1:6" ht="23.1" customHeight="1" x14ac:dyDescent="0.25">
      <c r="A54" s="90"/>
      <c r="B54" s="90"/>
      <c r="C54" s="90"/>
      <c r="D54" s="90"/>
      <c r="E54" s="90"/>
      <c r="F54" s="59"/>
    </row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72" fitToHeight="0" orientation="portrait" horizontalDpi="1200" verticalDpi="1200" r:id="rId1"/>
  <headerFooter>
    <oddHeader>&amp;LOFFICE OF HEALTH CARE ACCESS&amp;CTWELVE MONTHS ACTUAL FILING&amp;RESSENT-SHARON HOSPITAL</oddHeader>
    <oddFooter>&amp;LREPORT 150&amp;CPAGE &amp;P of &amp;N&amp;R&amp;D,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9"/>
  <sheetViews>
    <sheetView zoomScale="75" workbookViewId="0">
      <selection activeCell="D93" sqref="D93"/>
    </sheetView>
  </sheetViews>
  <sheetFormatPr defaultRowHeight="15" x14ac:dyDescent="0.2"/>
  <cols>
    <col min="1" max="1" width="6.140625" style="96" customWidth="1"/>
    <col min="2" max="2" width="56.28515625" style="96" customWidth="1"/>
    <col min="3" max="3" width="18.28515625" style="135" customWidth="1"/>
    <col min="4" max="4" width="18.140625" style="96" customWidth="1"/>
    <col min="5" max="7" width="18.140625" style="96" bestFit="1" customWidth="1"/>
    <col min="8" max="16384" width="9.140625" style="96"/>
  </cols>
  <sheetData>
    <row r="1" spans="1:6" ht="15" customHeight="1" x14ac:dyDescent="0.25">
      <c r="A1" s="92"/>
      <c r="B1" s="93"/>
      <c r="C1" s="94"/>
      <c r="D1" s="94"/>
      <c r="E1" s="94"/>
      <c r="F1" s="95"/>
    </row>
    <row r="2" spans="1:6" ht="15.75" customHeight="1" x14ac:dyDescent="0.25">
      <c r="A2" s="779" t="s">
        <v>0</v>
      </c>
      <c r="B2" s="779"/>
      <c r="C2" s="779"/>
      <c r="D2" s="779"/>
      <c r="E2" s="779"/>
      <c r="F2" s="779"/>
    </row>
    <row r="3" spans="1:6" ht="15.75" customHeight="1" x14ac:dyDescent="0.25">
      <c r="A3" s="779" t="s">
        <v>1</v>
      </c>
      <c r="B3" s="779"/>
      <c r="C3" s="779"/>
      <c r="D3" s="779"/>
      <c r="E3" s="779"/>
      <c r="F3" s="779"/>
    </row>
    <row r="4" spans="1:6" ht="15.75" customHeight="1" x14ac:dyDescent="0.25">
      <c r="A4" s="779" t="s">
        <v>2</v>
      </c>
      <c r="B4" s="779"/>
      <c r="C4" s="779"/>
      <c r="D4" s="779"/>
      <c r="E4" s="779"/>
      <c r="F4" s="779"/>
    </row>
    <row r="5" spans="1:6" ht="15.75" customHeight="1" x14ac:dyDescent="0.25">
      <c r="A5" s="779" t="s">
        <v>105</v>
      </c>
      <c r="B5" s="779"/>
      <c r="C5" s="779"/>
      <c r="D5" s="779"/>
      <c r="E5" s="779"/>
      <c r="F5" s="779"/>
    </row>
    <row r="6" spans="1:6" ht="15" customHeight="1" thickBot="1" x14ac:dyDescent="0.3">
      <c r="A6" s="92"/>
      <c r="B6" s="97"/>
      <c r="C6" s="98"/>
      <c r="D6" s="94"/>
      <c r="E6" s="94"/>
      <c r="F6" s="95"/>
    </row>
    <row r="7" spans="1:6" ht="15.75" x14ac:dyDescent="0.25">
      <c r="A7" s="99">
        <v>-1</v>
      </c>
      <c r="B7" s="100">
        <v>-2</v>
      </c>
      <c r="C7" s="100">
        <v>-3</v>
      </c>
      <c r="D7" s="100">
        <v>-4</v>
      </c>
      <c r="E7" s="100">
        <v>-5</v>
      </c>
      <c r="F7" s="101">
        <v>-6</v>
      </c>
    </row>
    <row r="8" spans="1:6" ht="39" customHeight="1" thickBot="1" x14ac:dyDescent="0.3">
      <c r="A8" s="102" t="s">
        <v>8</v>
      </c>
      <c r="B8" s="103" t="s">
        <v>106</v>
      </c>
      <c r="C8" s="104" t="s">
        <v>107</v>
      </c>
      <c r="D8" s="105" t="s">
        <v>108</v>
      </c>
      <c r="E8" s="106" t="s">
        <v>109</v>
      </c>
      <c r="F8" s="107" t="s">
        <v>110</v>
      </c>
    </row>
    <row r="9" spans="1:6" ht="15.75" x14ac:dyDescent="0.25">
      <c r="A9" s="108"/>
      <c r="B9" s="109"/>
      <c r="C9" s="780"/>
      <c r="D9" s="781"/>
      <c r="E9" s="781"/>
      <c r="F9" s="782"/>
    </row>
    <row r="10" spans="1:6" x14ac:dyDescent="0.2">
      <c r="A10" s="769" t="s">
        <v>12</v>
      </c>
      <c r="B10" s="771" t="s">
        <v>111</v>
      </c>
      <c r="C10" s="773"/>
      <c r="D10" s="774"/>
      <c r="E10" s="774"/>
      <c r="F10" s="775"/>
    </row>
    <row r="11" spans="1:6" x14ac:dyDescent="0.2">
      <c r="A11" s="770"/>
      <c r="B11" s="772"/>
      <c r="C11" s="776"/>
      <c r="D11" s="777"/>
      <c r="E11" s="777"/>
      <c r="F11" s="778"/>
    </row>
    <row r="12" spans="1:6" ht="15.75" x14ac:dyDescent="0.25">
      <c r="A12" s="110"/>
      <c r="B12" s="111"/>
      <c r="C12" s="112"/>
      <c r="D12" s="112"/>
      <c r="E12" s="112"/>
      <c r="F12" s="112"/>
    </row>
    <row r="13" spans="1:6" ht="15.75" x14ac:dyDescent="0.25">
      <c r="A13" s="110" t="s">
        <v>14</v>
      </c>
      <c r="B13" s="111" t="s">
        <v>112</v>
      </c>
      <c r="C13" s="113"/>
      <c r="D13" s="113"/>
      <c r="E13" s="113"/>
      <c r="F13" s="114"/>
    </row>
    <row r="14" spans="1:6" x14ac:dyDescent="0.2">
      <c r="A14" s="115">
        <v>1</v>
      </c>
      <c r="B14" s="116" t="s">
        <v>113</v>
      </c>
      <c r="C14" s="113">
        <v>36676202</v>
      </c>
      <c r="D14" s="113">
        <v>34624064</v>
      </c>
      <c r="E14" s="113">
        <f t="shared" ref="E14:E25" si="0">D14-C14</f>
        <v>-2052138</v>
      </c>
      <c r="F14" s="114">
        <f t="shared" ref="F14:F25" si="1">IF(C14=0,0,E14/C14)</f>
        <v>-5.5952849207232529E-2</v>
      </c>
    </row>
    <row r="15" spans="1:6" x14ac:dyDescent="0.2">
      <c r="A15" s="115">
        <v>2</v>
      </c>
      <c r="B15" s="116" t="s">
        <v>114</v>
      </c>
      <c r="C15" s="113">
        <v>2429623</v>
      </c>
      <c r="D15" s="113">
        <v>3605276</v>
      </c>
      <c r="E15" s="113">
        <f t="shared" si="0"/>
        <v>1175653</v>
      </c>
      <c r="F15" s="114">
        <f t="shared" si="1"/>
        <v>0.48388289047313104</v>
      </c>
    </row>
    <row r="16" spans="1:6" x14ac:dyDescent="0.2">
      <c r="A16" s="115">
        <v>3</v>
      </c>
      <c r="B16" s="116" t="s">
        <v>115</v>
      </c>
      <c r="C16" s="113">
        <v>3175671</v>
      </c>
      <c r="D16" s="113">
        <v>3849691</v>
      </c>
      <c r="E16" s="113">
        <f t="shared" si="0"/>
        <v>674020</v>
      </c>
      <c r="F16" s="114">
        <f t="shared" si="1"/>
        <v>0.21224490824143938</v>
      </c>
    </row>
    <row r="17" spans="1:6" x14ac:dyDescent="0.2">
      <c r="A17" s="115">
        <v>4</v>
      </c>
      <c r="B17" s="116" t="s">
        <v>116</v>
      </c>
      <c r="C17" s="113">
        <v>0</v>
      </c>
      <c r="D17" s="113">
        <v>0</v>
      </c>
      <c r="E17" s="113">
        <f t="shared" si="0"/>
        <v>0</v>
      </c>
      <c r="F17" s="114">
        <f t="shared" si="1"/>
        <v>0</v>
      </c>
    </row>
    <row r="18" spans="1:6" x14ac:dyDescent="0.2">
      <c r="A18" s="115">
        <v>5</v>
      </c>
      <c r="B18" s="116" t="s">
        <v>117</v>
      </c>
      <c r="C18" s="113">
        <v>85024</v>
      </c>
      <c r="D18" s="113">
        <v>38140</v>
      </c>
      <c r="E18" s="113">
        <f t="shared" si="0"/>
        <v>-46884</v>
      </c>
      <c r="F18" s="114">
        <f t="shared" si="1"/>
        <v>-0.5514207753105006</v>
      </c>
    </row>
    <row r="19" spans="1:6" x14ac:dyDescent="0.2">
      <c r="A19" s="115">
        <v>6</v>
      </c>
      <c r="B19" s="116" t="s">
        <v>118</v>
      </c>
      <c r="C19" s="113">
        <v>831093</v>
      </c>
      <c r="D19" s="113">
        <v>367063</v>
      </c>
      <c r="E19" s="113">
        <f t="shared" si="0"/>
        <v>-464030</v>
      </c>
      <c r="F19" s="114">
        <f t="shared" si="1"/>
        <v>-0.55833703328027073</v>
      </c>
    </row>
    <row r="20" spans="1:6" x14ac:dyDescent="0.2">
      <c r="A20" s="115">
        <v>7</v>
      </c>
      <c r="B20" s="116" t="s">
        <v>119</v>
      </c>
      <c r="C20" s="113">
        <v>12763569</v>
      </c>
      <c r="D20" s="113">
        <v>10307123</v>
      </c>
      <c r="E20" s="113">
        <f t="shared" si="0"/>
        <v>-2456446</v>
      </c>
      <c r="F20" s="114">
        <f t="shared" si="1"/>
        <v>-0.19245761119009894</v>
      </c>
    </row>
    <row r="21" spans="1:6" x14ac:dyDescent="0.2">
      <c r="A21" s="115">
        <v>8</v>
      </c>
      <c r="B21" s="116" t="s">
        <v>120</v>
      </c>
      <c r="C21" s="113">
        <v>993977</v>
      </c>
      <c r="D21" s="113">
        <v>1299339</v>
      </c>
      <c r="E21" s="113">
        <f t="shared" si="0"/>
        <v>305362</v>
      </c>
      <c r="F21" s="114">
        <f t="shared" si="1"/>
        <v>0.30721233992335839</v>
      </c>
    </row>
    <row r="22" spans="1:6" x14ac:dyDescent="0.2">
      <c r="A22" s="115">
        <v>9</v>
      </c>
      <c r="B22" s="116" t="s">
        <v>121</v>
      </c>
      <c r="C22" s="113">
        <v>1089118</v>
      </c>
      <c r="D22" s="113">
        <v>456951</v>
      </c>
      <c r="E22" s="113">
        <f t="shared" si="0"/>
        <v>-632167</v>
      </c>
      <c r="F22" s="114">
        <f t="shared" si="1"/>
        <v>-0.58043940142390449</v>
      </c>
    </row>
    <row r="23" spans="1:6" x14ac:dyDescent="0.2">
      <c r="A23" s="115">
        <v>10</v>
      </c>
      <c r="B23" s="116" t="s">
        <v>122</v>
      </c>
      <c r="C23" s="113">
        <v>0</v>
      </c>
      <c r="D23" s="113">
        <v>0</v>
      </c>
      <c r="E23" s="113">
        <f t="shared" si="0"/>
        <v>0</v>
      </c>
      <c r="F23" s="114">
        <f t="shared" si="1"/>
        <v>0</v>
      </c>
    </row>
    <row r="24" spans="1:6" x14ac:dyDescent="0.2">
      <c r="A24" s="115">
        <v>11</v>
      </c>
      <c r="B24" s="116" t="s">
        <v>123</v>
      </c>
      <c r="C24" s="113">
        <v>3350285</v>
      </c>
      <c r="D24" s="113">
        <v>3308200</v>
      </c>
      <c r="E24" s="113">
        <f t="shared" si="0"/>
        <v>-42085</v>
      </c>
      <c r="F24" s="114">
        <f t="shared" si="1"/>
        <v>-1.256161789220917E-2</v>
      </c>
    </row>
    <row r="25" spans="1:6" ht="15.75" x14ac:dyDescent="0.25">
      <c r="A25" s="117"/>
      <c r="B25" s="118" t="s">
        <v>124</v>
      </c>
      <c r="C25" s="119">
        <f>SUM(C14:C24)</f>
        <v>61394562</v>
      </c>
      <c r="D25" s="119">
        <f>SUM(D14:D24)</f>
        <v>57855847</v>
      </c>
      <c r="E25" s="119">
        <f t="shared" si="0"/>
        <v>-3538715</v>
      </c>
      <c r="F25" s="120">
        <f t="shared" si="1"/>
        <v>-5.7638899679746877E-2</v>
      </c>
    </row>
    <row r="26" spans="1:6" ht="15.75" x14ac:dyDescent="0.25">
      <c r="A26" s="110" t="s">
        <v>26</v>
      </c>
      <c r="B26" s="111" t="s">
        <v>125</v>
      </c>
      <c r="C26" s="113"/>
      <c r="D26" s="113"/>
      <c r="E26" s="113"/>
      <c r="F26" s="114"/>
    </row>
    <row r="27" spans="1:6" x14ac:dyDescent="0.2">
      <c r="A27" s="115">
        <v>1</v>
      </c>
      <c r="B27" s="116" t="s">
        <v>113</v>
      </c>
      <c r="C27" s="113">
        <v>34570289</v>
      </c>
      <c r="D27" s="113">
        <v>32641177</v>
      </c>
      <c r="E27" s="113">
        <f t="shared" ref="E27:E38" si="2">D27-C27</f>
        <v>-1929112</v>
      </c>
      <c r="F27" s="114">
        <f t="shared" ref="F27:F38" si="3">IF(C27=0,0,E27/C27)</f>
        <v>-5.5802599741066675E-2</v>
      </c>
    </row>
    <row r="28" spans="1:6" x14ac:dyDescent="0.2">
      <c r="A28" s="115">
        <v>2</v>
      </c>
      <c r="B28" s="116" t="s">
        <v>114</v>
      </c>
      <c r="C28" s="113">
        <v>2344986</v>
      </c>
      <c r="D28" s="113">
        <v>2653310</v>
      </c>
      <c r="E28" s="113">
        <f t="shared" si="2"/>
        <v>308324</v>
      </c>
      <c r="F28" s="114">
        <f t="shared" si="3"/>
        <v>0.13148223486195654</v>
      </c>
    </row>
    <row r="29" spans="1:6" x14ac:dyDescent="0.2">
      <c r="A29" s="115">
        <v>3</v>
      </c>
      <c r="B29" s="116" t="s">
        <v>115</v>
      </c>
      <c r="C29" s="113">
        <v>5267908</v>
      </c>
      <c r="D29" s="113">
        <v>6879873</v>
      </c>
      <c r="E29" s="113">
        <f t="shared" si="2"/>
        <v>1611965</v>
      </c>
      <c r="F29" s="114">
        <f t="shared" si="3"/>
        <v>0.30599718142382137</v>
      </c>
    </row>
    <row r="30" spans="1:6" x14ac:dyDescent="0.2">
      <c r="A30" s="115">
        <v>4</v>
      </c>
      <c r="B30" s="116" t="s">
        <v>116</v>
      </c>
      <c r="C30" s="113">
        <v>0</v>
      </c>
      <c r="D30" s="113">
        <v>0</v>
      </c>
      <c r="E30" s="113">
        <f t="shared" si="2"/>
        <v>0</v>
      </c>
      <c r="F30" s="114">
        <f t="shared" si="3"/>
        <v>0</v>
      </c>
    </row>
    <row r="31" spans="1:6" x14ac:dyDescent="0.2">
      <c r="A31" s="115">
        <v>5</v>
      </c>
      <c r="B31" s="116" t="s">
        <v>117</v>
      </c>
      <c r="C31" s="113">
        <v>190495</v>
      </c>
      <c r="D31" s="113">
        <v>185972</v>
      </c>
      <c r="E31" s="113">
        <f t="shared" si="2"/>
        <v>-4523</v>
      </c>
      <c r="F31" s="114">
        <f t="shared" si="3"/>
        <v>-2.3743405338722802E-2</v>
      </c>
    </row>
    <row r="32" spans="1:6" x14ac:dyDescent="0.2">
      <c r="A32" s="115">
        <v>6</v>
      </c>
      <c r="B32" s="116" t="s">
        <v>118</v>
      </c>
      <c r="C32" s="113">
        <v>2195771</v>
      </c>
      <c r="D32" s="113">
        <v>2374109</v>
      </c>
      <c r="E32" s="113">
        <f t="shared" si="2"/>
        <v>178338</v>
      </c>
      <c r="F32" s="114">
        <f t="shared" si="3"/>
        <v>8.1218852056976792E-2</v>
      </c>
    </row>
    <row r="33" spans="1:6" x14ac:dyDescent="0.2">
      <c r="A33" s="115">
        <v>7</v>
      </c>
      <c r="B33" s="116" t="s">
        <v>119</v>
      </c>
      <c r="C33" s="113">
        <v>32832605</v>
      </c>
      <c r="D33" s="113">
        <v>33038284</v>
      </c>
      <c r="E33" s="113">
        <f t="shared" si="2"/>
        <v>205679</v>
      </c>
      <c r="F33" s="114">
        <f t="shared" si="3"/>
        <v>6.2644739885854318E-3</v>
      </c>
    </row>
    <row r="34" spans="1:6" x14ac:dyDescent="0.2">
      <c r="A34" s="115">
        <v>8</v>
      </c>
      <c r="B34" s="116" t="s">
        <v>120</v>
      </c>
      <c r="C34" s="113">
        <v>1824730</v>
      </c>
      <c r="D34" s="113">
        <v>2000937</v>
      </c>
      <c r="E34" s="113">
        <f t="shared" si="2"/>
        <v>176207</v>
      </c>
      <c r="F34" s="114">
        <f t="shared" si="3"/>
        <v>9.6566067308588119E-2</v>
      </c>
    </row>
    <row r="35" spans="1:6" x14ac:dyDescent="0.2">
      <c r="A35" s="115">
        <v>9</v>
      </c>
      <c r="B35" s="116" t="s">
        <v>121</v>
      </c>
      <c r="C35" s="113">
        <v>2713314</v>
      </c>
      <c r="D35" s="113">
        <v>2398137</v>
      </c>
      <c r="E35" s="113">
        <f t="shared" si="2"/>
        <v>-315177</v>
      </c>
      <c r="F35" s="114">
        <f t="shared" si="3"/>
        <v>-0.11615942718019366</v>
      </c>
    </row>
    <row r="36" spans="1:6" x14ac:dyDescent="0.2">
      <c r="A36" s="115">
        <v>10</v>
      </c>
      <c r="B36" s="116" t="s">
        <v>122</v>
      </c>
      <c r="C36" s="113">
        <v>0</v>
      </c>
      <c r="D36" s="113">
        <v>0</v>
      </c>
      <c r="E36" s="113">
        <f t="shared" si="2"/>
        <v>0</v>
      </c>
      <c r="F36" s="114">
        <f t="shared" si="3"/>
        <v>0</v>
      </c>
    </row>
    <row r="37" spans="1:6" x14ac:dyDescent="0.2">
      <c r="A37" s="115">
        <v>11</v>
      </c>
      <c r="B37" s="116" t="s">
        <v>123</v>
      </c>
      <c r="C37" s="113">
        <v>4106382</v>
      </c>
      <c r="D37" s="113">
        <v>5144701</v>
      </c>
      <c r="E37" s="113">
        <f t="shared" si="2"/>
        <v>1038319</v>
      </c>
      <c r="F37" s="114">
        <f t="shared" si="3"/>
        <v>0.25285494627630845</v>
      </c>
    </row>
    <row r="38" spans="1:6" ht="15.75" x14ac:dyDescent="0.25">
      <c r="A38" s="117"/>
      <c r="B38" s="118" t="s">
        <v>126</v>
      </c>
      <c r="C38" s="119">
        <f>SUM(C27:C37)</f>
        <v>86046480</v>
      </c>
      <c r="D38" s="119">
        <f>SUM(D27:D37)</f>
        <v>87316500</v>
      </c>
      <c r="E38" s="119">
        <f t="shared" si="2"/>
        <v>1270020</v>
      </c>
      <c r="F38" s="120">
        <f t="shared" si="3"/>
        <v>1.4759697317077932E-2</v>
      </c>
    </row>
    <row r="39" spans="1:6" ht="15" customHeight="1" x14ac:dyDescent="0.2">
      <c r="A39" s="769" t="s">
        <v>127</v>
      </c>
      <c r="B39" s="771" t="s">
        <v>128</v>
      </c>
      <c r="C39" s="773"/>
      <c r="D39" s="774"/>
      <c r="E39" s="774"/>
      <c r="F39" s="775"/>
    </row>
    <row r="40" spans="1:6" ht="15" customHeight="1" x14ac:dyDescent="0.2">
      <c r="A40" s="770"/>
      <c r="B40" s="772"/>
      <c r="C40" s="776"/>
      <c r="D40" s="777"/>
      <c r="E40" s="777"/>
      <c r="F40" s="778"/>
    </row>
    <row r="41" spans="1:6" ht="15.75" x14ac:dyDescent="0.25">
      <c r="A41" s="121">
        <v>1</v>
      </c>
      <c r="B41" s="122" t="s">
        <v>113</v>
      </c>
      <c r="C41" s="119">
        <f t="shared" ref="C41:D51" si="4">+C27+C14</f>
        <v>71246491</v>
      </c>
      <c r="D41" s="119">
        <f t="shared" si="4"/>
        <v>67265241</v>
      </c>
      <c r="E41" s="123">
        <f t="shared" ref="E41:E52" si="5">D41-C41</f>
        <v>-3981250</v>
      </c>
      <c r="F41" s="124">
        <f t="shared" ref="F41:F52" si="6">IF(C41=0,0,E41/C41)</f>
        <v>-5.5879945020730917E-2</v>
      </c>
    </row>
    <row r="42" spans="1:6" ht="15.75" x14ac:dyDescent="0.25">
      <c r="A42" s="121">
        <v>2</v>
      </c>
      <c r="B42" s="122" t="s">
        <v>114</v>
      </c>
      <c r="C42" s="119">
        <f t="shared" si="4"/>
        <v>4774609</v>
      </c>
      <c r="D42" s="119">
        <f t="shared" si="4"/>
        <v>6258586</v>
      </c>
      <c r="E42" s="123">
        <f t="shared" si="5"/>
        <v>1483977</v>
      </c>
      <c r="F42" s="124">
        <f t="shared" si="6"/>
        <v>0.31080597385042419</v>
      </c>
    </row>
    <row r="43" spans="1:6" ht="15.75" x14ac:dyDescent="0.25">
      <c r="A43" s="121">
        <v>3</v>
      </c>
      <c r="B43" s="122" t="s">
        <v>115</v>
      </c>
      <c r="C43" s="119">
        <f t="shared" si="4"/>
        <v>8443579</v>
      </c>
      <c r="D43" s="119">
        <f t="shared" si="4"/>
        <v>10729564</v>
      </c>
      <c r="E43" s="123">
        <f t="shared" si="5"/>
        <v>2285985</v>
      </c>
      <c r="F43" s="124">
        <f t="shared" si="6"/>
        <v>0.27073649692861285</v>
      </c>
    </row>
    <row r="44" spans="1:6" ht="15.75" x14ac:dyDescent="0.25">
      <c r="A44" s="121">
        <v>4</v>
      </c>
      <c r="B44" s="122" t="s">
        <v>116</v>
      </c>
      <c r="C44" s="119">
        <f t="shared" si="4"/>
        <v>0</v>
      </c>
      <c r="D44" s="119">
        <f t="shared" si="4"/>
        <v>0</v>
      </c>
      <c r="E44" s="123">
        <f t="shared" si="5"/>
        <v>0</v>
      </c>
      <c r="F44" s="124">
        <f t="shared" si="6"/>
        <v>0</v>
      </c>
    </row>
    <row r="45" spans="1:6" ht="15.75" x14ac:dyDescent="0.25">
      <c r="A45" s="121">
        <v>5</v>
      </c>
      <c r="B45" s="122" t="s">
        <v>117</v>
      </c>
      <c r="C45" s="119">
        <f t="shared" si="4"/>
        <v>275519</v>
      </c>
      <c r="D45" s="119">
        <f t="shared" si="4"/>
        <v>224112</v>
      </c>
      <c r="E45" s="123">
        <f t="shared" si="5"/>
        <v>-51407</v>
      </c>
      <c r="F45" s="124">
        <f t="shared" si="6"/>
        <v>-0.18658241355405616</v>
      </c>
    </row>
    <row r="46" spans="1:6" ht="15.75" x14ac:dyDescent="0.25">
      <c r="A46" s="121">
        <v>6</v>
      </c>
      <c r="B46" s="122" t="s">
        <v>118</v>
      </c>
      <c r="C46" s="119">
        <f t="shared" si="4"/>
        <v>3026864</v>
      </c>
      <c r="D46" s="119">
        <f t="shared" si="4"/>
        <v>2741172</v>
      </c>
      <c r="E46" s="123">
        <f t="shared" si="5"/>
        <v>-285692</v>
      </c>
      <c r="F46" s="124">
        <f t="shared" si="6"/>
        <v>-9.4385476189217624E-2</v>
      </c>
    </row>
    <row r="47" spans="1:6" ht="15.75" x14ac:dyDescent="0.25">
      <c r="A47" s="121">
        <v>7</v>
      </c>
      <c r="B47" s="122" t="s">
        <v>119</v>
      </c>
      <c r="C47" s="119">
        <f t="shared" si="4"/>
        <v>45596174</v>
      </c>
      <c r="D47" s="119">
        <f t="shared" si="4"/>
        <v>43345407</v>
      </c>
      <c r="E47" s="123">
        <f t="shared" si="5"/>
        <v>-2250767</v>
      </c>
      <c r="F47" s="124">
        <f t="shared" si="6"/>
        <v>-4.9363067173136065E-2</v>
      </c>
    </row>
    <row r="48" spans="1:6" ht="15.75" x14ac:dyDescent="0.25">
      <c r="A48" s="121">
        <v>8</v>
      </c>
      <c r="B48" s="122" t="s">
        <v>120</v>
      </c>
      <c r="C48" s="119">
        <f t="shared" si="4"/>
        <v>2818707</v>
      </c>
      <c r="D48" s="119">
        <f t="shared" si="4"/>
        <v>3300276</v>
      </c>
      <c r="E48" s="123">
        <f t="shared" si="5"/>
        <v>481569</v>
      </c>
      <c r="F48" s="124">
        <f t="shared" si="6"/>
        <v>0.17084748432525979</v>
      </c>
    </row>
    <row r="49" spans="1:6" ht="15.75" x14ac:dyDescent="0.25">
      <c r="A49" s="121">
        <v>9</v>
      </c>
      <c r="B49" s="122" t="s">
        <v>121</v>
      </c>
      <c r="C49" s="119">
        <f t="shared" si="4"/>
        <v>3802432</v>
      </c>
      <c r="D49" s="119">
        <f t="shared" si="4"/>
        <v>2855088</v>
      </c>
      <c r="E49" s="123">
        <f t="shared" si="5"/>
        <v>-947344</v>
      </c>
      <c r="F49" s="124">
        <f t="shared" si="6"/>
        <v>-0.24914160200629493</v>
      </c>
    </row>
    <row r="50" spans="1:6" ht="15.75" x14ac:dyDescent="0.25">
      <c r="A50" s="121">
        <v>10</v>
      </c>
      <c r="B50" s="122" t="s">
        <v>122</v>
      </c>
      <c r="C50" s="119">
        <f t="shared" si="4"/>
        <v>0</v>
      </c>
      <c r="D50" s="119">
        <f t="shared" si="4"/>
        <v>0</v>
      </c>
      <c r="E50" s="123">
        <f t="shared" si="5"/>
        <v>0</v>
      </c>
      <c r="F50" s="124">
        <f t="shared" si="6"/>
        <v>0</v>
      </c>
    </row>
    <row r="51" spans="1:6" ht="16.5" thickBot="1" x14ac:dyDescent="0.3">
      <c r="A51" s="121">
        <v>11</v>
      </c>
      <c r="B51" s="122" t="s">
        <v>123</v>
      </c>
      <c r="C51" s="119">
        <f t="shared" si="4"/>
        <v>7456667</v>
      </c>
      <c r="D51" s="119">
        <f t="shared" si="4"/>
        <v>8452901</v>
      </c>
      <c r="E51" s="123">
        <f t="shared" si="5"/>
        <v>996234</v>
      </c>
      <c r="F51" s="124">
        <f t="shared" si="6"/>
        <v>0.13360312321845672</v>
      </c>
    </row>
    <row r="52" spans="1:6" ht="18.75" customHeight="1" thickBot="1" x14ac:dyDescent="0.3">
      <c r="A52" s="125"/>
      <c r="B52" s="126" t="s">
        <v>128</v>
      </c>
      <c r="C52" s="127">
        <f>SUM(C41:C51)</f>
        <v>147441042</v>
      </c>
      <c r="D52" s="128">
        <f>SUM(D41:D51)</f>
        <v>145172347</v>
      </c>
      <c r="E52" s="127">
        <f t="shared" si="5"/>
        <v>-2268695</v>
      </c>
      <c r="F52" s="129">
        <f t="shared" si="6"/>
        <v>-1.538713352283552E-2</v>
      </c>
    </row>
    <row r="53" spans="1:6" x14ac:dyDescent="0.2">
      <c r="A53" s="769" t="s">
        <v>44</v>
      </c>
      <c r="B53" s="771" t="s">
        <v>129</v>
      </c>
      <c r="C53" s="773"/>
      <c r="D53" s="774"/>
      <c r="E53" s="774"/>
      <c r="F53" s="775"/>
    </row>
    <row r="54" spans="1:6" ht="15" customHeight="1" x14ac:dyDescent="0.2">
      <c r="A54" s="770"/>
      <c r="B54" s="772"/>
      <c r="C54" s="776"/>
      <c r="D54" s="777"/>
      <c r="E54" s="777"/>
      <c r="F54" s="778"/>
    </row>
    <row r="55" spans="1:6" ht="15.75" x14ac:dyDescent="0.25">
      <c r="A55" s="110"/>
      <c r="B55" s="111"/>
      <c r="C55" s="112"/>
      <c r="D55" s="112"/>
      <c r="E55" s="112"/>
      <c r="F55" s="112"/>
    </row>
    <row r="56" spans="1:6" ht="15.75" x14ac:dyDescent="0.25">
      <c r="A56" s="110" t="s">
        <v>14</v>
      </c>
      <c r="B56" s="111" t="s">
        <v>130</v>
      </c>
      <c r="C56" s="113"/>
      <c r="D56" s="113"/>
      <c r="E56" s="113"/>
      <c r="F56" s="114"/>
    </row>
    <row r="57" spans="1:6" x14ac:dyDescent="0.2">
      <c r="A57" s="115">
        <v>1</v>
      </c>
      <c r="B57" s="116" t="s">
        <v>113</v>
      </c>
      <c r="C57" s="113">
        <v>16984341</v>
      </c>
      <c r="D57" s="113">
        <v>14792988</v>
      </c>
      <c r="E57" s="113">
        <f t="shared" ref="E57:E68" si="7">D57-C57</f>
        <v>-2191353</v>
      </c>
      <c r="F57" s="114">
        <f t="shared" ref="F57:F68" si="8">IF(C57=0,0,E57/C57)</f>
        <v>-0.12902196205316416</v>
      </c>
    </row>
    <row r="58" spans="1:6" x14ac:dyDescent="0.2">
      <c r="A58" s="115">
        <v>2</v>
      </c>
      <c r="B58" s="116" t="s">
        <v>114</v>
      </c>
      <c r="C58" s="113">
        <v>986423</v>
      </c>
      <c r="D58" s="113">
        <v>1352239</v>
      </c>
      <c r="E58" s="113">
        <f t="shared" si="7"/>
        <v>365816</v>
      </c>
      <c r="F58" s="114">
        <f t="shared" si="8"/>
        <v>0.37085104463298202</v>
      </c>
    </row>
    <row r="59" spans="1:6" x14ac:dyDescent="0.2">
      <c r="A59" s="115">
        <v>3</v>
      </c>
      <c r="B59" s="116" t="s">
        <v>115</v>
      </c>
      <c r="C59" s="113">
        <v>819553</v>
      </c>
      <c r="D59" s="113">
        <v>993888</v>
      </c>
      <c r="E59" s="113">
        <f t="shared" si="7"/>
        <v>174335</v>
      </c>
      <c r="F59" s="114">
        <f t="shared" si="8"/>
        <v>0.21271961666908668</v>
      </c>
    </row>
    <row r="60" spans="1:6" x14ac:dyDescent="0.2">
      <c r="A60" s="115">
        <v>4</v>
      </c>
      <c r="B60" s="116" t="s">
        <v>116</v>
      </c>
      <c r="C60" s="113">
        <v>0</v>
      </c>
      <c r="D60" s="113">
        <v>0</v>
      </c>
      <c r="E60" s="113">
        <f t="shared" si="7"/>
        <v>0</v>
      </c>
      <c r="F60" s="114">
        <f t="shared" si="8"/>
        <v>0</v>
      </c>
    </row>
    <row r="61" spans="1:6" x14ac:dyDescent="0.2">
      <c r="A61" s="115">
        <v>5</v>
      </c>
      <c r="B61" s="116" t="s">
        <v>117</v>
      </c>
      <c r="C61" s="113">
        <v>77524</v>
      </c>
      <c r="D61" s="113">
        <v>24273</v>
      </c>
      <c r="E61" s="113">
        <f t="shared" si="7"/>
        <v>-53251</v>
      </c>
      <c r="F61" s="114">
        <f t="shared" si="8"/>
        <v>-0.68689696094112795</v>
      </c>
    </row>
    <row r="62" spans="1:6" x14ac:dyDescent="0.2">
      <c r="A62" s="115">
        <v>6</v>
      </c>
      <c r="B62" s="116" t="s">
        <v>118</v>
      </c>
      <c r="C62" s="113">
        <v>709886</v>
      </c>
      <c r="D62" s="113">
        <v>180272</v>
      </c>
      <c r="E62" s="113">
        <f t="shared" si="7"/>
        <v>-529614</v>
      </c>
      <c r="F62" s="114">
        <f t="shared" si="8"/>
        <v>-0.74605500038034278</v>
      </c>
    </row>
    <row r="63" spans="1:6" x14ac:dyDescent="0.2">
      <c r="A63" s="115">
        <v>7</v>
      </c>
      <c r="B63" s="116" t="s">
        <v>119</v>
      </c>
      <c r="C63" s="113">
        <v>5526677</v>
      </c>
      <c r="D63" s="113">
        <v>4530816</v>
      </c>
      <c r="E63" s="113">
        <f t="shared" si="7"/>
        <v>-995861</v>
      </c>
      <c r="F63" s="114">
        <f t="shared" si="8"/>
        <v>-0.18019164137871635</v>
      </c>
    </row>
    <row r="64" spans="1:6" x14ac:dyDescent="0.2">
      <c r="A64" s="115">
        <v>8</v>
      </c>
      <c r="B64" s="116" t="s">
        <v>120</v>
      </c>
      <c r="C64" s="113">
        <v>216707</v>
      </c>
      <c r="D64" s="113">
        <v>338738</v>
      </c>
      <c r="E64" s="113">
        <f t="shared" si="7"/>
        <v>122031</v>
      </c>
      <c r="F64" s="114">
        <f t="shared" si="8"/>
        <v>0.56311517394454258</v>
      </c>
    </row>
    <row r="65" spans="1:6" x14ac:dyDescent="0.2">
      <c r="A65" s="115">
        <v>9</v>
      </c>
      <c r="B65" s="116" t="s">
        <v>121</v>
      </c>
      <c r="C65" s="113">
        <v>224283</v>
      </c>
      <c r="D65" s="113">
        <v>36844</v>
      </c>
      <c r="E65" s="113">
        <f t="shared" si="7"/>
        <v>-187439</v>
      </c>
      <c r="F65" s="114">
        <f t="shared" si="8"/>
        <v>-0.83572540049847732</v>
      </c>
    </row>
    <row r="66" spans="1:6" x14ac:dyDescent="0.2">
      <c r="A66" s="115">
        <v>10</v>
      </c>
      <c r="B66" s="116" t="s">
        <v>122</v>
      </c>
      <c r="C66" s="113">
        <v>0</v>
      </c>
      <c r="D66" s="113">
        <v>0</v>
      </c>
      <c r="E66" s="113">
        <f t="shared" si="7"/>
        <v>0</v>
      </c>
      <c r="F66" s="114">
        <f t="shared" si="8"/>
        <v>0</v>
      </c>
    </row>
    <row r="67" spans="1:6" x14ac:dyDescent="0.2">
      <c r="A67" s="115">
        <v>11</v>
      </c>
      <c r="B67" s="116" t="s">
        <v>123</v>
      </c>
      <c r="C67" s="113">
        <v>1196216</v>
      </c>
      <c r="D67" s="113">
        <v>1236898</v>
      </c>
      <c r="E67" s="113">
        <f t="shared" si="7"/>
        <v>40682</v>
      </c>
      <c r="F67" s="114">
        <f t="shared" si="8"/>
        <v>3.4008908090177696E-2</v>
      </c>
    </row>
    <row r="68" spans="1:6" ht="15.75" x14ac:dyDescent="0.25">
      <c r="A68" s="117"/>
      <c r="B68" s="118" t="s">
        <v>131</v>
      </c>
      <c r="C68" s="119">
        <f>SUM(C57:C67)</f>
        <v>26741610</v>
      </c>
      <c r="D68" s="119">
        <f>SUM(D57:D67)</f>
        <v>23486956</v>
      </c>
      <c r="E68" s="119">
        <f t="shared" si="7"/>
        <v>-3254654</v>
      </c>
      <c r="F68" s="120">
        <f t="shared" si="8"/>
        <v>-0.12170748133713714</v>
      </c>
    </row>
    <row r="69" spans="1:6" ht="15.75" x14ac:dyDescent="0.25">
      <c r="A69" s="110" t="s">
        <v>26</v>
      </c>
      <c r="B69" s="111" t="s">
        <v>132</v>
      </c>
      <c r="C69" s="113"/>
      <c r="D69" s="113"/>
      <c r="E69" s="113"/>
      <c r="F69" s="114"/>
    </row>
    <row r="70" spans="1:6" x14ac:dyDescent="0.2">
      <c r="A70" s="115">
        <v>1</v>
      </c>
      <c r="B70" s="116" t="s">
        <v>113</v>
      </c>
      <c r="C70" s="113">
        <v>7008274</v>
      </c>
      <c r="D70" s="113">
        <v>6935791</v>
      </c>
      <c r="E70" s="113">
        <f t="shared" ref="E70:E81" si="9">D70-C70</f>
        <v>-72483</v>
      </c>
      <c r="F70" s="114">
        <f t="shared" ref="F70:F81" si="10">IF(C70=0,0,E70/C70)</f>
        <v>-1.0342489463168821E-2</v>
      </c>
    </row>
    <row r="71" spans="1:6" x14ac:dyDescent="0.2">
      <c r="A71" s="115">
        <v>2</v>
      </c>
      <c r="B71" s="116" t="s">
        <v>114</v>
      </c>
      <c r="C71" s="113">
        <v>519504</v>
      </c>
      <c r="D71" s="113">
        <v>565080</v>
      </c>
      <c r="E71" s="113">
        <f t="shared" si="9"/>
        <v>45576</v>
      </c>
      <c r="F71" s="114">
        <f t="shared" si="10"/>
        <v>8.7729834611475557E-2</v>
      </c>
    </row>
    <row r="72" spans="1:6" x14ac:dyDescent="0.2">
      <c r="A72" s="115">
        <v>3</v>
      </c>
      <c r="B72" s="116" t="s">
        <v>115</v>
      </c>
      <c r="C72" s="113">
        <v>1271376</v>
      </c>
      <c r="D72" s="113">
        <v>1453468</v>
      </c>
      <c r="E72" s="113">
        <f t="shared" si="9"/>
        <v>182092</v>
      </c>
      <c r="F72" s="114">
        <f t="shared" si="10"/>
        <v>0.14322434905173606</v>
      </c>
    </row>
    <row r="73" spans="1:6" x14ac:dyDescent="0.2">
      <c r="A73" s="115">
        <v>4</v>
      </c>
      <c r="B73" s="116" t="s">
        <v>116</v>
      </c>
      <c r="C73" s="113">
        <v>0</v>
      </c>
      <c r="D73" s="113">
        <v>0</v>
      </c>
      <c r="E73" s="113">
        <f t="shared" si="9"/>
        <v>0</v>
      </c>
      <c r="F73" s="114">
        <f t="shared" si="10"/>
        <v>0</v>
      </c>
    </row>
    <row r="74" spans="1:6" x14ac:dyDescent="0.2">
      <c r="A74" s="115">
        <v>5</v>
      </c>
      <c r="B74" s="116" t="s">
        <v>117</v>
      </c>
      <c r="C74" s="113">
        <v>41971</v>
      </c>
      <c r="D74" s="113">
        <v>40711</v>
      </c>
      <c r="E74" s="113">
        <f t="shared" si="9"/>
        <v>-1260</v>
      </c>
      <c r="F74" s="114">
        <f t="shared" si="10"/>
        <v>-3.0020728598317885E-2</v>
      </c>
    </row>
    <row r="75" spans="1:6" x14ac:dyDescent="0.2">
      <c r="A75" s="115">
        <v>6</v>
      </c>
      <c r="B75" s="116" t="s">
        <v>118</v>
      </c>
      <c r="C75" s="113">
        <v>1160652</v>
      </c>
      <c r="D75" s="113">
        <v>1164851</v>
      </c>
      <c r="E75" s="113">
        <f t="shared" si="9"/>
        <v>4199</v>
      </c>
      <c r="F75" s="114">
        <f t="shared" si="10"/>
        <v>3.6177941363991963E-3</v>
      </c>
    </row>
    <row r="76" spans="1:6" x14ac:dyDescent="0.2">
      <c r="A76" s="115">
        <v>7</v>
      </c>
      <c r="B76" s="116" t="s">
        <v>119</v>
      </c>
      <c r="C76" s="113">
        <v>14371540</v>
      </c>
      <c r="D76" s="113">
        <v>14349814</v>
      </c>
      <c r="E76" s="113">
        <f t="shared" si="9"/>
        <v>-21726</v>
      </c>
      <c r="F76" s="114">
        <f t="shared" si="10"/>
        <v>-1.5117377817547737E-3</v>
      </c>
    </row>
    <row r="77" spans="1:6" x14ac:dyDescent="0.2">
      <c r="A77" s="115">
        <v>8</v>
      </c>
      <c r="B77" s="116" t="s">
        <v>120</v>
      </c>
      <c r="C77" s="113">
        <v>518962</v>
      </c>
      <c r="D77" s="113">
        <v>471862</v>
      </c>
      <c r="E77" s="113">
        <f t="shared" si="9"/>
        <v>-47100</v>
      </c>
      <c r="F77" s="114">
        <f t="shared" si="10"/>
        <v>-9.075809018772088E-2</v>
      </c>
    </row>
    <row r="78" spans="1:6" x14ac:dyDescent="0.2">
      <c r="A78" s="115">
        <v>9</v>
      </c>
      <c r="B78" s="116" t="s">
        <v>121</v>
      </c>
      <c r="C78" s="113">
        <v>426841</v>
      </c>
      <c r="D78" s="113">
        <v>242542</v>
      </c>
      <c r="E78" s="113">
        <f t="shared" si="9"/>
        <v>-184299</v>
      </c>
      <c r="F78" s="114">
        <f t="shared" si="10"/>
        <v>-0.43177436094470772</v>
      </c>
    </row>
    <row r="79" spans="1:6" x14ac:dyDescent="0.2">
      <c r="A79" s="115">
        <v>10</v>
      </c>
      <c r="B79" s="116" t="s">
        <v>122</v>
      </c>
      <c r="C79" s="113">
        <v>0</v>
      </c>
      <c r="D79" s="113">
        <v>0</v>
      </c>
      <c r="E79" s="113">
        <f t="shared" si="9"/>
        <v>0</v>
      </c>
      <c r="F79" s="114">
        <f t="shared" si="10"/>
        <v>0</v>
      </c>
    </row>
    <row r="80" spans="1:6" x14ac:dyDescent="0.2">
      <c r="A80" s="115">
        <v>11</v>
      </c>
      <c r="B80" s="116" t="s">
        <v>123</v>
      </c>
      <c r="C80" s="113">
        <v>565931</v>
      </c>
      <c r="D80" s="113">
        <v>621811</v>
      </c>
      <c r="E80" s="113">
        <f t="shared" si="9"/>
        <v>55880</v>
      </c>
      <c r="F80" s="114">
        <f t="shared" si="10"/>
        <v>9.873995239702367E-2</v>
      </c>
    </row>
    <row r="81" spans="1:6" ht="15.75" x14ac:dyDescent="0.25">
      <c r="A81" s="117"/>
      <c r="B81" s="118" t="s">
        <v>133</v>
      </c>
      <c r="C81" s="119">
        <f>SUM(C70:C80)</f>
        <v>25885051</v>
      </c>
      <c r="D81" s="119">
        <f>SUM(D70:D80)</f>
        <v>25845930</v>
      </c>
      <c r="E81" s="119">
        <f t="shared" si="9"/>
        <v>-39121</v>
      </c>
      <c r="F81" s="120">
        <f t="shared" si="10"/>
        <v>-1.5113356353827544E-3</v>
      </c>
    </row>
    <row r="82" spans="1:6" ht="15" customHeight="1" x14ac:dyDescent="0.2">
      <c r="A82" s="769" t="s">
        <v>127</v>
      </c>
      <c r="B82" s="771" t="s">
        <v>134</v>
      </c>
      <c r="C82" s="773"/>
      <c r="D82" s="774"/>
      <c r="E82" s="774"/>
      <c r="F82" s="775"/>
    </row>
    <row r="83" spans="1:6" ht="15" customHeight="1" x14ac:dyDescent="0.2">
      <c r="A83" s="770"/>
      <c r="B83" s="772"/>
      <c r="C83" s="776"/>
      <c r="D83" s="777"/>
      <c r="E83" s="777"/>
      <c r="F83" s="778"/>
    </row>
    <row r="84" spans="1:6" ht="15.75" x14ac:dyDescent="0.25">
      <c r="A84" s="130">
        <v>1</v>
      </c>
      <c r="B84" s="122" t="s">
        <v>113</v>
      </c>
      <c r="C84" s="119">
        <f t="shared" ref="C84:D94" si="11">+C70+C57</f>
        <v>23992615</v>
      </c>
      <c r="D84" s="119">
        <f t="shared" si="11"/>
        <v>21728779</v>
      </c>
      <c r="E84" s="119">
        <f t="shared" ref="E84:E95" si="12">D84-C84</f>
        <v>-2263836</v>
      </c>
      <c r="F84" s="120">
        <f t="shared" ref="F84:F95" si="13">IF(C84=0,0,E84/C84)</f>
        <v>-9.4355533984103027E-2</v>
      </c>
    </row>
    <row r="85" spans="1:6" ht="15.75" x14ac:dyDescent="0.25">
      <c r="A85" s="130">
        <v>2</v>
      </c>
      <c r="B85" s="122" t="s">
        <v>114</v>
      </c>
      <c r="C85" s="119">
        <f t="shared" si="11"/>
        <v>1505927</v>
      </c>
      <c r="D85" s="119">
        <f t="shared" si="11"/>
        <v>1917319</v>
      </c>
      <c r="E85" s="119">
        <f t="shared" si="12"/>
        <v>411392</v>
      </c>
      <c r="F85" s="120">
        <f t="shared" si="13"/>
        <v>0.2731819005834944</v>
      </c>
    </row>
    <row r="86" spans="1:6" ht="15.75" x14ac:dyDescent="0.25">
      <c r="A86" s="130">
        <v>3</v>
      </c>
      <c r="B86" s="122" t="s">
        <v>115</v>
      </c>
      <c r="C86" s="119">
        <f t="shared" si="11"/>
        <v>2090929</v>
      </c>
      <c r="D86" s="119">
        <f t="shared" si="11"/>
        <v>2447356</v>
      </c>
      <c r="E86" s="119">
        <f t="shared" si="12"/>
        <v>356427</v>
      </c>
      <c r="F86" s="120">
        <f t="shared" si="13"/>
        <v>0.17046346384788771</v>
      </c>
    </row>
    <row r="87" spans="1:6" ht="15.75" x14ac:dyDescent="0.25">
      <c r="A87" s="130">
        <v>4</v>
      </c>
      <c r="B87" s="122" t="s">
        <v>116</v>
      </c>
      <c r="C87" s="119">
        <f t="shared" si="11"/>
        <v>0</v>
      </c>
      <c r="D87" s="119">
        <f t="shared" si="11"/>
        <v>0</v>
      </c>
      <c r="E87" s="119">
        <f t="shared" si="12"/>
        <v>0</v>
      </c>
      <c r="F87" s="120">
        <f t="shared" si="13"/>
        <v>0</v>
      </c>
    </row>
    <row r="88" spans="1:6" ht="15.75" x14ac:dyDescent="0.25">
      <c r="A88" s="130">
        <v>5</v>
      </c>
      <c r="B88" s="122" t="s">
        <v>117</v>
      </c>
      <c r="C88" s="119">
        <f t="shared" si="11"/>
        <v>119495</v>
      </c>
      <c r="D88" s="119">
        <f t="shared" si="11"/>
        <v>64984</v>
      </c>
      <c r="E88" s="119">
        <f t="shared" si="12"/>
        <v>-54511</v>
      </c>
      <c r="F88" s="120">
        <f t="shared" si="13"/>
        <v>-0.45617808276496924</v>
      </c>
    </row>
    <row r="89" spans="1:6" ht="15.75" x14ac:dyDescent="0.25">
      <c r="A89" s="130">
        <v>6</v>
      </c>
      <c r="B89" s="122" t="s">
        <v>118</v>
      </c>
      <c r="C89" s="119">
        <f t="shared" si="11"/>
        <v>1870538</v>
      </c>
      <c r="D89" s="119">
        <f t="shared" si="11"/>
        <v>1345123</v>
      </c>
      <c r="E89" s="119">
        <f t="shared" si="12"/>
        <v>-525415</v>
      </c>
      <c r="F89" s="120">
        <f t="shared" si="13"/>
        <v>-0.28088977609650273</v>
      </c>
    </row>
    <row r="90" spans="1:6" ht="15.75" x14ac:dyDescent="0.25">
      <c r="A90" s="130">
        <v>7</v>
      </c>
      <c r="B90" s="122" t="s">
        <v>119</v>
      </c>
      <c r="C90" s="119">
        <f t="shared" si="11"/>
        <v>19898217</v>
      </c>
      <c r="D90" s="119">
        <f t="shared" si="11"/>
        <v>18880630</v>
      </c>
      <c r="E90" s="119">
        <f t="shared" si="12"/>
        <v>-1017587</v>
      </c>
      <c r="F90" s="120">
        <f t="shared" si="13"/>
        <v>-5.1139607131633957E-2</v>
      </c>
    </row>
    <row r="91" spans="1:6" ht="15.75" x14ac:dyDescent="0.25">
      <c r="A91" s="130">
        <v>8</v>
      </c>
      <c r="B91" s="122" t="s">
        <v>120</v>
      </c>
      <c r="C91" s="119">
        <f t="shared" si="11"/>
        <v>735669</v>
      </c>
      <c r="D91" s="119">
        <f t="shared" si="11"/>
        <v>810600</v>
      </c>
      <c r="E91" s="119">
        <f t="shared" si="12"/>
        <v>74931</v>
      </c>
      <c r="F91" s="120">
        <f t="shared" si="13"/>
        <v>0.10185423063905098</v>
      </c>
    </row>
    <row r="92" spans="1:6" ht="15.75" x14ac:dyDescent="0.25">
      <c r="A92" s="130">
        <v>9</v>
      </c>
      <c r="B92" s="122" t="s">
        <v>121</v>
      </c>
      <c r="C92" s="119">
        <f t="shared" si="11"/>
        <v>651124</v>
      </c>
      <c r="D92" s="119">
        <f t="shared" si="11"/>
        <v>279386</v>
      </c>
      <c r="E92" s="119">
        <f t="shared" si="12"/>
        <v>-371738</v>
      </c>
      <c r="F92" s="120">
        <f t="shared" si="13"/>
        <v>-0.57091736750603572</v>
      </c>
    </row>
    <row r="93" spans="1:6" ht="15.75" x14ac:dyDescent="0.25">
      <c r="A93" s="130">
        <v>10</v>
      </c>
      <c r="B93" s="122" t="s">
        <v>122</v>
      </c>
      <c r="C93" s="119">
        <f t="shared" si="11"/>
        <v>0</v>
      </c>
      <c r="D93" s="119">
        <f t="shared" si="11"/>
        <v>0</v>
      </c>
      <c r="E93" s="119">
        <f t="shared" si="12"/>
        <v>0</v>
      </c>
      <c r="F93" s="120">
        <f t="shared" si="13"/>
        <v>0</v>
      </c>
    </row>
    <row r="94" spans="1:6" ht="16.5" thickBot="1" x14ac:dyDescent="0.3">
      <c r="A94" s="130">
        <v>11</v>
      </c>
      <c r="B94" s="122" t="s">
        <v>123</v>
      </c>
      <c r="C94" s="119">
        <f t="shared" si="11"/>
        <v>1762147</v>
      </c>
      <c r="D94" s="119">
        <f t="shared" si="11"/>
        <v>1858709</v>
      </c>
      <c r="E94" s="119">
        <f t="shared" si="12"/>
        <v>96562</v>
      </c>
      <c r="F94" s="120">
        <f t="shared" si="13"/>
        <v>5.4797925485217745E-2</v>
      </c>
    </row>
    <row r="95" spans="1:6" ht="18.75" customHeight="1" thickBot="1" x14ac:dyDescent="0.3">
      <c r="A95" s="131"/>
      <c r="B95" s="132" t="s">
        <v>134</v>
      </c>
      <c r="C95" s="128">
        <f>SUM(C84:C94)</f>
        <v>52626661</v>
      </c>
      <c r="D95" s="128">
        <f>SUM(D84:D94)</f>
        <v>49332886</v>
      </c>
      <c r="E95" s="128">
        <f t="shared" si="12"/>
        <v>-3293775</v>
      </c>
      <c r="F95" s="129">
        <f t="shared" si="13"/>
        <v>-6.2587573245431627E-2</v>
      </c>
    </row>
    <row r="96" spans="1:6" x14ac:dyDescent="0.2">
      <c r="A96" s="769" t="s">
        <v>135</v>
      </c>
      <c r="B96" s="771" t="s">
        <v>136</v>
      </c>
      <c r="C96" s="773"/>
      <c r="D96" s="774"/>
      <c r="E96" s="774"/>
      <c r="F96" s="775"/>
    </row>
    <row r="97" spans="1:6" ht="15" customHeight="1" x14ac:dyDescent="0.2">
      <c r="A97" s="770"/>
      <c r="B97" s="772"/>
      <c r="C97" s="776"/>
      <c r="D97" s="777"/>
      <c r="E97" s="777"/>
      <c r="F97" s="778"/>
    </row>
    <row r="98" spans="1:6" ht="15.75" x14ac:dyDescent="0.25">
      <c r="A98" s="110"/>
      <c r="B98" s="111"/>
      <c r="C98" s="112"/>
      <c r="D98" s="112"/>
      <c r="E98" s="112"/>
      <c r="F98" s="112"/>
    </row>
    <row r="99" spans="1:6" ht="15.75" x14ac:dyDescent="0.25">
      <c r="A99" s="110" t="s">
        <v>14</v>
      </c>
      <c r="B99" s="111" t="s">
        <v>137</v>
      </c>
      <c r="C99" s="113"/>
      <c r="D99" s="113"/>
      <c r="E99" s="113"/>
      <c r="F99" s="114"/>
    </row>
    <row r="100" spans="1:6" x14ac:dyDescent="0.2">
      <c r="A100" s="115">
        <v>1</v>
      </c>
      <c r="B100" s="116" t="s">
        <v>113</v>
      </c>
      <c r="C100" s="133">
        <v>1515</v>
      </c>
      <c r="D100" s="133">
        <v>1328</v>
      </c>
      <c r="E100" s="133">
        <f t="shared" ref="E100:E111" si="14">D100-C100</f>
        <v>-187</v>
      </c>
      <c r="F100" s="114">
        <f t="shared" ref="F100:F111" si="15">IF(C100=0,0,E100/C100)</f>
        <v>-0.12343234323432344</v>
      </c>
    </row>
    <row r="101" spans="1:6" x14ac:dyDescent="0.2">
      <c r="A101" s="115">
        <v>2</v>
      </c>
      <c r="B101" s="116" t="s">
        <v>114</v>
      </c>
      <c r="C101" s="133">
        <v>99</v>
      </c>
      <c r="D101" s="133">
        <v>133</v>
      </c>
      <c r="E101" s="133">
        <f t="shared" si="14"/>
        <v>34</v>
      </c>
      <c r="F101" s="114">
        <f t="shared" si="15"/>
        <v>0.34343434343434343</v>
      </c>
    </row>
    <row r="102" spans="1:6" x14ac:dyDescent="0.2">
      <c r="A102" s="115">
        <v>3</v>
      </c>
      <c r="B102" s="116" t="s">
        <v>115</v>
      </c>
      <c r="C102" s="133">
        <v>217</v>
      </c>
      <c r="D102" s="133">
        <v>235</v>
      </c>
      <c r="E102" s="133">
        <f t="shared" si="14"/>
        <v>18</v>
      </c>
      <c r="F102" s="114">
        <f t="shared" si="15"/>
        <v>8.294930875576037E-2</v>
      </c>
    </row>
    <row r="103" spans="1:6" x14ac:dyDescent="0.2">
      <c r="A103" s="115">
        <v>4</v>
      </c>
      <c r="B103" s="116" t="s">
        <v>116</v>
      </c>
      <c r="C103" s="133">
        <v>0</v>
      </c>
      <c r="D103" s="133">
        <v>0</v>
      </c>
      <c r="E103" s="133">
        <f t="shared" si="14"/>
        <v>0</v>
      </c>
      <c r="F103" s="114">
        <f t="shared" si="15"/>
        <v>0</v>
      </c>
    </row>
    <row r="104" spans="1:6" x14ac:dyDescent="0.2">
      <c r="A104" s="115">
        <v>5</v>
      </c>
      <c r="B104" s="116" t="s">
        <v>117</v>
      </c>
      <c r="C104" s="133">
        <v>9</v>
      </c>
      <c r="D104" s="133">
        <v>5</v>
      </c>
      <c r="E104" s="133">
        <f t="shared" si="14"/>
        <v>-4</v>
      </c>
      <c r="F104" s="114">
        <f t="shared" si="15"/>
        <v>-0.44444444444444442</v>
      </c>
    </row>
    <row r="105" spans="1:6" x14ac:dyDescent="0.2">
      <c r="A105" s="115">
        <v>6</v>
      </c>
      <c r="B105" s="116" t="s">
        <v>118</v>
      </c>
      <c r="C105" s="133">
        <v>39</v>
      </c>
      <c r="D105" s="133">
        <v>25</v>
      </c>
      <c r="E105" s="133">
        <f t="shared" si="14"/>
        <v>-14</v>
      </c>
      <c r="F105" s="114">
        <f t="shared" si="15"/>
        <v>-0.35897435897435898</v>
      </c>
    </row>
    <row r="106" spans="1:6" x14ac:dyDescent="0.2">
      <c r="A106" s="115">
        <v>7</v>
      </c>
      <c r="B106" s="116" t="s">
        <v>119</v>
      </c>
      <c r="C106" s="133">
        <v>680</v>
      </c>
      <c r="D106" s="133">
        <v>620</v>
      </c>
      <c r="E106" s="133">
        <f t="shared" si="14"/>
        <v>-60</v>
      </c>
      <c r="F106" s="114">
        <f t="shared" si="15"/>
        <v>-8.8235294117647065E-2</v>
      </c>
    </row>
    <row r="107" spans="1:6" x14ac:dyDescent="0.2">
      <c r="A107" s="115">
        <v>8</v>
      </c>
      <c r="B107" s="116" t="s">
        <v>120</v>
      </c>
      <c r="C107" s="133">
        <v>18</v>
      </c>
      <c r="D107" s="133">
        <v>18</v>
      </c>
      <c r="E107" s="133">
        <f t="shared" si="14"/>
        <v>0</v>
      </c>
      <c r="F107" s="114">
        <f t="shared" si="15"/>
        <v>0</v>
      </c>
    </row>
    <row r="108" spans="1:6" x14ac:dyDescent="0.2">
      <c r="A108" s="115">
        <v>9</v>
      </c>
      <c r="B108" s="116" t="s">
        <v>121</v>
      </c>
      <c r="C108" s="133">
        <v>93</v>
      </c>
      <c r="D108" s="133">
        <v>40</v>
      </c>
      <c r="E108" s="133">
        <f t="shared" si="14"/>
        <v>-53</v>
      </c>
      <c r="F108" s="114">
        <f t="shared" si="15"/>
        <v>-0.56989247311827962</v>
      </c>
    </row>
    <row r="109" spans="1:6" x14ac:dyDescent="0.2">
      <c r="A109" s="115">
        <v>10</v>
      </c>
      <c r="B109" s="116" t="s">
        <v>122</v>
      </c>
      <c r="C109" s="133">
        <v>0</v>
      </c>
      <c r="D109" s="133">
        <v>0</v>
      </c>
      <c r="E109" s="133">
        <f t="shared" si="14"/>
        <v>0</v>
      </c>
      <c r="F109" s="114">
        <f t="shared" si="15"/>
        <v>0</v>
      </c>
    </row>
    <row r="110" spans="1:6" x14ac:dyDescent="0.2">
      <c r="A110" s="115">
        <v>11</v>
      </c>
      <c r="B110" s="116" t="s">
        <v>123</v>
      </c>
      <c r="C110" s="133">
        <v>208</v>
      </c>
      <c r="D110" s="133">
        <v>212</v>
      </c>
      <c r="E110" s="133">
        <f t="shared" si="14"/>
        <v>4</v>
      </c>
      <c r="F110" s="114">
        <f t="shared" si="15"/>
        <v>1.9230769230769232E-2</v>
      </c>
    </row>
    <row r="111" spans="1:6" ht="15.75" x14ac:dyDescent="0.25">
      <c r="A111" s="117"/>
      <c r="B111" s="118" t="s">
        <v>138</v>
      </c>
      <c r="C111" s="134">
        <f>SUM(C100:C110)</f>
        <v>2878</v>
      </c>
      <c r="D111" s="134">
        <f>SUM(D100:D110)</f>
        <v>2616</v>
      </c>
      <c r="E111" s="134">
        <f t="shared" si="14"/>
        <v>-262</v>
      </c>
      <c r="F111" s="120">
        <f t="shared" si="15"/>
        <v>-9.1035441278665738E-2</v>
      </c>
    </row>
    <row r="112" spans="1:6" ht="15.75" x14ac:dyDescent="0.25">
      <c r="A112" s="110" t="s">
        <v>26</v>
      </c>
      <c r="B112" s="111" t="s">
        <v>139</v>
      </c>
      <c r="C112" s="113"/>
      <c r="D112" s="113"/>
      <c r="E112" s="113"/>
      <c r="F112" s="114"/>
    </row>
    <row r="113" spans="1:6" x14ac:dyDescent="0.2">
      <c r="A113" s="115">
        <v>1</v>
      </c>
      <c r="B113" s="116" t="s">
        <v>113</v>
      </c>
      <c r="C113" s="133">
        <v>7871</v>
      </c>
      <c r="D113" s="133">
        <v>7389</v>
      </c>
      <c r="E113" s="133">
        <f t="shared" ref="E113:E124" si="16">D113-C113</f>
        <v>-482</v>
      </c>
      <c r="F113" s="114">
        <f t="shared" ref="F113:F124" si="17">IF(C113=0,0,E113/C113)</f>
        <v>-6.1237453944860881E-2</v>
      </c>
    </row>
    <row r="114" spans="1:6" x14ac:dyDescent="0.2">
      <c r="A114" s="115">
        <v>2</v>
      </c>
      <c r="B114" s="116" t="s">
        <v>114</v>
      </c>
      <c r="C114" s="133">
        <v>620</v>
      </c>
      <c r="D114" s="133">
        <v>836</v>
      </c>
      <c r="E114" s="133">
        <f t="shared" si="16"/>
        <v>216</v>
      </c>
      <c r="F114" s="114">
        <f t="shared" si="17"/>
        <v>0.34838709677419355</v>
      </c>
    </row>
    <row r="115" spans="1:6" x14ac:dyDescent="0.2">
      <c r="A115" s="115">
        <v>3</v>
      </c>
      <c r="B115" s="116" t="s">
        <v>115</v>
      </c>
      <c r="C115" s="133">
        <v>615</v>
      </c>
      <c r="D115" s="133">
        <v>711</v>
      </c>
      <c r="E115" s="133">
        <f t="shared" si="16"/>
        <v>96</v>
      </c>
      <c r="F115" s="114">
        <f t="shared" si="17"/>
        <v>0.15609756097560976</v>
      </c>
    </row>
    <row r="116" spans="1:6" x14ac:dyDescent="0.2">
      <c r="A116" s="115">
        <v>4</v>
      </c>
      <c r="B116" s="116" t="s">
        <v>116</v>
      </c>
      <c r="C116" s="133">
        <v>0</v>
      </c>
      <c r="D116" s="133">
        <v>0</v>
      </c>
      <c r="E116" s="133">
        <f t="shared" si="16"/>
        <v>0</v>
      </c>
      <c r="F116" s="114">
        <f t="shared" si="17"/>
        <v>0</v>
      </c>
    </row>
    <row r="117" spans="1:6" x14ac:dyDescent="0.2">
      <c r="A117" s="115">
        <v>5</v>
      </c>
      <c r="B117" s="116" t="s">
        <v>117</v>
      </c>
      <c r="C117" s="133">
        <v>21</v>
      </c>
      <c r="D117" s="133">
        <v>10</v>
      </c>
      <c r="E117" s="133">
        <f t="shared" si="16"/>
        <v>-11</v>
      </c>
      <c r="F117" s="114">
        <f t="shared" si="17"/>
        <v>-0.52380952380952384</v>
      </c>
    </row>
    <row r="118" spans="1:6" x14ac:dyDescent="0.2">
      <c r="A118" s="115">
        <v>6</v>
      </c>
      <c r="B118" s="116" t="s">
        <v>118</v>
      </c>
      <c r="C118" s="133">
        <v>114</v>
      </c>
      <c r="D118" s="133">
        <v>67</v>
      </c>
      <c r="E118" s="133">
        <f t="shared" si="16"/>
        <v>-47</v>
      </c>
      <c r="F118" s="114">
        <f t="shared" si="17"/>
        <v>-0.41228070175438597</v>
      </c>
    </row>
    <row r="119" spans="1:6" x14ac:dyDescent="0.2">
      <c r="A119" s="115">
        <v>7</v>
      </c>
      <c r="B119" s="116" t="s">
        <v>119</v>
      </c>
      <c r="C119" s="133">
        <v>2155</v>
      </c>
      <c r="D119" s="133">
        <v>1894</v>
      </c>
      <c r="E119" s="133">
        <f t="shared" si="16"/>
        <v>-261</v>
      </c>
      <c r="F119" s="114">
        <f t="shared" si="17"/>
        <v>-0.12111368909512761</v>
      </c>
    </row>
    <row r="120" spans="1:6" x14ac:dyDescent="0.2">
      <c r="A120" s="115">
        <v>8</v>
      </c>
      <c r="B120" s="116" t="s">
        <v>120</v>
      </c>
      <c r="C120" s="133">
        <v>48</v>
      </c>
      <c r="D120" s="133">
        <v>56</v>
      </c>
      <c r="E120" s="133">
        <f t="shared" si="16"/>
        <v>8</v>
      </c>
      <c r="F120" s="114">
        <f t="shared" si="17"/>
        <v>0.16666666666666666</v>
      </c>
    </row>
    <row r="121" spans="1:6" x14ac:dyDescent="0.2">
      <c r="A121" s="115">
        <v>9</v>
      </c>
      <c r="B121" s="116" t="s">
        <v>121</v>
      </c>
      <c r="C121" s="133">
        <v>241</v>
      </c>
      <c r="D121" s="133">
        <v>93</v>
      </c>
      <c r="E121" s="133">
        <f t="shared" si="16"/>
        <v>-148</v>
      </c>
      <c r="F121" s="114">
        <f t="shared" si="17"/>
        <v>-0.61410788381742742</v>
      </c>
    </row>
    <row r="122" spans="1:6" x14ac:dyDescent="0.2">
      <c r="A122" s="115">
        <v>10</v>
      </c>
      <c r="B122" s="116" t="s">
        <v>122</v>
      </c>
      <c r="C122" s="133">
        <v>0</v>
      </c>
      <c r="D122" s="133">
        <v>0</v>
      </c>
      <c r="E122" s="133">
        <f t="shared" si="16"/>
        <v>0</v>
      </c>
      <c r="F122" s="114">
        <f t="shared" si="17"/>
        <v>0</v>
      </c>
    </row>
    <row r="123" spans="1:6" x14ac:dyDescent="0.2">
      <c r="A123" s="115">
        <v>11</v>
      </c>
      <c r="B123" s="116" t="s">
        <v>123</v>
      </c>
      <c r="C123" s="133">
        <v>653</v>
      </c>
      <c r="D123" s="133">
        <v>634</v>
      </c>
      <c r="E123" s="133">
        <f t="shared" si="16"/>
        <v>-19</v>
      </c>
      <c r="F123" s="114">
        <f t="shared" si="17"/>
        <v>-2.9096477794793262E-2</v>
      </c>
    </row>
    <row r="124" spans="1:6" ht="15.75" x14ac:dyDescent="0.25">
      <c r="A124" s="117"/>
      <c r="B124" s="118" t="s">
        <v>140</v>
      </c>
      <c r="C124" s="134">
        <f>SUM(C113:C123)</f>
        <v>12338</v>
      </c>
      <c r="D124" s="134">
        <f>SUM(D113:D123)</f>
        <v>11690</v>
      </c>
      <c r="E124" s="134">
        <f t="shared" si="16"/>
        <v>-648</v>
      </c>
      <c r="F124" s="120">
        <f t="shared" si="17"/>
        <v>-5.2520667855406065E-2</v>
      </c>
    </row>
    <row r="125" spans="1:6" ht="15.75" x14ac:dyDescent="0.25">
      <c r="A125" s="110" t="s">
        <v>36</v>
      </c>
      <c r="B125" s="111" t="s">
        <v>141</v>
      </c>
      <c r="C125" s="113"/>
      <c r="D125" s="113"/>
      <c r="E125" s="113"/>
      <c r="F125" s="114"/>
    </row>
    <row r="126" spans="1:6" x14ac:dyDescent="0.2">
      <c r="A126" s="115">
        <v>1</v>
      </c>
      <c r="B126" s="116" t="s">
        <v>113</v>
      </c>
      <c r="C126" s="133">
        <v>40407</v>
      </c>
      <c r="D126" s="133">
        <v>37260</v>
      </c>
      <c r="E126" s="133">
        <f t="shared" ref="E126:E137" si="18">D126-C126</f>
        <v>-3147</v>
      </c>
      <c r="F126" s="114">
        <f t="shared" ref="F126:F137" si="19">IF(C126=0,0,E126/C126)</f>
        <v>-7.7882545103571163E-2</v>
      </c>
    </row>
    <row r="127" spans="1:6" x14ac:dyDescent="0.2">
      <c r="A127" s="115">
        <v>2</v>
      </c>
      <c r="B127" s="116" t="s">
        <v>114</v>
      </c>
      <c r="C127" s="133">
        <v>2294</v>
      </c>
      <c r="D127" s="133">
        <v>2530</v>
      </c>
      <c r="E127" s="133">
        <f t="shared" si="18"/>
        <v>236</v>
      </c>
      <c r="F127" s="114">
        <f t="shared" si="19"/>
        <v>0.1028770706190061</v>
      </c>
    </row>
    <row r="128" spans="1:6" x14ac:dyDescent="0.2">
      <c r="A128" s="115">
        <v>3</v>
      </c>
      <c r="B128" s="116" t="s">
        <v>115</v>
      </c>
      <c r="C128" s="133">
        <v>4040</v>
      </c>
      <c r="D128" s="133">
        <v>5081</v>
      </c>
      <c r="E128" s="133">
        <f t="shared" si="18"/>
        <v>1041</v>
      </c>
      <c r="F128" s="114">
        <f t="shared" si="19"/>
        <v>0.25767326732673268</v>
      </c>
    </row>
    <row r="129" spans="1:6" x14ac:dyDescent="0.2">
      <c r="A129" s="115">
        <v>4</v>
      </c>
      <c r="B129" s="116" t="s">
        <v>116</v>
      </c>
      <c r="C129" s="133">
        <v>0</v>
      </c>
      <c r="D129" s="133">
        <v>0</v>
      </c>
      <c r="E129" s="133">
        <f t="shared" si="18"/>
        <v>0</v>
      </c>
      <c r="F129" s="114">
        <f t="shared" si="19"/>
        <v>0</v>
      </c>
    </row>
    <row r="130" spans="1:6" x14ac:dyDescent="0.2">
      <c r="A130" s="115">
        <v>5</v>
      </c>
      <c r="B130" s="116" t="s">
        <v>117</v>
      </c>
      <c r="C130" s="133">
        <v>157</v>
      </c>
      <c r="D130" s="133">
        <v>138</v>
      </c>
      <c r="E130" s="133">
        <f t="shared" si="18"/>
        <v>-19</v>
      </c>
      <c r="F130" s="114">
        <f t="shared" si="19"/>
        <v>-0.12101910828025478</v>
      </c>
    </row>
    <row r="131" spans="1:6" x14ac:dyDescent="0.2">
      <c r="A131" s="115">
        <v>6</v>
      </c>
      <c r="B131" s="116" t="s">
        <v>118</v>
      </c>
      <c r="C131" s="133">
        <v>4244</v>
      </c>
      <c r="D131" s="133">
        <v>4272</v>
      </c>
      <c r="E131" s="133">
        <f t="shared" si="18"/>
        <v>28</v>
      </c>
      <c r="F131" s="114">
        <f t="shared" si="19"/>
        <v>6.5975494816211122E-3</v>
      </c>
    </row>
    <row r="132" spans="1:6" x14ac:dyDescent="0.2">
      <c r="A132" s="115">
        <v>7</v>
      </c>
      <c r="B132" s="116" t="s">
        <v>119</v>
      </c>
      <c r="C132" s="133">
        <v>31600</v>
      </c>
      <c r="D132" s="133">
        <v>33553</v>
      </c>
      <c r="E132" s="133">
        <f t="shared" si="18"/>
        <v>1953</v>
      </c>
      <c r="F132" s="114">
        <f t="shared" si="19"/>
        <v>6.1803797468354432E-2</v>
      </c>
    </row>
    <row r="133" spans="1:6" x14ac:dyDescent="0.2">
      <c r="A133" s="115">
        <v>8</v>
      </c>
      <c r="B133" s="116" t="s">
        <v>120</v>
      </c>
      <c r="C133" s="133">
        <v>1011</v>
      </c>
      <c r="D133" s="133">
        <v>1054</v>
      </c>
      <c r="E133" s="133">
        <f t="shared" si="18"/>
        <v>43</v>
      </c>
      <c r="F133" s="114">
        <f t="shared" si="19"/>
        <v>4.2532146389713157E-2</v>
      </c>
    </row>
    <row r="134" spans="1:6" x14ac:dyDescent="0.2">
      <c r="A134" s="115">
        <v>9</v>
      </c>
      <c r="B134" s="116" t="s">
        <v>121</v>
      </c>
      <c r="C134" s="133">
        <v>3824</v>
      </c>
      <c r="D134" s="133">
        <v>3028</v>
      </c>
      <c r="E134" s="133">
        <f t="shared" si="18"/>
        <v>-796</v>
      </c>
      <c r="F134" s="114">
        <f t="shared" si="19"/>
        <v>-0.20815899581589958</v>
      </c>
    </row>
    <row r="135" spans="1:6" x14ac:dyDescent="0.2">
      <c r="A135" s="115">
        <v>10</v>
      </c>
      <c r="B135" s="116" t="s">
        <v>122</v>
      </c>
      <c r="C135" s="133">
        <v>0</v>
      </c>
      <c r="D135" s="133">
        <v>0</v>
      </c>
      <c r="E135" s="133">
        <f t="shared" si="18"/>
        <v>0</v>
      </c>
      <c r="F135" s="114">
        <f t="shared" si="19"/>
        <v>0</v>
      </c>
    </row>
    <row r="136" spans="1:6" x14ac:dyDescent="0.2">
      <c r="A136" s="115">
        <v>11</v>
      </c>
      <c r="B136" s="116" t="s">
        <v>123</v>
      </c>
      <c r="C136" s="133">
        <v>5321</v>
      </c>
      <c r="D136" s="133">
        <v>5986</v>
      </c>
      <c r="E136" s="133">
        <f t="shared" si="18"/>
        <v>665</v>
      </c>
      <c r="F136" s="114">
        <f t="shared" si="19"/>
        <v>0.12497650817515504</v>
      </c>
    </row>
    <row r="137" spans="1:6" ht="15.75" x14ac:dyDescent="0.25">
      <c r="A137" s="117"/>
      <c r="B137" s="118" t="s">
        <v>142</v>
      </c>
      <c r="C137" s="134">
        <f>SUM(C126:C136)</f>
        <v>92898</v>
      </c>
      <c r="D137" s="134">
        <f>SUM(D126:D136)</f>
        <v>92902</v>
      </c>
      <c r="E137" s="134">
        <f t="shared" si="18"/>
        <v>4</v>
      </c>
      <c r="F137" s="120">
        <f t="shared" si="19"/>
        <v>4.3057977566793686E-5</v>
      </c>
    </row>
    <row r="138" spans="1:6" x14ac:dyDescent="0.2">
      <c r="A138" s="769" t="s">
        <v>143</v>
      </c>
      <c r="B138" s="771" t="s">
        <v>144</v>
      </c>
      <c r="C138" s="773"/>
      <c r="D138" s="774"/>
      <c r="E138" s="774"/>
      <c r="F138" s="775"/>
    </row>
    <row r="139" spans="1:6" ht="15" customHeight="1" x14ac:dyDescent="0.2">
      <c r="A139" s="770"/>
      <c r="B139" s="772"/>
      <c r="C139" s="776"/>
      <c r="D139" s="777"/>
      <c r="E139" s="777"/>
      <c r="F139" s="778"/>
    </row>
    <row r="140" spans="1:6" ht="15.75" x14ac:dyDescent="0.25">
      <c r="A140" s="110"/>
      <c r="B140" s="111"/>
      <c r="C140" s="112"/>
      <c r="D140" s="112"/>
      <c r="E140" s="112"/>
      <c r="F140" s="112"/>
    </row>
    <row r="141" spans="1:6" ht="31.5" x14ac:dyDescent="0.25">
      <c r="A141" s="110" t="s">
        <v>14</v>
      </c>
      <c r="B141" s="111" t="s">
        <v>145</v>
      </c>
      <c r="C141" s="113"/>
      <c r="D141" s="113"/>
      <c r="E141" s="113"/>
      <c r="F141" s="114"/>
    </row>
    <row r="142" spans="1:6" x14ac:dyDescent="0.2">
      <c r="A142" s="115">
        <v>1</v>
      </c>
      <c r="B142" s="116" t="s">
        <v>113</v>
      </c>
      <c r="C142" s="113">
        <v>4525067</v>
      </c>
      <c r="D142" s="113">
        <v>4768766</v>
      </c>
      <c r="E142" s="113">
        <f t="shared" ref="E142:E153" si="20">D142-C142</f>
        <v>243699</v>
      </c>
      <c r="F142" s="114">
        <f t="shared" ref="F142:F153" si="21">IF(C142=0,0,E142/C142)</f>
        <v>5.385533518067246E-2</v>
      </c>
    </row>
    <row r="143" spans="1:6" x14ac:dyDescent="0.2">
      <c r="A143" s="115">
        <v>2</v>
      </c>
      <c r="B143" s="116" t="s">
        <v>114</v>
      </c>
      <c r="C143" s="113">
        <v>353840</v>
      </c>
      <c r="D143" s="113">
        <v>503896</v>
      </c>
      <c r="E143" s="113">
        <f t="shared" si="20"/>
        <v>150056</v>
      </c>
      <c r="F143" s="114">
        <f t="shared" si="21"/>
        <v>0.42407867962921092</v>
      </c>
    </row>
    <row r="144" spans="1:6" x14ac:dyDescent="0.2">
      <c r="A144" s="115">
        <v>3</v>
      </c>
      <c r="B144" s="116" t="s">
        <v>115</v>
      </c>
      <c r="C144" s="113">
        <v>1600124</v>
      </c>
      <c r="D144" s="113">
        <v>1872963</v>
      </c>
      <c r="E144" s="113">
        <f t="shared" si="20"/>
        <v>272839</v>
      </c>
      <c r="F144" s="114">
        <f t="shared" si="21"/>
        <v>0.17051116038507017</v>
      </c>
    </row>
    <row r="145" spans="1:6" x14ac:dyDescent="0.2">
      <c r="A145" s="115">
        <v>4</v>
      </c>
      <c r="B145" s="116" t="s">
        <v>116</v>
      </c>
      <c r="C145" s="113">
        <v>0</v>
      </c>
      <c r="D145" s="113">
        <v>0</v>
      </c>
      <c r="E145" s="113">
        <f t="shared" si="20"/>
        <v>0</v>
      </c>
      <c r="F145" s="114">
        <f t="shared" si="21"/>
        <v>0</v>
      </c>
    </row>
    <row r="146" spans="1:6" x14ac:dyDescent="0.2">
      <c r="A146" s="115">
        <v>5</v>
      </c>
      <c r="B146" s="116" t="s">
        <v>117</v>
      </c>
      <c r="C146" s="113">
        <v>74257</v>
      </c>
      <c r="D146" s="113">
        <v>65367</v>
      </c>
      <c r="E146" s="113">
        <f t="shared" si="20"/>
        <v>-8890</v>
      </c>
      <c r="F146" s="114">
        <f t="shared" si="21"/>
        <v>-0.1197193530576242</v>
      </c>
    </row>
    <row r="147" spans="1:6" x14ac:dyDescent="0.2">
      <c r="A147" s="115">
        <v>6</v>
      </c>
      <c r="B147" s="116" t="s">
        <v>118</v>
      </c>
      <c r="C147" s="113">
        <v>869695</v>
      </c>
      <c r="D147" s="113">
        <v>1085750</v>
      </c>
      <c r="E147" s="113">
        <f t="shared" si="20"/>
        <v>216055</v>
      </c>
      <c r="F147" s="114">
        <f t="shared" si="21"/>
        <v>0.24842617239377024</v>
      </c>
    </row>
    <row r="148" spans="1:6" x14ac:dyDescent="0.2">
      <c r="A148" s="115">
        <v>7</v>
      </c>
      <c r="B148" s="116" t="s">
        <v>119</v>
      </c>
      <c r="C148" s="113">
        <v>6479973</v>
      </c>
      <c r="D148" s="113">
        <v>7541920</v>
      </c>
      <c r="E148" s="113">
        <f t="shared" si="20"/>
        <v>1061947</v>
      </c>
      <c r="F148" s="114">
        <f t="shared" si="21"/>
        <v>0.16388139271567953</v>
      </c>
    </row>
    <row r="149" spans="1:6" x14ac:dyDescent="0.2">
      <c r="A149" s="115">
        <v>8</v>
      </c>
      <c r="B149" s="116" t="s">
        <v>120</v>
      </c>
      <c r="C149" s="113">
        <v>419636</v>
      </c>
      <c r="D149" s="113">
        <v>423865</v>
      </c>
      <c r="E149" s="113">
        <f t="shared" si="20"/>
        <v>4229</v>
      </c>
      <c r="F149" s="114">
        <f t="shared" si="21"/>
        <v>1.0077781696517935E-2</v>
      </c>
    </row>
    <row r="150" spans="1:6" x14ac:dyDescent="0.2">
      <c r="A150" s="115">
        <v>9</v>
      </c>
      <c r="B150" s="116" t="s">
        <v>121</v>
      </c>
      <c r="C150" s="113">
        <v>1785744</v>
      </c>
      <c r="D150" s="113">
        <v>1627749</v>
      </c>
      <c r="E150" s="113">
        <f t="shared" si="20"/>
        <v>-157995</v>
      </c>
      <c r="F150" s="114">
        <f t="shared" si="21"/>
        <v>-8.8475727763890011E-2</v>
      </c>
    </row>
    <row r="151" spans="1:6" x14ac:dyDescent="0.2">
      <c r="A151" s="115">
        <v>10</v>
      </c>
      <c r="B151" s="116" t="s">
        <v>122</v>
      </c>
      <c r="C151" s="113">
        <v>0</v>
      </c>
      <c r="D151" s="113">
        <v>0</v>
      </c>
      <c r="E151" s="113">
        <f t="shared" si="20"/>
        <v>0</v>
      </c>
      <c r="F151" s="114">
        <f t="shared" si="21"/>
        <v>0</v>
      </c>
    </row>
    <row r="152" spans="1:6" x14ac:dyDescent="0.2">
      <c r="A152" s="115">
        <v>11</v>
      </c>
      <c r="B152" s="116" t="s">
        <v>123</v>
      </c>
      <c r="C152" s="113">
        <v>2153882</v>
      </c>
      <c r="D152" s="113">
        <v>2743950</v>
      </c>
      <c r="E152" s="113">
        <f t="shared" si="20"/>
        <v>590068</v>
      </c>
      <c r="F152" s="114">
        <f t="shared" si="21"/>
        <v>0.27395558345350396</v>
      </c>
    </row>
    <row r="153" spans="1:6" ht="33.75" customHeight="1" x14ac:dyDescent="0.25">
      <c r="A153" s="117"/>
      <c r="B153" s="118" t="s">
        <v>146</v>
      </c>
      <c r="C153" s="119">
        <f>SUM(C142:C152)</f>
        <v>18262218</v>
      </c>
      <c r="D153" s="119">
        <f>SUM(D142:D152)</f>
        <v>20634226</v>
      </c>
      <c r="E153" s="119">
        <f t="shared" si="20"/>
        <v>2372008</v>
      </c>
      <c r="F153" s="120">
        <f t="shared" si="21"/>
        <v>0.12988608503085441</v>
      </c>
    </row>
    <row r="154" spans="1:6" ht="31.5" x14ac:dyDescent="0.25">
      <c r="A154" s="110" t="s">
        <v>26</v>
      </c>
      <c r="B154" s="111" t="s">
        <v>147</v>
      </c>
      <c r="C154" s="113"/>
      <c r="D154" s="113"/>
      <c r="E154" s="113"/>
      <c r="F154" s="114"/>
    </row>
    <row r="155" spans="1:6" x14ac:dyDescent="0.2">
      <c r="A155" s="115">
        <v>1</v>
      </c>
      <c r="B155" s="116" t="s">
        <v>113</v>
      </c>
      <c r="C155" s="113">
        <v>830096</v>
      </c>
      <c r="D155" s="113">
        <v>919121</v>
      </c>
      <c r="E155" s="113">
        <f t="shared" ref="E155:E166" si="22">D155-C155</f>
        <v>89025</v>
      </c>
      <c r="F155" s="114">
        <f t="shared" ref="F155:F166" si="23">IF(C155=0,0,E155/C155)</f>
        <v>0.10724663171488599</v>
      </c>
    </row>
    <row r="156" spans="1:6" x14ac:dyDescent="0.2">
      <c r="A156" s="115">
        <v>2</v>
      </c>
      <c r="B156" s="116" t="s">
        <v>114</v>
      </c>
      <c r="C156" s="113">
        <v>55177</v>
      </c>
      <c r="D156" s="113">
        <v>91431</v>
      </c>
      <c r="E156" s="113">
        <f t="shared" si="22"/>
        <v>36254</v>
      </c>
      <c r="F156" s="114">
        <f t="shared" si="23"/>
        <v>0.65704913279083677</v>
      </c>
    </row>
    <row r="157" spans="1:6" x14ac:dyDescent="0.2">
      <c r="A157" s="115">
        <v>3</v>
      </c>
      <c r="B157" s="116" t="s">
        <v>115</v>
      </c>
      <c r="C157" s="113">
        <v>377800</v>
      </c>
      <c r="D157" s="113">
        <v>376328</v>
      </c>
      <c r="E157" s="113">
        <f t="shared" si="22"/>
        <v>-1472</v>
      </c>
      <c r="F157" s="114">
        <f t="shared" si="23"/>
        <v>-3.896241397564849E-3</v>
      </c>
    </row>
    <row r="158" spans="1:6" x14ac:dyDescent="0.2">
      <c r="A158" s="115">
        <v>4</v>
      </c>
      <c r="B158" s="116" t="s">
        <v>116</v>
      </c>
      <c r="C158" s="113">
        <v>0</v>
      </c>
      <c r="D158" s="113">
        <v>0</v>
      </c>
      <c r="E158" s="113">
        <f t="shared" si="22"/>
        <v>0</v>
      </c>
      <c r="F158" s="114">
        <f t="shared" si="23"/>
        <v>0</v>
      </c>
    </row>
    <row r="159" spans="1:6" x14ac:dyDescent="0.2">
      <c r="A159" s="115">
        <v>5</v>
      </c>
      <c r="B159" s="116" t="s">
        <v>117</v>
      </c>
      <c r="C159" s="113">
        <v>11958</v>
      </c>
      <c r="D159" s="113">
        <v>11154</v>
      </c>
      <c r="E159" s="113">
        <f t="shared" si="22"/>
        <v>-804</v>
      </c>
      <c r="F159" s="114">
        <f t="shared" si="23"/>
        <v>-6.7235323632714505E-2</v>
      </c>
    </row>
    <row r="160" spans="1:6" x14ac:dyDescent="0.2">
      <c r="A160" s="115">
        <v>6</v>
      </c>
      <c r="B160" s="116" t="s">
        <v>118</v>
      </c>
      <c r="C160" s="113">
        <v>186302</v>
      </c>
      <c r="D160" s="113">
        <v>196792</v>
      </c>
      <c r="E160" s="113">
        <f t="shared" si="22"/>
        <v>10490</v>
      </c>
      <c r="F160" s="114">
        <f t="shared" si="23"/>
        <v>5.6306427198849179E-2</v>
      </c>
    </row>
    <row r="161" spans="1:6" x14ac:dyDescent="0.2">
      <c r="A161" s="115">
        <v>7</v>
      </c>
      <c r="B161" s="116" t="s">
        <v>119</v>
      </c>
      <c r="C161" s="113">
        <v>1799157</v>
      </c>
      <c r="D161" s="113">
        <v>2030428</v>
      </c>
      <c r="E161" s="113">
        <f t="shared" si="22"/>
        <v>231271</v>
      </c>
      <c r="F161" s="114">
        <f t="shared" si="23"/>
        <v>0.12854409037121273</v>
      </c>
    </row>
    <row r="162" spans="1:6" x14ac:dyDescent="0.2">
      <c r="A162" s="115">
        <v>8</v>
      </c>
      <c r="B162" s="116" t="s">
        <v>120</v>
      </c>
      <c r="C162" s="113">
        <v>8616</v>
      </c>
      <c r="D162" s="113">
        <v>10955</v>
      </c>
      <c r="E162" s="113">
        <f t="shared" si="22"/>
        <v>2339</v>
      </c>
      <c r="F162" s="114">
        <f t="shared" si="23"/>
        <v>0.27147168059424326</v>
      </c>
    </row>
    <row r="163" spans="1:6" x14ac:dyDescent="0.2">
      <c r="A163" s="115">
        <v>9</v>
      </c>
      <c r="B163" s="116" t="s">
        <v>121</v>
      </c>
      <c r="C163" s="113">
        <v>39257</v>
      </c>
      <c r="D163" s="113">
        <v>29087</v>
      </c>
      <c r="E163" s="113">
        <f t="shared" si="22"/>
        <v>-10170</v>
      </c>
      <c r="F163" s="114">
        <f t="shared" si="23"/>
        <v>-0.25906207810072091</v>
      </c>
    </row>
    <row r="164" spans="1:6" x14ac:dyDescent="0.2">
      <c r="A164" s="115">
        <v>10</v>
      </c>
      <c r="B164" s="116" t="s">
        <v>122</v>
      </c>
      <c r="C164" s="113">
        <v>0</v>
      </c>
      <c r="D164" s="113">
        <v>0</v>
      </c>
      <c r="E164" s="113">
        <f t="shared" si="22"/>
        <v>0</v>
      </c>
      <c r="F164" s="114">
        <f t="shared" si="23"/>
        <v>0</v>
      </c>
    </row>
    <row r="165" spans="1:6" x14ac:dyDescent="0.2">
      <c r="A165" s="115">
        <v>11</v>
      </c>
      <c r="B165" s="116" t="s">
        <v>123</v>
      </c>
      <c r="C165" s="113">
        <v>176222</v>
      </c>
      <c r="D165" s="113">
        <v>232039</v>
      </c>
      <c r="E165" s="113">
        <f t="shared" si="22"/>
        <v>55817</v>
      </c>
      <c r="F165" s="114">
        <f t="shared" si="23"/>
        <v>0.31674251796030006</v>
      </c>
    </row>
    <row r="166" spans="1:6" ht="33.75" customHeight="1" x14ac:dyDescent="0.25">
      <c r="A166" s="117"/>
      <c r="B166" s="118" t="s">
        <v>148</v>
      </c>
      <c r="C166" s="119">
        <f>SUM(C155:C165)</f>
        <v>3484585</v>
      </c>
      <c r="D166" s="119">
        <f>SUM(D155:D165)</f>
        <v>3897335</v>
      </c>
      <c r="E166" s="119">
        <f t="shared" si="22"/>
        <v>412750</v>
      </c>
      <c r="F166" s="120">
        <f t="shared" si="23"/>
        <v>0.1184502602175008</v>
      </c>
    </row>
    <row r="167" spans="1:6" ht="31.5" x14ac:dyDescent="0.25">
      <c r="A167" s="110" t="s">
        <v>36</v>
      </c>
      <c r="B167" s="111" t="s">
        <v>149</v>
      </c>
      <c r="C167" s="113"/>
      <c r="D167" s="113"/>
      <c r="E167" s="113"/>
      <c r="F167" s="114"/>
    </row>
    <row r="168" spans="1:6" x14ac:dyDescent="0.2">
      <c r="A168" s="115">
        <v>1</v>
      </c>
      <c r="B168" s="116" t="s">
        <v>113</v>
      </c>
      <c r="C168" s="133">
        <v>3233</v>
      </c>
      <c r="D168" s="133">
        <v>3045</v>
      </c>
      <c r="E168" s="133">
        <f t="shared" ref="E168:E179" si="24">D168-C168</f>
        <v>-188</v>
      </c>
      <c r="F168" s="114">
        <f t="shared" ref="F168:F179" si="25">IF(C168=0,0,E168/C168)</f>
        <v>-5.8150324775750079E-2</v>
      </c>
    </row>
    <row r="169" spans="1:6" x14ac:dyDescent="0.2">
      <c r="A169" s="115">
        <v>2</v>
      </c>
      <c r="B169" s="116" t="s">
        <v>114</v>
      </c>
      <c r="C169" s="133">
        <v>228</v>
      </c>
      <c r="D169" s="133">
        <v>272</v>
      </c>
      <c r="E169" s="133">
        <f t="shared" si="24"/>
        <v>44</v>
      </c>
      <c r="F169" s="114">
        <f t="shared" si="25"/>
        <v>0.19298245614035087</v>
      </c>
    </row>
    <row r="170" spans="1:6" x14ac:dyDescent="0.2">
      <c r="A170" s="115">
        <v>3</v>
      </c>
      <c r="B170" s="116" t="s">
        <v>115</v>
      </c>
      <c r="C170" s="133">
        <v>1240</v>
      </c>
      <c r="D170" s="133">
        <v>1240</v>
      </c>
      <c r="E170" s="133">
        <f t="shared" si="24"/>
        <v>0</v>
      </c>
      <c r="F170" s="114">
        <f t="shared" si="25"/>
        <v>0</v>
      </c>
    </row>
    <row r="171" spans="1:6" x14ac:dyDescent="0.2">
      <c r="A171" s="115">
        <v>4</v>
      </c>
      <c r="B171" s="116" t="s">
        <v>116</v>
      </c>
      <c r="C171" s="133">
        <v>0</v>
      </c>
      <c r="D171" s="133">
        <v>0</v>
      </c>
      <c r="E171" s="133">
        <f t="shared" si="24"/>
        <v>0</v>
      </c>
      <c r="F171" s="114">
        <f t="shared" si="25"/>
        <v>0</v>
      </c>
    </row>
    <row r="172" spans="1:6" x14ac:dyDescent="0.2">
      <c r="A172" s="115">
        <v>5</v>
      </c>
      <c r="B172" s="116" t="s">
        <v>117</v>
      </c>
      <c r="C172" s="133">
        <v>76</v>
      </c>
      <c r="D172" s="133">
        <v>58</v>
      </c>
      <c r="E172" s="133">
        <f t="shared" si="24"/>
        <v>-18</v>
      </c>
      <c r="F172" s="114">
        <f t="shared" si="25"/>
        <v>-0.23684210526315788</v>
      </c>
    </row>
    <row r="173" spans="1:6" x14ac:dyDescent="0.2">
      <c r="A173" s="115">
        <v>6</v>
      </c>
      <c r="B173" s="116" t="s">
        <v>118</v>
      </c>
      <c r="C173" s="133">
        <v>696</v>
      </c>
      <c r="D173" s="133">
        <v>583</v>
      </c>
      <c r="E173" s="133">
        <f t="shared" si="24"/>
        <v>-113</v>
      </c>
      <c r="F173" s="114">
        <f t="shared" si="25"/>
        <v>-0.16235632183908047</v>
      </c>
    </row>
    <row r="174" spans="1:6" x14ac:dyDescent="0.2">
      <c r="A174" s="115">
        <v>7</v>
      </c>
      <c r="B174" s="116" t="s">
        <v>119</v>
      </c>
      <c r="C174" s="133">
        <v>6092</v>
      </c>
      <c r="D174" s="133">
        <v>5912</v>
      </c>
      <c r="E174" s="133">
        <f t="shared" si="24"/>
        <v>-180</v>
      </c>
      <c r="F174" s="114">
        <f t="shared" si="25"/>
        <v>-2.9546946815495731E-2</v>
      </c>
    </row>
    <row r="175" spans="1:6" x14ac:dyDescent="0.2">
      <c r="A175" s="115">
        <v>8</v>
      </c>
      <c r="B175" s="116" t="s">
        <v>120</v>
      </c>
      <c r="C175" s="133">
        <v>522</v>
      </c>
      <c r="D175" s="133">
        <v>423</v>
      </c>
      <c r="E175" s="133">
        <f t="shared" si="24"/>
        <v>-99</v>
      </c>
      <c r="F175" s="114">
        <f t="shared" si="25"/>
        <v>-0.18965517241379309</v>
      </c>
    </row>
    <row r="176" spans="1:6" x14ac:dyDescent="0.2">
      <c r="A176" s="115">
        <v>9</v>
      </c>
      <c r="B176" s="116" t="s">
        <v>121</v>
      </c>
      <c r="C176" s="133">
        <v>1664</v>
      </c>
      <c r="D176" s="133">
        <v>1337</v>
      </c>
      <c r="E176" s="133">
        <f t="shared" si="24"/>
        <v>-327</v>
      </c>
      <c r="F176" s="114">
        <f t="shared" si="25"/>
        <v>-0.19651442307692307</v>
      </c>
    </row>
    <row r="177" spans="1:6" x14ac:dyDescent="0.2">
      <c r="A177" s="115">
        <v>10</v>
      </c>
      <c r="B177" s="116" t="s">
        <v>122</v>
      </c>
      <c r="C177" s="133">
        <v>0</v>
      </c>
      <c r="D177" s="133">
        <v>0</v>
      </c>
      <c r="E177" s="133">
        <f t="shared" si="24"/>
        <v>0</v>
      </c>
      <c r="F177" s="114">
        <f t="shared" si="25"/>
        <v>0</v>
      </c>
    </row>
    <row r="178" spans="1:6" x14ac:dyDescent="0.2">
      <c r="A178" s="115">
        <v>11</v>
      </c>
      <c r="B178" s="116" t="s">
        <v>123</v>
      </c>
      <c r="C178" s="133">
        <v>1995</v>
      </c>
      <c r="D178" s="133">
        <v>1955</v>
      </c>
      <c r="E178" s="133">
        <f t="shared" si="24"/>
        <v>-40</v>
      </c>
      <c r="F178" s="114">
        <f t="shared" si="25"/>
        <v>-2.0050125313283207E-2</v>
      </c>
    </row>
    <row r="179" spans="1:6" ht="33.75" customHeight="1" x14ac:dyDescent="0.25">
      <c r="A179" s="117"/>
      <c r="B179" s="118" t="s">
        <v>150</v>
      </c>
      <c r="C179" s="134">
        <f>SUM(C168:C178)</f>
        <v>15746</v>
      </c>
      <c r="D179" s="134">
        <f>SUM(D168:D178)</f>
        <v>14825</v>
      </c>
      <c r="E179" s="134">
        <f t="shared" si="24"/>
        <v>-921</v>
      </c>
      <c r="F179" s="120">
        <f t="shared" si="25"/>
        <v>-5.8491045344849488E-2</v>
      </c>
    </row>
  </sheetData>
  <mergeCells count="23">
    <mergeCell ref="A2:F2"/>
    <mergeCell ref="A3:F3"/>
    <mergeCell ref="A4:F4"/>
    <mergeCell ref="A5:F5"/>
    <mergeCell ref="C9:F9"/>
    <mergeCell ref="A10:A11"/>
    <mergeCell ref="B10:B11"/>
    <mergeCell ref="C10:F11"/>
    <mergeCell ref="A39:A40"/>
    <mergeCell ref="B39:B40"/>
    <mergeCell ref="C39:F40"/>
    <mergeCell ref="A53:A54"/>
    <mergeCell ref="B53:B54"/>
    <mergeCell ref="C53:F54"/>
    <mergeCell ref="A138:A139"/>
    <mergeCell ref="B138:B139"/>
    <mergeCell ref="C138:F139"/>
    <mergeCell ref="A82:A83"/>
    <mergeCell ref="B82:B83"/>
    <mergeCell ref="C82:F83"/>
    <mergeCell ref="A96:A97"/>
    <mergeCell ref="B96:B97"/>
    <mergeCell ref="C96:F97"/>
  </mergeCells>
  <pageMargins left="0.25" right="0.25" top="0.5" bottom="0.5" header="0.25" footer="0.25"/>
  <pageSetup paperSize="9" scale="73" fitToHeight="0" orientation="portrait" horizontalDpi="1200" verticalDpi="1200" r:id="rId1"/>
  <headerFooter>
    <oddHeader>&amp;LOFFICE OF HEALTH CARE ACCESS&amp;CTWELVE MONTHS ACTUAL FILING&amp;RESSENT-SHARON HOSPITAL</oddHeader>
    <oddFooter>&amp;LREPORT 165&amp;C&amp;P of &amp;N&amp;R&amp;D,&amp;T</oddFooter>
  </headerFooter>
  <rowBreaks count="3" manualBreakCount="3">
    <brk id="58" max="5" man="1"/>
    <brk id="107" max="5" man="1"/>
    <brk id="155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1"/>
  <sheetViews>
    <sheetView topLeftCell="B1" zoomScale="75" workbookViewId="0">
      <selection activeCell="F18" sqref="F18"/>
    </sheetView>
  </sheetViews>
  <sheetFormatPr defaultRowHeight="15" customHeight="1" x14ac:dyDescent="0.2"/>
  <cols>
    <col min="1" max="1" width="8.85546875" style="137" bestFit="1" customWidth="1"/>
    <col min="2" max="2" width="54.85546875" style="137" customWidth="1"/>
    <col min="3" max="3" width="18.28515625" style="172" customWidth="1"/>
    <col min="4" max="4" width="18.140625" style="137" customWidth="1"/>
    <col min="5" max="5" width="19" style="137" bestFit="1" customWidth="1"/>
    <col min="6" max="6" width="17.42578125" style="137" customWidth="1"/>
    <col min="7" max="7" width="101.7109375" style="137" customWidth="1"/>
    <col min="8" max="16384" width="9.140625" style="137"/>
  </cols>
  <sheetData>
    <row r="1" spans="1:6" ht="18" customHeight="1" x14ac:dyDescent="0.25">
      <c r="A1" s="783"/>
      <c r="B1" s="784"/>
      <c r="C1" s="784"/>
      <c r="D1" s="784"/>
      <c r="E1" s="784"/>
      <c r="F1" s="785"/>
    </row>
    <row r="2" spans="1:6" ht="15.75" customHeight="1" x14ac:dyDescent="0.25">
      <c r="A2" s="783" t="s">
        <v>0</v>
      </c>
      <c r="B2" s="784"/>
      <c r="C2" s="784"/>
      <c r="D2" s="784"/>
      <c r="E2" s="784"/>
      <c r="F2" s="785"/>
    </row>
    <row r="3" spans="1:6" ht="15.75" customHeight="1" x14ac:dyDescent="0.25">
      <c r="A3" s="783" t="s">
        <v>1</v>
      </c>
      <c r="B3" s="784"/>
      <c r="C3" s="784"/>
      <c r="D3" s="784"/>
      <c r="E3" s="784"/>
      <c r="F3" s="785"/>
    </row>
    <row r="4" spans="1:6" ht="15.75" customHeight="1" x14ac:dyDescent="0.25">
      <c r="A4" s="783" t="s">
        <v>2</v>
      </c>
      <c r="B4" s="784"/>
      <c r="C4" s="784"/>
      <c r="D4" s="784"/>
      <c r="E4" s="784"/>
      <c r="F4" s="785"/>
    </row>
    <row r="5" spans="1:6" ht="15.75" customHeight="1" x14ac:dyDescent="0.25">
      <c r="A5" s="783" t="s">
        <v>151</v>
      </c>
      <c r="B5" s="784"/>
      <c r="C5" s="784"/>
      <c r="D5" s="784"/>
      <c r="E5" s="784"/>
      <c r="F5" s="785"/>
    </row>
    <row r="6" spans="1:6" ht="15.75" customHeight="1" x14ac:dyDescent="0.25">
      <c r="A6" s="783"/>
      <c r="B6" s="784"/>
      <c r="C6" s="784"/>
      <c r="D6" s="784"/>
      <c r="E6" s="784"/>
      <c r="F6" s="785"/>
    </row>
    <row r="7" spans="1:6" ht="15" customHeight="1" x14ac:dyDescent="0.25">
      <c r="A7" s="783"/>
      <c r="B7" s="784"/>
      <c r="C7" s="784"/>
      <c r="D7" s="784"/>
      <c r="E7" s="784"/>
      <c r="F7" s="785"/>
    </row>
    <row r="8" spans="1:6" ht="15.75" customHeight="1" x14ac:dyDescent="0.25">
      <c r="A8" s="138">
        <v>-1</v>
      </c>
      <c r="B8" s="138">
        <v>-2</v>
      </c>
      <c r="C8" s="138">
        <v>-3</v>
      </c>
      <c r="D8" s="138">
        <v>-4</v>
      </c>
      <c r="E8" s="138">
        <v>-5</v>
      </c>
      <c r="F8" s="138">
        <v>-6</v>
      </c>
    </row>
    <row r="9" spans="1:6" ht="15.75" customHeight="1" x14ac:dyDescent="0.25">
      <c r="A9" s="139"/>
      <c r="B9" s="140"/>
      <c r="C9" s="139" t="s">
        <v>4</v>
      </c>
      <c r="D9" s="139" t="s">
        <v>5</v>
      </c>
      <c r="E9" s="141" t="s">
        <v>6</v>
      </c>
      <c r="F9" s="142" t="s">
        <v>152</v>
      </c>
    </row>
    <row r="10" spans="1:6" ht="15.75" customHeight="1" x14ac:dyDescent="0.25">
      <c r="A10" s="143" t="s">
        <v>153</v>
      </c>
      <c r="B10" s="144" t="s">
        <v>9</v>
      </c>
      <c r="C10" s="145" t="s">
        <v>10</v>
      </c>
      <c r="D10" s="145" t="s">
        <v>10</v>
      </c>
      <c r="E10" s="146" t="s">
        <v>11</v>
      </c>
      <c r="F10" s="145" t="s">
        <v>11</v>
      </c>
    </row>
    <row r="11" spans="1:6" ht="15.75" customHeight="1" x14ac:dyDescent="0.25">
      <c r="A11" s="147"/>
      <c r="B11" s="148"/>
      <c r="C11" s="149"/>
      <c r="D11" s="149"/>
      <c r="E11" s="150"/>
      <c r="F11" s="151"/>
    </row>
    <row r="12" spans="1:6" ht="15.75" customHeight="1" x14ac:dyDescent="0.25">
      <c r="A12" s="152" t="s">
        <v>12</v>
      </c>
      <c r="B12" s="153" t="s">
        <v>154</v>
      </c>
      <c r="C12" s="154"/>
      <c r="D12" s="154"/>
      <c r="E12" s="154"/>
      <c r="F12" s="154"/>
    </row>
    <row r="13" spans="1:6" ht="15.75" customHeight="1" x14ac:dyDescent="0.25">
      <c r="A13" s="147"/>
      <c r="B13" s="148"/>
      <c r="C13" s="149"/>
      <c r="D13" s="149"/>
      <c r="E13" s="149"/>
      <c r="F13" s="149"/>
    </row>
    <row r="14" spans="1:6" ht="15.75" customHeight="1" x14ac:dyDescent="0.25">
      <c r="A14" s="155" t="s">
        <v>14</v>
      </c>
      <c r="B14" s="156" t="s">
        <v>155</v>
      </c>
      <c r="C14" s="157"/>
      <c r="D14" s="157"/>
      <c r="E14" s="158"/>
      <c r="F14" s="159"/>
    </row>
    <row r="15" spans="1:6" ht="15" customHeight="1" x14ac:dyDescent="0.2">
      <c r="A15" s="147">
        <v>1</v>
      </c>
      <c r="B15" s="160" t="s">
        <v>156</v>
      </c>
      <c r="C15" s="157">
        <v>6922138</v>
      </c>
      <c r="D15" s="157">
        <v>7183819</v>
      </c>
      <c r="E15" s="157">
        <f>+D15-C15</f>
        <v>261681</v>
      </c>
      <c r="F15" s="161">
        <f>IF(C15=0,0,E15/C15)</f>
        <v>3.7803493660484667E-2</v>
      </c>
    </row>
    <row r="16" spans="1:6" ht="15" customHeight="1" x14ac:dyDescent="0.2">
      <c r="A16" s="147">
        <v>2</v>
      </c>
      <c r="B16" s="160" t="s">
        <v>157</v>
      </c>
      <c r="C16" s="157">
        <v>0</v>
      </c>
      <c r="D16" s="157">
        <v>0</v>
      </c>
      <c r="E16" s="157">
        <f>+D16-C16</f>
        <v>0</v>
      </c>
      <c r="F16" s="161">
        <f>IF(C16=0,0,E16/C16)</f>
        <v>0</v>
      </c>
    </row>
    <row r="17" spans="1:6" ht="15" customHeight="1" x14ac:dyDescent="0.2">
      <c r="A17" s="147">
        <v>3</v>
      </c>
      <c r="B17" s="160" t="s">
        <v>158</v>
      </c>
      <c r="C17" s="157">
        <v>10327838</v>
      </c>
      <c r="D17" s="157">
        <v>9839922</v>
      </c>
      <c r="E17" s="157">
        <f>+D17-C17</f>
        <v>-487916</v>
      </c>
      <c r="F17" s="161">
        <f>IF(C17=0,0,E17/C17)</f>
        <v>-4.7242801445956065E-2</v>
      </c>
    </row>
    <row r="18" spans="1:6" ht="15.75" customHeight="1" x14ac:dyDescent="0.25">
      <c r="A18" s="147"/>
      <c r="B18" s="162" t="s">
        <v>159</v>
      </c>
      <c r="C18" s="158">
        <f>SUM(C15:C17)</f>
        <v>17249976</v>
      </c>
      <c r="D18" s="158">
        <f>SUM(D15:D17)</f>
        <v>17023741</v>
      </c>
      <c r="E18" s="158">
        <f>+D18-C18</f>
        <v>-226235</v>
      </c>
      <c r="F18" s="159">
        <f>IF(C18=0,0,E18/C18)</f>
        <v>-1.3115090710850845E-2</v>
      </c>
    </row>
    <row r="19" spans="1:6" ht="15.75" customHeight="1" x14ac:dyDescent="0.25">
      <c r="A19" s="147"/>
      <c r="B19" s="163"/>
      <c r="C19" s="157"/>
      <c r="D19" s="157"/>
      <c r="E19" s="158"/>
      <c r="F19" s="159"/>
    </row>
    <row r="20" spans="1:6" ht="15.75" customHeight="1" x14ac:dyDescent="0.25">
      <c r="A20" s="155" t="s">
        <v>26</v>
      </c>
      <c r="B20" s="156" t="s">
        <v>160</v>
      </c>
      <c r="C20" s="157"/>
      <c r="D20" s="157"/>
      <c r="E20" s="158"/>
      <c r="F20" s="159"/>
    </row>
    <row r="21" spans="1:6" ht="15" customHeight="1" x14ac:dyDescent="0.2">
      <c r="A21" s="147">
        <v>1</v>
      </c>
      <c r="B21" s="160" t="s">
        <v>161</v>
      </c>
      <c r="C21" s="157">
        <v>1697890</v>
      </c>
      <c r="D21" s="157">
        <v>1803117</v>
      </c>
      <c r="E21" s="157">
        <f>+D21-C21</f>
        <v>105227</v>
      </c>
      <c r="F21" s="161">
        <f>IF(C21=0,0,E21/C21)</f>
        <v>6.1975157401245075E-2</v>
      </c>
    </row>
    <row r="22" spans="1:6" ht="15" customHeight="1" x14ac:dyDescent="0.2">
      <c r="A22" s="147">
        <v>2</v>
      </c>
      <c r="B22" s="160" t="s">
        <v>162</v>
      </c>
      <c r="C22" s="157">
        <v>0</v>
      </c>
      <c r="D22" s="157">
        <v>0</v>
      </c>
      <c r="E22" s="157">
        <f>+D22-C22</f>
        <v>0</v>
      </c>
      <c r="F22" s="161">
        <f>IF(C22=0,0,E22/C22)</f>
        <v>0</v>
      </c>
    </row>
    <row r="23" spans="1:6" ht="15" customHeight="1" x14ac:dyDescent="0.2">
      <c r="A23" s="147">
        <v>3</v>
      </c>
      <c r="B23" s="160" t="s">
        <v>163</v>
      </c>
      <c r="C23" s="157">
        <v>2533292</v>
      </c>
      <c r="D23" s="157">
        <v>2469797</v>
      </c>
      <c r="E23" s="157">
        <f>+D23-C23</f>
        <v>-63495</v>
      </c>
      <c r="F23" s="161">
        <f>IF(C23=0,0,E23/C23)</f>
        <v>-2.5064224732087734E-2</v>
      </c>
    </row>
    <row r="24" spans="1:6" ht="15.75" customHeight="1" x14ac:dyDescent="0.25">
      <c r="A24" s="147"/>
      <c r="B24" s="162" t="s">
        <v>164</v>
      </c>
      <c r="C24" s="158">
        <f>SUM(C21:C23)</f>
        <v>4231182</v>
      </c>
      <c r="D24" s="158">
        <f>SUM(D21:D23)</f>
        <v>4272914</v>
      </c>
      <c r="E24" s="158">
        <f>+D24-C24</f>
        <v>41732</v>
      </c>
      <c r="F24" s="159">
        <f>IF(C24=0,0,E24/C24)</f>
        <v>9.8629650059959603E-3</v>
      </c>
    </row>
    <row r="25" spans="1:6" ht="15.75" customHeight="1" x14ac:dyDescent="0.25">
      <c r="A25" s="147"/>
      <c r="B25" s="163"/>
      <c r="C25" s="157"/>
      <c r="D25" s="157"/>
      <c r="E25" s="158"/>
      <c r="F25" s="159"/>
    </row>
    <row r="26" spans="1:6" ht="15.75" customHeight="1" x14ac:dyDescent="0.25">
      <c r="A26" s="155" t="s">
        <v>36</v>
      </c>
      <c r="B26" s="156" t="s">
        <v>165</v>
      </c>
      <c r="C26" s="157"/>
      <c r="D26" s="157"/>
      <c r="E26" s="158"/>
      <c r="F26" s="159"/>
    </row>
    <row r="27" spans="1:6" ht="15" customHeight="1" x14ac:dyDescent="0.2">
      <c r="A27" s="147">
        <v>1</v>
      </c>
      <c r="B27" s="160" t="s">
        <v>166</v>
      </c>
      <c r="C27" s="157">
        <v>592835</v>
      </c>
      <c r="D27" s="157">
        <v>151423</v>
      </c>
      <c r="E27" s="157">
        <f>+D27-C27</f>
        <v>-441412</v>
      </c>
      <c r="F27" s="161">
        <f>IF(C27=0,0,E27/C27)</f>
        <v>-0.74457817099192858</v>
      </c>
    </row>
    <row r="28" spans="1:6" ht="15" customHeight="1" x14ac:dyDescent="0.2">
      <c r="A28" s="147">
        <v>2</v>
      </c>
      <c r="B28" s="160" t="s">
        <v>167</v>
      </c>
      <c r="C28" s="157">
        <v>1670355</v>
      </c>
      <c r="D28" s="157">
        <v>1992369</v>
      </c>
      <c r="E28" s="157">
        <f>+D28-C28</f>
        <v>322014</v>
      </c>
      <c r="F28" s="161">
        <f>IF(C28=0,0,E28/C28)</f>
        <v>0.19278177393428342</v>
      </c>
    </row>
    <row r="29" spans="1:6" ht="15" customHeight="1" x14ac:dyDescent="0.2">
      <c r="A29" s="147">
        <v>3</v>
      </c>
      <c r="B29" s="160" t="s">
        <v>168</v>
      </c>
      <c r="C29" s="157">
        <v>6051</v>
      </c>
      <c r="D29" s="157">
        <v>0</v>
      </c>
      <c r="E29" s="157">
        <f>+D29-C29</f>
        <v>-6051</v>
      </c>
      <c r="F29" s="161">
        <f>IF(C29=0,0,E29/C29)</f>
        <v>-1</v>
      </c>
    </row>
    <row r="30" spans="1:6" ht="15.75" customHeight="1" x14ac:dyDescent="0.25">
      <c r="A30" s="147"/>
      <c r="B30" s="162" t="s">
        <v>169</v>
      </c>
      <c r="C30" s="158">
        <f>SUM(C27:C29)</f>
        <v>2269241</v>
      </c>
      <c r="D30" s="158">
        <f>SUM(D27:D29)</f>
        <v>2143792</v>
      </c>
      <c r="E30" s="158">
        <f>+D30-C30</f>
        <v>-125449</v>
      </c>
      <c r="F30" s="159">
        <f>IF(C30=0,0,E30/C30)</f>
        <v>-5.5282360930372754E-2</v>
      </c>
    </row>
    <row r="31" spans="1:6" ht="15.75" customHeight="1" x14ac:dyDescent="0.25">
      <c r="A31" s="147"/>
      <c r="B31" s="163"/>
      <c r="C31" s="157"/>
      <c r="D31" s="157"/>
      <c r="E31" s="158"/>
      <c r="F31" s="159"/>
    </row>
    <row r="32" spans="1:6" ht="15.75" customHeight="1" x14ac:dyDescent="0.25">
      <c r="A32" s="155" t="s">
        <v>170</v>
      </c>
      <c r="B32" s="156" t="s">
        <v>171</v>
      </c>
      <c r="C32" s="157"/>
      <c r="D32" s="157"/>
      <c r="E32" s="158"/>
      <c r="F32" s="159"/>
    </row>
    <row r="33" spans="1:6" ht="15" customHeight="1" x14ac:dyDescent="0.2">
      <c r="A33" s="147">
        <v>1</v>
      </c>
      <c r="B33" s="160" t="s">
        <v>172</v>
      </c>
      <c r="C33" s="157">
        <v>4626181</v>
      </c>
      <c r="D33" s="157">
        <v>4524521</v>
      </c>
      <c r="E33" s="157">
        <f>+D33-C33</f>
        <v>-101660</v>
      </c>
      <c r="F33" s="161">
        <f>IF(C33=0,0,E33/C33)</f>
        <v>-2.1974929212670236E-2</v>
      </c>
    </row>
    <row r="34" spans="1:6" ht="15" customHeight="1" x14ac:dyDescent="0.2">
      <c r="A34" s="147">
        <v>2</v>
      </c>
      <c r="B34" s="160" t="s">
        <v>173</v>
      </c>
      <c r="C34" s="157">
        <v>2002255</v>
      </c>
      <c r="D34" s="157">
        <v>1468414</v>
      </c>
      <c r="E34" s="157">
        <f>+D34-C34</f>
        <v>-533841</v>
      </c>
      <c r="F34" s="161">
        <f>IF(C34=0,0,E34/C34)</f>
        <v>-0.26661988607844656</v>
      </c>
    </row>
    <row r="35" spans="1:6" ht="15.75" customHeight="1" x14ac:dyDescent="0.25">
      <c r="A35" s="147"/>
      <c r="B35" s="162" t="s">
        <v>174</v>
      </c>
      <c r="C35" s="158">
        <f>SUM(C33:C34)</f>
        <v>6628436</v>
      </c>
      <c r="D35" s="158">
        <f>SUM(D33:D34)</f>
        <v>5992935</v>
      </c>
      <c r="E35" s="158">
        <f>+D35-C35</f>
        <v>-635501</v>
      </c>
      <c r="F35" s="159">
        <f>IF(C35=0,0,E35/C35)</f>
        <v>-9.5874954514156882E-2</v>
      </c>
    </row>
    <row r="36" spans="1:6" ht="15.75" customHeight="1" x14ac:dyDescent="0.25">
      <c r="A36" s="147"/>
      <c r="B36" s="163"/>
      <c r="C36" s="157"/>
      <c r="D36" s="157"/>
      <c r="E36" s="158"/>
      <c r="F36" s="159"/>
    </row>
    <row r="37" spans="1:6" ht="15.75" customHeight="1" x14ac:dyDescent="0.25">
      <c r="A37" s="155" t="s">
        <v>175</v>
      </c>
      <c r="B37" s="156" t="s">
        <v>176</v>
      </c>
      <c r="C37" s="157"/>
      <c r="D37" s="157"/>
      <c r="E37" s="158"/>
      <c r="F37" s="159"/>
    </row>
    <row r="38" spans="1:6" ht="15" customHeight="1" x14ac:dyDescent="0.2">
      <c r="A38" s="147">
        <v>1</v>
      </c>
      <c r="B38" s="160" t="s">
        <v>177</v>
      </c>
      <c r="C38" s="157">
        <v>1612648</v>
      </c>
      <c r="D38" s="157">
        <v>1481838</v>
      </c>
      <c r="E38" s="157">
        <f>+D38-C38</f>
        <v>-130810</v>
      </c>
      <c r="F38" s="161">
        <f>IF(C38=0,0,E38/C38)</f>
        <v>-8.1115035643240185E-2</v>
      </c>
    </row>
    <row r="39" spans="1:6" ht="15" customHeight="1" x14ac:dyDescent="0.2">
      <c r="A39" s="147">
        <v>2</v>
      </c>
      <c r="B39" s="160" t="s">
        <v>178</v>
      </c>
      <c r="C39" s="157">
        <v>1391493</v>
      </c>
      <c r="D39" s="157">
        <v>1082108</v>
      </c>
      <c r="E39" s="157">
        <f>+D39-C39</f>
        <v>-309385</v>
      </c>
      <c r="F39" s="161">
        <f>IF(C39=0,0,E39/C39)</f>
        <v>-0.22234032079212759</v>
      </c>
    </row>
    <row r="40" spans="1:6" ht="15" customHeight="1" x14ac:dyDescent="0.2">
      <c r="A40" s="147">
        <v>3</v>
      </c>
      <c r="B40" s="160" t="s">
        <v>179</v>
      </c>
      <c r="C40" s="157">
        <v>0</v>
      </c>
      <c r="D40" s="157">
        <v>0</v>
      </c>
      <c r="E40" s="157">
        <f>+D40-C40</f>
        <v>0</v>
      </c>
      <c r="F40" s="161">
        <f>IF(C40=0,0,E40/C40)</f>
        <v>0</v>
      </c>
    </row>
    <row r="41" spans="1:6" ht="15.75" customHeight="1" x14ac:dyDescent="0.25">
      <c r="A41" s="147"/>
      <c r="B41" s="162" t="s">
        <v>180</v>
      </c>
      <c r="C41" s="158">
        <f>SUM(C38:C40)</f>
        <v>3004141</v>
      </c>
      <c r="D41" s="158">
        <f>SUM(D38:D40)</f>
        <v>2563946</v>
      </c>
      <c r="E41" s="158">
        <f>+D41-C41</f>
        <v>-440195</v>
      </c>
      <c r="F41" s="159">
        <f>IF(C41=0,0,E41/C41)</f>
        <v>-0.1465294072415376</v>
      </c>
    </row>
    <row r="42" spans="1:6" ht="15.75" customHeight="1" x14ac:dyDescent="0.25">
      <c r="A42" s="147"/>
      <c r="B42" s="163"/>
      <c r="C42" s="157"/>
      <c r="D42" s="157"/>
      <c r="E42" s="158"/>
      <c r="F42" s="159"/>
    </row>
    <row r="43" spans="1:6" ht="15.75" customHeight="1" x14ac:dyDescent="0.25">
      <c r="A43" s="155" t="s">
        <v>181</v>
      </c>
      <c r="B43" s="156" t="s">
        <v>182</v>
      </c>
      <c r="C43" s="157"/>
      <c r="D43" s="157"/>
      <c r="E43" s="158"/>
      <c r="F43" s="159"/>
    </row>
    <row r="44" spans="1:6" ht="15" customHeight="1" x14ac:dyDescent="0.2">
      <c r="A44" s="147">
        <v>1</v>
      </c>
      <c r="B44" s="160" t="s">
        <v>87</v>
      </c>
      <c r="C44" s="157">
        <v>0</v>
      </c>
      <c r="D44" s="157">
        <v>0</v>
      </c>
      <c r="E44" s="157">
        <f>+D44-C44</f>
        <v>0</v>
      </c>
      <c r="F44" s="161">
        <f>IF(C44=0,0,E44/C44)</f>
        <v>0</v>
      </c>
    </row>
    <row r="45" spans="1:6" ht="15.75" customHeight="1" x14ac:dyDescent="0.25">
      <c r="A45" s="147"/>
      <c r="B45" s="163"/>
      <c r="C45" s="157"/>
      <c r="D45" s="157"/>
      <c r="E45" s="158"/>
      <c r="F45" s="159"/>
    </row>
    <row r="46" spans="1:6" ht="15.75" customHeight="1" x14ac:dyDescent="0.25">
      <c r="A46" s="155" t="s">
        <v>183</v>
      </c>
      <c r="B46" s="156" t="s">
        <v>184</v>
      </c>
      <c r="C46" s="157"/>
      <c r="D46" s="157"/>
      <c r="E46" s="158"/>
      <c r="F46" s="159"/>
    </row>
    <row r="47" spans="1:6" ht="15" customHeight="1" x14ac:dyDescent="0.2">
      <c r="A47" s="147">
        <v>1</v>
      </c>
      <c r="B47" s="160" t="s">
        <v>88</v>
      </c>
      <c r="C47" s="157">
        <v>0</v>
      </c>
      <c r="D47" s="157">
        <v>11263</v>
      </c>
      <c r="E47" s="157">
        <f>+D47-C47</f>
        <v>11263</v>
      </c>
      <c r="F47" s="161">
        <f>IF(C47=0,0,E47/C47)</f>
        <v>0</v>
      </c>
    </row>
    <row r="48" spans="1:6" ht="15.75" customHeight="1" x14ac:dyDescent="0.25">
      <c r="A48" s="147"/>
      <c r="B48" s="163"/>
      <c r="C48" s="157"/>
      <c r="D48" s="157"/>
      <c r="E48" s="158"/>
      <c r="F48" s="159"/>
    </row>
    <row r="49" spans="1:6" ht="15.75" customHeight="1" x14ac:dyDescent="0.25">
      <c r="A49" s="155" t="s">
        <v>185</v>
      </c>
      <c r="B49" s="156" t="s">
        <v>186</v>
      </c>
      <c r="C49" s="157"/>
      <c r="D49" s="157"/>
      <c r="E49" s="158"/>
      <c r="F49" s="159"/>
    </row>
    <row r="50" spans="1:6" ht="15" customHeight="1" x14ac:dyDescent="0.2">
      <c r="A50" s="147">
        <v>1</v>
      </c>
      <c r="B50" s="160" t="s">
        <v>89</v>
      </c>
      <c r="C50" s="157">
        <v>1146180</v>
      </c>
      <c r="D50" s="157">
        <v>1435298</v>
      </c>
      <c r="E50" s="157">
        <f>+D50-C50</f>
        <v>289118</v>
      </c>
      <c r="F50" s="161">
        <f>IF(C50=0,0,E50/C50)</f>
        <v>0.25224484810413722</v>
      </c>
    </row>
    <row r="51" spans="1:6" ht="15.75" customHeight="1" x14ac:dyDescent="0.25">
      <c r="A51" s="147"/>
      <c r="B51" s="163"/>
      <c r="C51" s="157"/>
      <c r="D51" s="157"/>
      <c r="E51" s="158"/>
      <c r="F51" s="159"/>
    </row>
    <row r="52" spans="1:6" ht="15.75" customHeight="1" x14ac:dyDescent="0.25">
      <c r="A52" s="155" t="s">
        <v>12</v>
      </c>
      <c r="B52" s="156" t="s">
        <v>187</v>
      </c>
      <c r="C52" s="157"/>
      <c r="D52" s="157"/>
      <c r="E52" s="158"/>
      <c r="F52" s="159"/>
    </row>
    <row r="53" spans="1:6" ht="15" customHeight="1" x14ac:dyDescent="0.2">
      <c r="A53" s="147">
        <v>1</v>
      </c>
      <c r="B53" s="160" t="s">
        <v>188</v>
      </c>
      <c r="C53" s="157">
        <v>110227</v>
      </c>
      <c r="D53" s="157">
        <v>82465</v>
      </c>
      <c r="E53" s="157">
        <f t="shared" ref="E53:E59" si="0">+D53-C53</f>
        <v>-27762</v>
      </c>
      <c r="F53" s="161">
        <f t="shared" ref="F53:F59" si="1">IF(C53=0,0,E53/C53)</f>
        <v>-0.25186206646284487</v>
      </c>
    </row>
    <row r="54" spans="1:6" ht="15" customHeight="1" x14ac:dyDescent="0.2">
      <c r="A54" s="147">
        <v>2</v>
      </c>
      <c r="B54" s="160" t="s">
        <v>189</v>
      </c>
      <c r="C54" s="157">
        <v>21393</v>
      </c>
      <c r="D54" s="157">
        <v>26200</v>
      </c>
      <c r="E54" s="157">
        <f t="shared" si="0"/>
        <v>4807</v>
      </c>
      <c r="F54" s="161">
        <f t="shared" si="1"/>
        <v>0.2246996681157388</v>
      </c>
    </row>
    <row r="55" spans="1:6" ht="15" customHeight="1" x14ac:dyDescent="0.2">
      <c r="A55" s="147">
        <v>3</v>
      </c>
      <c r="B55" s="160" t="s">
        <v>190</v>
      </c>
      <c r="C55" s="157">
        <v>683588</v>
      </c>
      <c r="D55" s="157">
        <v>741545</v>
      </c>
      <c r="E55" s="157">
        <f t="shared" si="0"/>
        <v>57957</v>
      </c>
      <c r="F55" s="161">
        <f t="shared" si="1"/>
        <v>8.4783524579132463E-2</v>
      </c>
    </row>
    <row r="56" spans="1:6" ht="15" customHeight="1" x14ac:dyDescent="0.2">
      <c r="A56" s="147">
        <v>4</v>
      </c>
      <c r="B56" s="160" t="s">
        <v>191</v>
      </c>
      <c r="C56" s="157">
        <v>696690</v>
      </c>
      <c r="D56" s="157">
        <v>692322</v>
      </c>
      <c r="E56" s="157">
        <f t="shared" si="0"/>
        <v>-4368</v>
      </c>
      <c r="F56" s="161">
        <f t="shared" si="1"/>
        <v>-6.2696464711708222E-3</v>
      </c>
    </row>
    <row r="57" spans="1:6" ht="15" customHeight="1" x14ac:dyDescent="0.2">
      <c r="A57" s="147">
        <v>5</v>
      </c>
      <c r="B57" s="160" t="s">
        <v>192</v>
      </c>
      <c r="C57" s="157">
        <v>72905</v>
      </c>
      <c r="D57" s="157">
        <v>110540</v>
      </c>
      <c r="E57" s="157">
        <f t="shared" si="0"/>
        <v>37635</v>
      </c>
      <c r="F57" s="161">
        <f t="shared" si="1"/>
        <v>0.51621973801522525</v>
      </c>
    </row>
    <row r="58" spans="1:6" ht="15" customHeight="1" x14ac:dyDescent="0.2">
      <c r="A58" s="147">
        <v>6</v>
      </c>
      <c r="B58" s="160" t="s">
        <v>193</v>
      </c>
      <c r="C58" s="157">
        <v>51568</v>
      </c>
      <c r="D58" s="157">
        <v>124996</v>
      </c>
      <c r="E58" s="157">
        <f t="shared" si="0"/>
        <v>73428</v>
      </c>
      <c r="F58" s="161">
        <f t="shared" si="1"/>
        <v>1.4239062984796773</v>
      </c>
    </row>
    <row r="59" spans="1:6" ht="15.75" customHeight="1" x14ac:dyDescent="0.25">
      <c r="A59" s="147"/>
      <c r="B59" s="162" t="s">
        <v>194</v>
      </c>
      <c r="C59" s="158">
        <f>SUM(C53:C58)</f>
        <v>1636371</v>
      </c>
      <c r="D59" s="158">
        <f>SUM(D53:D58)</f>
        <v>1778068</v>
      </c>
      <c r="E59" s="158">
        <f t="shared" si="0"/>
        <v>141697</v>
      </c>
      <c r="F59" s="159">
        <f t="shared" si="1"/>
        <v>8.6592221446114601E-2</v>
      </c>
    </row>
    <row r="60" spans="1:6" ht="15.75" customHeight="1" x14ac:dyDescent="0.25">
      <c r="A60" s="147"/>
      <c r="B60" s="163"/>
      <c r="C60" s="157"/>
      <c r="D60" s="157"/>
      <c r="E60" s="158"/>
      <c r="F60" s="159"/>
    </row>
    <row r="61" spans="1:6" ht="15.75" customHeight="1" x14ac:dyDescent="0.25">
      <c r="A61" s="155" t="s">
        <v>195</v>
      </c>
      <c r="B61" s="156" t="s">
        <v>196</v>
      </c>
      <c r="C61" s="157"/>
      <c r="D61" s="157"/>
      <c r="E61" s="158"/>
      <c r="F61" s="159"/>
    </row>
    <row r="62" spans="1:6" ht="15" customHeight="1" x14ac:dyDescent="0.2">
      <c r="A62" s="147">
        <v>1</v>
      </c>
      <c r="B62" s="160" t="s">
        <v>197</v>
      </c>
      <c r="C62" s="157">
        <v>94619</v>
      </c>
      <c r="D62" s="157">
        <v>37900</v>
      </c>
      <c r="E62" s="157">
        <f t="shared" ref="E62:E90" si="2">+D62-C62</f>
        <v>-56719</v>
      </c>
      <c r="F62" s="161">
        <f t="shared" ref="F62:F90" si="3">IF(C62=0,0,E62/C62)</f>
        <v>-0.59944620002325111</v>
      </c>
    </row>
    <row r="63" spans="1:6" ht="15" customHeight="1" x14ac:dyDescent="0.2">
      <c r="A63" s="147">
        <v>2</v>
      </c>
      <c r="B63" s="160" t="s">
        <v>198</v>
      </c>
      <c r="C63" s="157">
        <v>41121</v>
      </c>
      <c r="D63" s="157">
        <v>75332</v>
      </c>
      <c r="E63" s="157">
        <f t="shared" si="2"/>
        <v>34211</v>
      </c>
      <c r="F63" s="161">
        <f t="shared" si="3"/>
        <v>0.83195933951022594</v>
      </c>
    </row>
    <row r="64" spans="1:6" ht="15" customHeight="1" x14ac:dyDescent="0.2">
      <c r="A64" s="147">
        <v>3</v>
      </c>
      <c r="B64" s="160" t="s">
        <v>199</v>
      </c>
      <c r="C64" s="157">
        <v>359516</v>
      </c>
      <c r="D64" s="157">
        <v>279790</v>
      </c>
      <c r="E64" s="157">
        <f t="shared" si="2"/>
        <v>-79726</v>
      </c>
      <c r="F64" s="161">
        <f t="shared" si="3"/>
        <v>-0.22175925410830116</v>
      </c>
    </row>
    <row r="65" spans="1:6" ht="15" customHeight="1" x14ac:dyDescent="0.2">
      <c r="A65" s="147">
        <v>4</v>
      </c>
      <c r="B65" s="160" t="s">
        <v>200</v>
      </c>
      <c r="C65" s="157">
        <v>0</v>
      </c>
      <c r="D65" s="157">
        <v>0</v>
      </c>
      <c r="E65" s="157">
        <f t="shared" si="2"/>
        <v>0</v>
      </c>
      <c r="F65" s="161">
        <f t="shared" si="3"/>
        <v>0</v>
      </c>
    </row>
    <row r="66" spans="1:6" ht="15" customHeight="1" x14ac:dyDescent="0.2">
      <c r="A66" s="147">
        <v>5</v>
      </c>
      <c r="B66" s="160" t="s">
        <v>201</v>
      </c>
      <c r="C66" s="157">
        <v>169458</v>
      </c>
      <c r="D66" s="157">
        <v>243205</v>
      </c>
      <c r="E66" s="157">
        <f t="shared" si="2"/>
        <v>73747</v>
      </c>
      <c r="F66" s="161">
        <f t="shared" si="3"/>
        <v>0.43519338125081142</v>
      </c>
    </row>
    <row r="67" spans="1:6" ht="15" customHeight="1" x14ac:dyDescent="0.2">
      <c r="A67" s="147">
        <v>6</v>
      </c>
      <c r="B67" s="160" t="s">
        <v>202</v>
      </c>
      <c r="C67" s="157">
        <v>91850</v>
      </c>
      <c r="D67" s="157">
        <v>91983</v>
      </c>
      <c r="E67" s="157">
        <f t="shared" si="2"/>
        <v>133</v>
      </c>
      <c r="F67" s="161">
        <f t="shared" si="3"/>
        <v>1.4480130647795319E-3</v>
      </c>
    </row>
    <row r="68" spans="1:6" ht="15" customHeight="1" x14ac:dyDescent="0.2">
      <c r="A68" s="147">
        <v>7</v>
      </c>
      <c r="B68" s="160" t="s">
        <v>203</v>
      </c>
      <c r="C68" s="157">
        <v>1478859</v>
      </c>
      <c r="D68" s="157">
        <v>1563671</v>
      </c>
      <c r="E68" s="157">
        <f t="shared" si="2"/>
        <v>84812</v>
      </c>
      <c r="F68" s="161">
        <f t="shared" si="3"/>
        <v>5.734961886156828E-2</v>
      </c>
    </row>
    <row r="69" spans="1:6" ht="15" customHeight="1" x14ac:dyDescent="0.2">
      <c r="A69" s="147">
        <v>8</v>
      </c>
      <c r="B69" s="160" t="s">
        <v>204</v>
      </c>
      <c r="C69" s="157">
        <v>96993</v>
      </c>
      <c r="D69" s="157">
        <v>79959</v>
      </c>
      <c r="E69" s="157">
        <f t="shared" si="2"/>
        <v>-17034</v>
      </c>
      <c r="F69" s="161">
        <f t="shared" si="3"/>
        <v>-0.17562092109739877</v>
      </c>
    </row>
    <row r="70" spans="1:6" ht="15" customHeight="1" x14ac:dyDescent="0.2">
      <c r="A70" s="147">
        <v>9</v>
      </c>
      <c r="B70" s="160" t="s">
        <v>205</v>
      </c>
      <c r="C70" s="157">
        <v>95370</v>
      </c>
      <c r="D70" s="157">
        <v>41086</v>
      </c>
      <c r="E70" s="157">
        <f t="shared" si="2"/>
        <v>-54284</v>
      </c>
      <c r="F70" s="161">
        <f t="shared" si="3"/>
        <v>-0.56919366677152139</v>
      </c>
    </row>
    <row r="71" spans="1:6" ht="15" customHeight="1" x14ac:dyDescent="0.2">
      <c r="A71" s="147">
        <v>10</v>
      </c>
      <c r="B71" s="160" t="s">
        <v>206</v>
      </c>
      <c r="C71" s="157">
        <v>0</v>
      </c>
      <c r="D71" s="157">
        <v>0</v>
      </c>
      <c r="E71" s="157">
        <f t="shared" si="2"/>
        <v>0</v>
      </c>
      <c r="F71" s="161">
        <f t="shared" si="3"/>
        <v>0</v>
      </c>
    </row>
    <row r="72" spans="1:6" ht="15" customHeight="1" x14ac:dyDescent="0.2">
      <c r="A72" s="147">
        <v>11</v>
      </c>
      <c r="B72" s="160" t="s">
        <v>207</v>
      </c>
      <c r="C72" s="157">
        <v>298358</v>
      </c>
      <c r="D72" s="157">
        <v>299242</v>
      </c>
      <c r="E72" s="157">
        <f t="shared" si="2"/>
        <v>884</v>
      </c>
      <c r="F72" s="161">
        <f t="shared" si="3"/>
        <v>2.9628835157763491E-3</v>
      </c>
    </row>
    <row r="73" spans="1:6" ht="15" customHeight="1" x14ac:dyDescent="0.2">
      <c r="A73" s="147">
        <v>12</v>
      </c>
      <c r="B73" s="160" t="s">
        <v>208</v>
      </c>
      <c r="C73" s="157">
        <v>251146</v>
      </c>
      <c r="D73" s="157">
        <v>264350</v>
      </c>
      <c r="E73" s="157">
        <f t="shared" si="2"/>
        <v>13204</v>
      </c>
      <c r="F73" s="161">
        <f t="shared" si="3"/>
        <v>5.2574996217339715E-2</v>
      </c>
    </row>
    <row r="74" spans="1:6" ht="15" customHeight="1" x14ac:dyDescent="0.2">
      <c r="A74" s="147">
        <v>13</v>
      </c>
      <c r="B74" s="160" t="s">
        <v>209</v>
      </c>
      <c r="C74" s="157">
        <v>71480</v>
      </c>
      <c r="D74" s="157">
        <v>59229</v>
      </c>
      <c r="E74" s="157">
        <f t="shared" si="2"/>
        <v>-12251</v>
      </c>
      <c r="F74" s="161">
        <f t="shared" si="3"/>
        <v>-0.1713905987688864</v>
      </c>
    </row>
    <row r="75" spans="1:6" ht="15" customHeight="1" x14ac:dyDescent="0.2">
      <c r="A75" s="147">
        <v>14</v>
      </c>
      <c r="B75" s="160" t="s">
        <v>210</v>
      </c>
      <c r="C75" s="157">
        <v>62690</v>
      </c>
      <c r="D75" s="157">
        <v>63808</v>
      </c>
      <c r="E75" s="157">
        <f t="shared" si="2"/>
        <v>1118</v>
      </c>
      <c r="F75" s="161">
        <f t="shared" si="3"/>
        <v>1.7833785292710159E-2</v>
      </c>
    </row>
    <row r="76" spans="1:6" ht="15" customHeight="1" x14ac:dyDescent="0.2">
      <c r="A76" s="147">
        <v>15</v>
      </c>
      <c r="B76" s="160" t="s">
        <v>211</v>
      </c>
      <c r="C76" s="157">
        <v>605949</v>
      </c>
      <c r="D76" s="157">
        <v>593314</v>
      </c>
      <c r="E76" s="157">
        <f t="shared" si="2"/>
        <v>-12635</v>
      </c>
      <c r="F76" s="161">
        <f t="shared" si="3"/>
        <v>-2.0851589820265401E-2</v>
      </c>
    </row>
    <row r="77" spans="1:6" ht="15" customHeight="1" x14ac:dyDescent="0.2">
      <c r="A77" s="147">
        <v>16</v>
      </c>
      <c r="B77" s="160" t="s">
        <v>212</v>
      </c>
      <c r="C77" s="157">
        <v>0</v>
      </c>
      <c r="D77" s="157">
        <v>0</v>
      </c>
      <c r="E77" s="157">
        <f t="shared" si="2"/>
        <v>0</v>
      </c>
      <c r="F77" s="161">
        <f t="shared" si="3"/>
        <v>0</v>
      </c>
    </row>
    <row r="78" spans="1:6" ht="15" customHeight="1" x14ac:dyDescent="0.2">
      <c r="A78" s="147">
        <v>17</v>
      </c>
      <c r="B78" s="160" t="s">
        <v>213</v>
      </c>
      <c r="C78" s="157">
        <v>318774</v>
      </c>
      <c r="D78" s="157">
        <v>210935</v>
      </c>
      <c r="E78" s="157">
        <f t="shared" si="2"/>
        <v>-107839</v>
      </c>
      <c r="F78" s="161">
        <f t="shared" si="3"/>
        <v>-0.33829295990262692</v>
      </c>
    </row>
    <row r="79" spans="1:6" ht="15" customHeight="1" x14ac:dyDescent="0.2">
      <c r="A79" s="147">
        <v>18</v>
      </c>
      <c r="B79" s="160" t="s">
        <v>214</v>
      </c>
      <c r="C79" s="157">
        <v>0</v>
      </c>
      <c r="D79" s="157">
        <v>0</v>
      </c>
      <c r="E79" s="157">
        <f t="shared" si="2"/>
        <v>0</v>
      </c>
      <c r="F79" s="161">
        <f t="shared" si="3"/>
        <v>0</v>
      </c>
    </row>
    <row r="80" spans="1:6" ht="15" customHeight="1" x14ac:dyDescent="0.2">
      <c r="A80" s="147">
        <v>19</v>
      </c>
      <c r="B80" s="160" t="s">
        <v>215</v>
      </c>
      <c r="C80" s="157">
        <v>296991</v>
      </c>
      <c r="D80" s="157">
        <v>309414</v>
      </c>
      <c r="E80" s="157">
        <f t="shared" si="2"/>
        <v>12423</v>
      </c>
      <c r="F80" s="161">
        <f t="shared" si="3"/>
        <v>4.1829550390415873E-2</v>
      </c>
    </row>
    <row r="81" spans="1:6" ht="15" customHeight="1" x14ac:dyDescent="0.2">
      <c r="A81" s="147">
        <v>20</v>
      </c>
      <c r="B81" s="160" t="s">
        <v>216</v>
      </c>
      <c r="C81" s="157">
        <v>29123</v>
      </c>
      <c r="D81" s="157">
        <v>25699</v>
      </c>
      <c r="E81" s="157">
        <f t="shared" si="2"/>
        <v>-3424</v>
      </c>
      <c r="F81" s="161">
        <f t="shared" si="3"/>
        <v>-0.11757030525701335</v>
      </c>
    </row>
    <row r="82" spans="1:6" ht="15" customHeight="1" x14ac:dyDescent="0.2">
      <c r="A82" s="147">
        <v>21</v>
      </c>
      <c r="B82" s="160" t="s">
        <v>217</v>
      </c>
      <c r="C82" s="157">
        <v>132579</v>
      </c>
      <c r="D82" s="157">
        <v>360648</v>
      </c>
      <c r="E82" s="157">
        <f t="shared" si="2"/>
        <v>228069</v>
      </c>
      <c r="F82" s="161">
        <f t="shared" si="3"/>
        <v>1.7202498133188513</v>
      </c>
    </row>
    <row r="83" spans="1:6" ht="15" customHeight="1" x14ac:dyDescent="0.2">
      <c r="A83" s="147">
        <v>22</v>
      </c>
      <c r="B83" s="160" t="s">
        <v>218</v>
      </c>
      <c r="C83" s="157">
        <v>162597</v>
      </c>
      <c r="D83" s="157">
        <v>50329</v>
      </c>
      <c r="E83" s="157">
        <f t="shared" si="2"/>
        <v>-112268</v>
      </c>
      <c r="F83" s="161">
        <f t="shared" si="3"/>
        <v>-0.69046784381015636</v>
      </c>
    </row>
    <row r="84" spans="1:6" ht="15" customHeight="1" x14ac:dyDescent="0.2">
      <c r="A84" s="147">
        <v>23</v>
      </c>
      <c r="B84" s="160" t="s">
        <v>219</v>
      </c>
      <c r="C84" s="157">
        <v>224473</v>
      </c>
      <c r="D84" s="157">
        <v>214374</v>
      </c>
      <c r="E84" s="157">
        <f t="shared" si="2"/>
        <v>-10099</v>
      </c>
      <c r="F84" s="161">
        <f t="shared" si="3"/>
        <v>-4.4989820602032313E-2</v>
      </c>
    </row>
    <row r="85" spans="1:6" ht="15" customHeight="1" x14ac:dyDescent="0.2">
      <c r="A85" s="147">
        <v>24</v>
      </c>
      <c r="B85" s="160" t="s">
        <v>220</v>
      </c>
      <c r="C85" s="157">
        <v>0</v>
      </c>
      <c r="D85" s="157">
        <v>0</v>
      </c>
      <c r="E85" s="157">
        <f t="shared" si="2"/>
        <v>0</v>
      </c>
      <c r="F85" s="161">
        <f t="shared" si="3"/>
        <v>0</v>
      </c>
    </row>
    <row r="86" spans="1:6" ht="15" customHeight="1" x14ac:dyDescent="0.2">
      <c r="A86" s="147">
        <v>25</v>
      </c>
      <c r="B86" s="160" t="s">
        <v>221</v>
      </c>
      <c r="C86" s="157">
        <v>41156</v>
      </c>
      <c r="D86" s="157">
        <v>53224</v>
      </c>
      <c r="E86" s="157">
        <f t="shared" si="2"/>
        <v>12068</v>
      </c>
      <c r="F86" s="161">
        <f t="shared" si="3"/>
        <v>0.29322577509962094</v>
      </c>
    </row>
    <row r="87" spans="1:6" ht="15" customHeight="1" x14ac:dyDescent="0.2">
      <c r="A87" s="147">
        <v>26</v>
      </c>
      <c r="B87" s="160" t="s">
        <v>222</v>
      </c>
      <c r="C87" s="157">
        <v>3148339</v>
      </c>
      <c r="D87" s="157">
        <v>3916437</v>
      </c>
      <c r="E87" s="157">
        <f t="shared" si="2"/>
        <v>768098</v>
      </c>
      <c r="F87" s="161">
        <f t="shared" si="3"/>
        <v>0.24396928030939488</v>
      </c>
    </row>
    <row r="88" spans="1:6" ht="15" customHeight="1" x14ac:dyDescent="0.2">
      <c r="A88" s="147">
        <v>27</v>
      </c>
      <c r="B88" s="160" t="s">
        <v>223</v>
      </c>
      <c r="C88" s="157">
        <v>1618242</v>
      </c>
      <c r="D88" s="157">
        <v>1572228</v>
      </c>
      <c r="E88" s="157">
        <f t="shared" si="2"/>
        <v>-46014</v>
      </c>
      <c r="F88" s="161">
        <f t="shared" si="3"/>
        <v>-2.8434560467470255E-2</v>
      </c>
    </row>
    <row r="89" spans="1:6" ht="15" customHeight="1" x14ac:dyDescent="0.2">
      <c r="A89" s="147">
        <v>28</v>
      </c>
      <c r="B89" s="160" t="s">
        <v>224</v>
      </c>
      <c r="C89" s="157">
        <v>4861686</v>
      </c>
      <c r="D89" s="157">
        <v>3191515</v>
      </c>
      <c r="E89" s="157">
        <f t="shared" si="2"/>
        <v>-1670171</v>
      </c>
      <c r="F89" s="161">
        <f t="shared" si="3"/>
        <v>-0.34353740657047782</v>
      </c>
    </row>
    <row r="90" spans="1:6" ht="15.75" customHeight="1" x14ac:dyDescent="0.25">
      <c r="A90" s="147"/>
      <c r="B90" s="162" t="s">
        <v>225</v>
      </c>
      <c r="C90" s="158">
        <f>SUM(C62:C89)</f>
        <v>14551369</v>
      </c>
      <c r="D90" s="158">
        <f>SUM(D62:D89)</f>
        <v>13597672</v>
      </c>
      <c r="E90" s="158">
        <f t="shared" si="2"/>
        <v>-953697</v>
      </c>
      <c r="F90" s="159">
        <f t="shared" si="3"/>
        <v>-6.5540018949419812E-2</v>
      </c>
    </row>
    <row r="91" spans="1:6" ht="15.75" customHeight="1" x14ac:dyDescent="0.25">
      <c r="A91" s="147"/>
      <c r="B91" s="163"/>
      <c r="C91" s="157"/>
      <c r="D91" s="157"/>
      <c r="E91" s="158"/>
      <c r="F91" s="159"/>
    </row>
    <row r="92" spans="1:6" ht="15.75" customHeight="1" x14ac:dyDescent="0.25">
      <c r="A92" s="155" t="s">
        <v>226</v>
      </c>
      <c r="B92" s="156" t="s">
        <v>227</v>
      </c>
      <c r="C92" s="157"/>
      <c r="D92" s="157"/>
      <c r="E92" s="158"/>
      <c r="F92" s="159"/>
    </row>
    <row r="93" spans="1:6" ht="15" customHeight="1" x14ac:dyDescent="0.2">
      <c r="A93" s="147">
        <v>1</v>
      </c>
      <c r="B93" s="160" t="s">
        <v>228</v>
      </c>
      <c r="C93" s="157">
        <v>-1315411</v>
      </c>
      <c r="D93" s="157">
        <v>-583581</v>
      </c>
      <c r="E93" s="157">
        <f>+D93-C93</f>
        <v>731830</v>
      </c>
      <c r="F93" s="161">
        <f>IF(C93=0,0,E93/C93)</f>
        <v>-0.55635082875238229</v>
      </c>
    </row>
    <row r="94" spans="1:6" ht="15.75" customHeight="1" x14ac:dyDescent="0.25">
      <c r="A94" s="147"/>
      <c r="B94" s="163"/>
      <c r="C94" s="157"/>
      <c r="D94" s="157"/>
      <c r="E94" s="158"/>
      <c r="F94" s="159"/>
    </row>
    <row r="95" spans="1:6" ht="15.75" customHeight="1" x14ac:dyDescent="0.25">
      <c r="A95" s="164"/>
      <c r="B95" s="165" t="s">
        <v>229</v>
      </c>
      <c r="C95" s="158">
        <f>+C93+C90+C59+C50+C47+C44+C41+C35+C30+C24+C18</f>
        <v>49401485</v>
      </c>
      <c r="D95" s="158">
        <f>+D93+D90+D59+D50+D47+D44+D41+D35+D30+D24+D18</f>
        <v>48236048</v>
      </c>
      <c r="E95" s="158">
        <f>+D95-C95</f>
        <v>-1165437</v>
      </c>
      <c r="F95" s="159">
        <f>IF(C95=0,0,E95/C95)</f>
        <v>-2.3591132938615103E-2</v>
      </c>
    </row>
    <row r="96" spans="1:6" ht="15.75" customHeight="1" x14ac:dyDescent="0.25">
      <c r="A96" s="164"/>
      <c r="B96" s="165"/>
      <c r="C96" s="157"/>
      <c r="D96" s="157"/>
      <c r="E96" s="157"/>
      <c r="F96" s="166"/>
    </row>
    <row r="97" spans="1:6" ht="15.75" customHeight="1" x14ac:dyDescent="0.25">
      <c r="A97" s="164"/>
      <c r="B97" s="167" t="s">
        <v>230</v>
      </c>
      <c r="C97" s="157"/>
      <c r="D97" s="157"/>
      <c r="E97" s="157"/>
      <c r="F97" s="166"/>
    </row>
    <row r="98" spans="1:6" ht="15.75" customHeight="1" x14ac:dyDescent="0.25">
      <c r="A98" s="164"/>
      <c r="B98" s="167"/>
      <c r="C98" s="157"/>
      <c r="D98" s="157"/>
      <c r="E98" s="157"/>
      <c r="F98" s="166"/>
    </row>
    <row r="99" spans="1:6" ht="15.75" customHeight="1" x14ac:dyDescent="0.25">
      <c r="A99" s="164"/>
      <c r="B99" s="167"/>
      <c r="C99" s="157"/>
      <c r="D99" s="157"/>
      <c r="E99" s="157"/>
      <c r="F99" s="166"/>
    </row>
    <row r="100" spans="1:6" ht="15.75" customHeight="1" x14ac:dyDescent="0.25">
      <c r="A100" s="168" t="s">
        <v>44</v>
      </c>
      <c r="B100" s="148" t="s">
        <v>231</v>
      </c>
      <c r="C100" s="149"/>
      <c r="D100" s="149"/>
      <c r="E100" s="150"/>
      <c r="F100" s="151"/>
    </row>
    <row r="101" spans="1:6" ht="15.75" customHeight="1" x14ac:dyDescent="0.25">
      <c r="A101" s="147"/>
      <c r="B101" s="148"/>
      <c r="C101" s="149"/>
      <c r="D101" s="149"/>
      <c r="E101" s="150"/>
      <c r="F101" s="151"/>
    </row>
    <row r="102" spans="1:6" ht="15.75" customHeight="1" x14ac:dyDescent="0.25">
      <c r="A102" s="155" t="s">
        <v>14</v>
      </c>
      <c r="B102" s="156" t="s">
        <v>232</v>
      </c>
      <c r="C102" s="157"/>
      <c r="D102" s="157"/>
      <c r="E102" s="158"/>
      <c r="F102" s="151"/>
    </row>
    <row r="103" spans="1:6" ht="15" customHeight="1" x14ac:dyDescent="0.2">
      <c r="A103" s="147">
        <v>1</v>
      </c>
      <c r="B103" s="169" t="s">
        <v>233</v>
      </c>
      <c r="C103" s="157">
        <v>9830248</v>
      </c>
      <c r="D103" s="157">
        <v>10267245</v>
      </c>
      <c r="E103" s="157">
        <f t="shared" ref="E103:E121" si="4">D103-C103</f>
        <v>436997</v>
      </c>
      <c r="F103" s="161">
        <f t="shared" ref="F103:F121" si="5">IF(C103=0,0,E103/C103)</f>
        <v>4.4454320989663738E-2</v>
      </c>
    </row>
    <row r="104" spans="1:6" ht="15" customHeight="1" x14ac:dyDescent="0.2">
      <c r="A104" s="147">
        <v>2</v>
      </c>
      <c r="B104" s="169" t="s">
        <v>234</v>
      </c>
      <c r="C104" s="157">
        <v>0</v>
      </c>
      <c r="D104" s="157">
        <v>0</v>
      </c>
      <c r="E104" s="157">
        <f t="shared" si="4"/>
        <v>0</v>
      </c>
      <c r="F104" s="161">
        <f t="shared" si="5"/>
        <v>0</v>
      </c>
    </row>
    <row r="105" spans="1:6" ht="15" customHeight="1" x14ac:dyDescent="0.2">
      <c r="A105" s="147">
        <v>3</v>
      </c>
      <c r="B105" s="169" t="s">
        <v>235</v>
      </c>
      <c r="C105" s="157">
        <v>0</v>
      </c>
      <c r="D105" s="157">
        <v>0</v>
      </c>
      <c r="E105" s="157">
        <f t="shared" si="4"/>
        <v>0</v>
      </c>
      <c r="F105" s="161">
        <f t="shared" si="5"/>
        <v>0</v>
      </c>
    </row>
    <row r="106" spans="1:6" ht="15" customHeight="1" x14ac:dyDescent="0.2">
      <c r="A106" s="147">
        <v>4</v>
      </c>
      <c r="B106" s="169" t="s">
        <v>236</v>
      </c>
      <c r="C106" s="157">
        <v>0</v>
      </c>
      <c r="D106" s="157">
        <v>0</v>
      </c>
      <c r="E106" s="157">
        <f t="shared" si="4"/>
        <v>0</v>
      </c>
      <c r="F106" s="161">
        <f t="shared" si="5"/>
        <v>0</v>
      </c>
    </row>
    <row r="107" spans="1:6" ht="15" customHeight="1" x14ac:dyDescent="0.2">
      <c r="A107" s="147">
        <v>5</v>
      </c>
      <c r="B107" s="169" t="s">
        <v>237</v>
      </c>
      <c r="C107" s="157">
        <v>0</v>
      </c>
      <c r="D107" s="157">
        <v>0</v>
      </c>
      <c r="E107" s="157">
        <f t="shared" si="4"/>
        <v>0</v>
      </c>
      <c r="F107" s="161">
        <f t="shared" si="5"/>
        <v>0</v>
      </c>
    </row>
    <row r="108" spans="1:6" ht="15" customHeight="1" x14ac:dyDescent="0.2">
      <c r="A108" s="147">
        <v>6</v>
      </c>
      <c r="B108" s="169" t="s">
        <v>238</v>
      </c>
      <c r="C108" s="157">
        <v>0</v>
      </c>
      <c r="D108" s="157">
        <v>0</v>
      </c>
      <c r="E108" s="157">
        <f t="shared" si="4"/>
        <v>0</v>
      </c>
      <c r="F108" s="161">
        <f t="shared" si="5"/>
        <v>0</v>
      </c>
    </row>
    <row r="109" spans="1:6" ht="15" customHeight="1" x14ac:dyDescent="0.2">
      <c r="A109" s="147">
        <v>7</v>
      </c>
      <c r="B109" s="169" t="s">
        <v>239</v>
      </c>
      <c r="C109" s="157">
        <v>0</v>
      </c>
      <c r="D109" s="157">
        <v>0</v>
      </c>
      <c r="E109" s="157">
        <f t="shared" si="4"/>
        <v>0</v>
      </c>
      <c r="F109" s="161">
        <f t="shared" si="5"/>
        <v>0</v>
      </c>
    </row>
    <row r="110" spans="1:6" ht="15" customHeight="1" x14ac:dyDescent="0.2">
      <c r="A110" s="147">
        <v>8</v>
      </c>
      <c r="B110" s="169" t="s">
        <v>240</v>
      </c>
      <c r="C110" s="157">
        <v>859923</v>
      </c>
      <c r="D110" s="157">
        <v>812509</v>
      </c>
      <c r="E110" s="157">
        <f t="shared" si="4"/>
        <v>-47414</v>
      </c>
      <c r="F110" s="161">
        <f t="shared" si="5"/>
        <v>-5.5137494868726621E-2</v>
      </c>
    </row>
    <row r="111" spans="1:6" ht="15" customHeight="1" x14ac:dyDescent="0.2">
      <c r="A111" s="147">
        <v>9</v>
      </c>
      <c r="B111" s="169" t="s">
        <v>241</v>
      </c>
      <c r="C111" s="157">
        <v>0</v>
      </c>
      <c r="D111" s="157">
        <v>0</v>
      </c>
      <c r="E111" s="157">
        <f t="shared" si="4"/>
        <v>0</v>
      </c>
      <c r="F111" s="161">
        <f t="shared" si="5"/>
        <v>0</v>
      </c>
    </row>
    <row r="112" spans="1:6" ht="15" customHeight="1" x14ac:dyDescent="0.2">
      <c r="A112" s="147">
        <v>10</v>
      </c>
      <c r="B112" s="169" t="s">
        <v>242</v>
      </c>
      <c r="C112" s="157">
        <v>946955</v>
      </c>
      <c r="D112" s="157">
        <v>957010</v>
      </c>
      <c r="E112" s="157">
        <f t="shared" si="4"/>
        <v>10055</v>
      </c>
      <c r="F112" s="161">
        <f t="shared" si="5"/>
        <v>1.061824479515922E-2</v>
      </c>
    </row>
    <row r="113" spans="1:6" ht="15" customHeight="1" x14ac:dyDescent="0.2">
      <c r="A113" s="147">
        <v>11</v>
      </c>
      <c r="B113" s="169" t="s">
        <v>243</v>
      </c>
      <c r="C113" s="157">
        <v>474825</v>
      </c>
      <c r="D113" s="157">
        <v>546335</v>
      </c>
      <c r="E113" s="157">
        <f t="shared" si="4"/>
        <v>71510</v>
      </c>
      <c r="F113" s="161">
        <f t="shared" si="5"/>
        <v>0.15060285368293583</v>
      </c>
    </row>
    <row r="114" spans="1:6" ht="15" customHeight="1" x14ac:dyDescent="0.2">
      <c r="A114" s="147">
        <v>12</v>
      </c>
      <c r="B114" s="169" t="s">
        <v>244</v>
      </c>
      <c r="C114" s="157">
        <v>225434</v>
      </c>
      <c r="D114" s="157">
        <v>215932</v>
      </c>
      <c r="E114" s="157">
        <f t="shared" si="4"/>
        <v>-9502</v>
      </c>
      <c r="F114" s="161">
        <f t="shared" si="5"/>
        <v>-4.2149808813222493E-2</v>
      </c>
    </row>
    <row r="115" spans="1:6" ht="15" customHeight="1" x14ac:dyDescent="0.2">
      <c r="A115" s="147">
        <v>13</v>
      </c>
      <c r="B115" s="169" t="s">
        <v>245</v>
      </c>
      <c r="C115" s="157">
        <v>2585969</v>
      </c>
      <c r="D115" s="157">
        <v>2689131</v>
      </c>
      <c r="E115" s="157">
        <f t="shared" si="4"/>
        <v>103162</v>
      </c>
      <c r="F115" s="161">
        <f t="shared" si="5"/>
        <v>3.9892976288578866E-2</v>
      </c>
    </row>
    <row r="116" spans="1:6" ht="15" customHeight="1" x14ac:dyDescent="0.2">
      <c r="A116" s="147">
        <v>14</v>
      </c>
      <c r="B116" s="169" t="s">
        <v>246</v>
      </c>
      <c r="C116" s="157">
        <v>0</v>
      </c>
      <c r="D116" s="157">
        <v>0</v>
      </c>
      <c r="E116" s="157">
        <f t="shared" si="4"/>
        <v>0</v>
      </c>
      <c r="F116" s="161">
        <f t="shared" si="5"/>
        <v>0</v>
      </c>
    </row>
    <row r="117" spans="1:6" ht="15" customHeight="1" x14ac:dyDescent="0.2">
      <c r="A117" s="147">
        <v>15</v>
      </c>
      <c r="B117" s="169" t="s">
        <v>203</v>
      </c>
      <c r="C117" s="157">
        <v>0</v>
      </c>
      <c r="D117" s="157">
        <v>0</v>
      </c>
      <c r="E117" s="157">
        <f t="shared" si="4"/>
        <v>0</v>
      </c>
      <c r="F117" s="161">
        <f t="shared" si="5"/>
        <v>0</v>
      </c>
    </row>
    <row r="118" spans="1:6" ht="15" customHeight="1" x14ac:dyDescent="0.2">
      <c r="A118" s="147">
        <v>16</v>
      </c>
      <c r="B118" s="169" t="s">
        <v>247</v>
      </c>
      <c r="C118" s="157">
        <v>0</v>
      </c>
      <c r="D118" s="157">
        <v>0</v>
      </c>
      <c r="E118" s="157">
        <f t="shared" si="4"/>
        <v>0</v>
      </c>
      <c r="F118" s="161">
        <f t="shared" si="5"/>
        <v>0</v>
      </c>
    </row>
    <row r="119" spans="1:6" ht="15" customHeight="1" x14ac:dyDescent="0.2">
      <c r="A119" s="147">
        <v>17</v>
      </c>
      <c r="B119" s="169" t="s">
        <v>248</v>
      </c>
      <c r="C119" s="157">
        <v>2965078</v>
      </c>
      <c r="D119" s="157">
        <v>2384486</v>
      </c>
      <c r="E119" s="157">
        <f t="shared" si="4"/>
        <v>-580592</v>
      </c>
      <c r="F119" s="161">
        <f t="shared" si="5"/>
        <v>-0.19581002590825605</v>
      </c>
    </row>
    <row r="120" spans="1:6" ht="15" customHeight="1" x14ac:dyDescent="0.2">
      <c r="A120" s="147">
        <v>18</v>
      </c>
      <c r="B120" s="169" t="s">
        <v>249</v>
      </c>
      <c r="C120" s="157">
        <v>9960518</v>
      </c>
      <c r="D120" s="157">
        <v>9304014</v>
      </c>
      <c r="E120" s="157">
        <f t="shared" si="4"/>
        <v>-656504</v>
      </c>
      <c r="F120" s="161">
        <f t="shared" si="5"/>
        <v>-6.591062834282313E-2</v>
      </c>
    </row>
    <row r="121" spans="1:6" ht="15.75" customHeight="1" x14ac:dyDescent="0.25">
      <c r="A121" s="147"/>
      <c r="B121" s="165" t="s">
        <v>250</v>
      </c>
      <c r="C121" s="158">
        <f>SUM(C103:C120)</f>
        <v>27848950</v>
      </c>
      <c r="D121" s="158">
        <f>SUM(D103:D120)</f>
        <v>27176662</v>
      </c>
      <c r="E121" s="158">
        <f t="shared" si="4"/>
        <v>-672288</v>
      </c>
      <c r="F121" s="159">
        <f t="shared" si="5"/>
        <v>-2.4140515172026235E-2</v>
      </c>
    </row>
    <row r="122" spans="1:6" ht="15.75" customHeight="1" x14ac:dyDescent="0.25">
      <c r="A122" s="147"/>
      <c r="B122" s="170"/>
      <c r="C122" s="157"/>
      <c r="D122" s="157"/>
      <c r="E122" s="158"/>
      <c r="F122" s="151"/>
    </row>
    <row r="123" spans="1:6" ht="15.75" customHeight="1" x14ac:dyDescent="0.25">
      <c r="A123" s="155" t="s">
        <v>26</v>
      </c>
      <c r="B123" s="156" t="s">
        <v>251</v>
      </c>
      <c r="C123" s="157"/>
      <c r="D123" s="157"/>
      <c r="E123" s="158"/>
      <c r="F123" s="151"/>
    </row>
    <row r="124" spans="1:6" ht="15" customHeight="1" x14ac:dyDescent="0.2">
      <c r="A124" s="147">
        <v>1</v>
      </c>
      <c r="B124" s="169" t="s">
        <v>252</v>
      </c>
      <c r="C124" s="157">
        <v>780928</v>
      </c>
      <c r="D124" s="157">
        <v>527421</v>
      </c>
      <c r="E124" s="157">
        <f t="shared" ref="E124:E130" si="6">D124-C124</f>
        <v>-253507</v>
      </c>
      <c r="F124" s="161">
        <f t="shared" ref="F124:F130" si="7">IF(C124=0,0,E124/C124)</f>
        <v>-0.32462275651532535</v>
      </c>
    </row>
    <row r="125" spans="1:6" ht="15" customHeight="1" x14ac:dyDescent="0.2">
      <c r="A125" s="147">
        <v>2</v>
      </c>
      <c r="B125" s="169" t="s">
        <v>253</v>
      </c>
      <c r="C125" s="157">
        <v>0</v>
      </c>
      <c r="D125" s="157">
        <v>0</v>
      </c>
      <c r="E125" s="157">
        <f t="shared" si="6"/>
        <v>0</v>
      </c>
      <c r="F125" s="161">
        <f t="shared" si="7"/>
        <v>0</v>
      </c>
    </row>
    <row r="126" spans="1:6" ht="15" customHeight="1" x14ac:dyDescent="0.2">
      <c r="A126" s="147">
        <v>3</v>
      </c>
      <c r="B126" s="169" t="s">
        <v>254</v>
      </c>
      <c r="C126" s="157">
        <v>945300</v>
      </c>
      <c r="D126" s="157">
        <v>742774</v>
      </c>
      <c r="E126" s="157">
        <f t="shared" si="6"/>
        <v>-202526</v>
      </c>
      <c r="F126" s="161">
        <f t="shared" si="7"/>
        <v>-0.21424521315984343</v>
      </c>
    </row>
    <row r="127" spans="1:6" ht="15" customHeight="1" x14ac:dyDescent="0.2">
      <c r="A127" s="147">
        <v>4</v>
      </c>
      <c r="B127" s="169" t="s">
        <v>255</v>
      </c>
      <c r="C127" s="157">
        <v>0</v>
      </c>
      <c r="D127" s="157">
        <v>0</v>
      </c>
      <c r="E127" s="157">
        <f t="shared" si="6"/>
        <v>0</v>
      </c>
      <c r="F127" s="161">
        <f t="shared" si="7"/>
        <v>0</v>
      </c>
    </row>
    <row r="128" spans="1:6" ht="15" customHeight="1" x14ac:dyDescent="0.2">
      <c r="A128" s="147">
        <v>5</v>
      </c>
      <c r="B128" s="169" t="s">
        <v>256</v>
      </c>
      <c r="C128" s="157">
        <v>583388</v>
      </c>
      <c r="D128" s="157">
        <v>504404</v>
      </c>
      <c r="E128" s="157">
        <f t="shared" si="6"/>
        <v>-78984</v>
      </c>
      <c r="F128" s="161">
        <f t="shared" si="7"/>
        <v>-0.13538845502478625</v>
      </c>
    </row>
    <row r="129" spans="1:6" ht="15" customHeight="1" x14ac:dyDescent="0.2">
      <c r="A129" s="147">
        <v>6</v>
      </c>
      <c r="B129" s="169" t="s">
        <v>257</v>
      </c>
      <c r="C129" s="157">
        <v>0</v>
      </c>
      <c r="D129" s="157">
        <v>0</v>
      </c>
      <c r="E129" s="157">
        <f t="shared" si="6"/>
        <v>0</v>
      </c>
      <c r="F129" s="161">
        <f t="shared" si="7"/>
        <v>0</v>
      </c>
    </row>
    <row r="130" spans="1:6" ht="15.75" customHeight="1" x14ac:dyDescent="0.25">
      <c r="A130" s="147"/>
      <c r="B130" s="165" t="s">
        <v>258</v>
      </c>
      <c r="C130" s="158">
        <f>SUM(C124:C129)</f>
        <v>2309616</v>
      </c>
      <c r="D130" s="158">
        <f>SUM(D124:D129)</f>
        <v>1774599</v>
      </c>
      <c r="E130" s="158">
        <f t="shared" si="6"/>
        <v>-535017</v>
      </c>
      <c r="F130" s="159">
        <f t="shared" si="7"/>
        <v>-0.23164759856183886</v>
      </c>
    </row>
    <row r="131" spans="1:6" ht="15.75" customHeight="1" x14ac:dyDescent="0.25">
      <c r="A131" s="147"/>
      <c r="B131" s="170"/>
      <c r="C131" s="157"/>
      <c r="D131" s="157"/>
      <c r="E131" s="158"/>
      <c r="F131" s="151"/>
    </row>
    <row r="132" spans="1:6" ht="15.75" customHeight="1" x14ac:dyDescent="0.25">
      <c r="A132" s="155" t="s">
        <v>36</v>
      </c>
      <c r="B132" s="156" t="s">
        <v>259</v>
      </c>
      <c r="C132" s="157"/>
      <c r="D132" s="157"/>
      <c r="E132" s="158"/>
      <c r="F132" s="151"/>
    </row>
    <row r="133" spans="1:6" ht="15" customHeight="1" x14ac:dyDescent="0.2">
      <c r="A133" s="147">
        <v>1</v>
      </c>
      <c r="B133" s="169" t="s">
        <v>260</v>
      </c>
      <c r="C133" s="157">
        <v>1866286</v>
      </c>
      <c r="D133" s="157">
        <v>1756675</v>
      </c>
      <c r="E133" s="157">
        <f t="shared" ref="E133:E167" si="8">D133-C133</f>
        <v>-109611</v>
      </c>
      <c r="F133" s="161">
        <f t="shared" ref="F133:F167" si="9">IF(C133=0,0,E133/C133)</f>
        <v>-5.873215573604474E-2</v>
      </c>
    </row>
    <row r="134" spans="1:6" ht="15" customHeight="1" x14ac:dyDescent="0.2">
      <c r="A134" s="147">
        <v>2</v>
      </c>
      <c r="B134" s="169" t="s">
        <v>261</v>
      </c>
      <c r="C134" s="157">
        <v>165562</v>
      </c>
      <c r="D134" s="157">
        <v>215389</v>
      </c>
      <c r="E134" s="157">
        <f t="shared" si="8"/>
        <v>49827</v>
      </c>
      <c r="F134" s="161">
        <f t="shared" si="9"/>
        <v>0.30095674128121186</v>
      </c>
    </row>
    <row r="135" spans="1:6" ht="15" customHeight="1" x14ac:dyDescent="0.2">
      <c r="A135" s="147">
        <v>3</v>
      </c>
      <c r="B135" s="169" t="s">
        <v>262</v>
      </c>
      <c r="C135" s="157">
        <v>28483</v>
      </c>
      <c r="D135" s="157">
        <v>18343</v>
      </c>
      <c r="E135" s="157">
        <f t="shared" si="8"/>
        <v>-10140</v>
      </c>
      <c r="F135" s="161">
        <f t="shared" si="9"/>
        <v>-0.35600182565038796</v>
      </c>
    </row>
    <row r="136" spans="1:6" ht="15" customHeight="1" x14ac:dyDescent="0.2">
      <c r="A136" s="147">
        <v>4</v>
      </c>
      <c r="B136" s="169" t="s">
        <v>263</v>
      </c>
      <c r="C136" s="157">
        <v>479463</v>
      </c>
      <c r="D136" s="157">
        <v>518049</v>
      </c>
      <c r="E136" s="157">
        <f t="shared" si="8"/>
        <v>38586</v>
      </c>
      <c r="F136" s="161">
        <f t="shared" si="9"/>
        <v>8.0477534241432599E-2</v>
      </c>
    </row>
    <row r="137" spans="1:6" ht="15" customHeight="1" x14ac:dyDescent="0.2">
      <c r="A137" s="147">
        <v>5</v>
      </c>
      <c r="B137" s="169" t="s">
        <v>264</v>
      </c>
      <c r="C137" s="157">
        <v>1623588</v>
      </c>
      <c r="D137" s="157">
        <v>1513724</v>
      </c>
      <c r="E137" s="157">
        <f t="shared" si="8"/>
        <v>-109864</v>
      </c>
      <c r="F137" s="161">
        <f t="shared" si="9"/>
        <v>-6.7667413161467072E-2</v>
      </c>
    </row>
    <row r="138" spans="1:6" ht="15" customHeight="1" x14ac:dyDescent="0.2">
      <c r="A138" s="147">
        <v>6</v>
      </c>
      <c r="B138" s="169" t="s">
        <v>265</v>
      </c>
      <c r="C138" s="157">
        <v>0</v>
      </c>
      <c r="D138" s="157">
        <v>0</v>
      </c>
      <c r="E138" s="157">
        <f t="shared" si="8"/>
        <v>0</v>
      </c>
      <c r="F138" s="161">
        <f t="shared" si="9"/>
        <v>0</v>
      </c>
    </row>
    <row r="139" spans="1:6" ht="15" customHeight="1" x14ac:dyDescent="0.2">
      <c r="A139" s="147">
        <v>7</v>
      </c>
      <c r="B139" s="169" t="s">
        <v>266</v>
      </c>
      <c r="C139" s="157">
        <v>0</v>
      </c>
      <c r="D139" s="157">
        <v>0</v>
      </c>
      <c r="E139" s="157">
        <f t="shared" si="8"/>
        <v>0</v>
      </c>
      <c r="F139" s="161">
        <f t="shared" si="9"/>
        <v>0</v>
      </c>
    </row>
    <row r="140" spans="1:6" ht="15" customHeight="1" x14ac:dyDescent="0.2">
      <c r="A140" s="147">
        <v>8</v>
      </c>
      <c r="B140" s="169" t="s">
        <v>267</v>
      </c>
      <c r="C140" s="157">
        <v>291512</v>
      </c>
      <c r="D140" s="157">
        <v>228600</v>
      </c>
      <c r="E140" s="157">
        <f t="shared" si="8"/>
        <v>-62912</v>
      </c>
      <c r="F140" s="161">
        <f t="shared" si="9"/>
        <v>-0.2158127281209693</v>
      </c>
    </row>
    <row r="141" spans="1:6" ht="15" customHeight="1" x14ac:dyDescent="0.2">
      <c r="A141" s="147">
        <v>9</v>
      </c>
      <c r="B141" s="169" t="s">
        <v>268</v>
      </c>
      <c r="C141" s="157">
        <v>160547</v>
      </c>
      <c r="D141" s="157">
        <v>363476</v>
      </c>
      <c r="E141" s="157">
        <f t="shared" si="8"/>
        <v>202929</v>
      </c>
      <c r="F141" s="161">
        <f t="shared" si="9"/>
        <v>1.2639850012768847</v>
      </c>
    </row>
    <row r="142" spans="1:6" ht="15" customHeight="1" x14ac:dyDescent="0.2">
      <c r="A142" s="147">
        <v>10</v>
      </c>
      <c r="B142" s="169" t="s">
        <v>269</v>
      </c>
      <c r="C142" s="157">
        <v>2426927</v>
      </c>
      <c r="D142" s="157">
        <v>2597597</v>
      </c>
      <c r="E142" s="157">
        <f t="shared" si="8"/>
        <v>170670</v>
      </c>
      <c r="F142" s="161">
        <f t="shared" si="9"/>
        <v>7.0323499635547335E-2</v>
      </c>
    </row>
    <row r="143" spans="1:6" ht="15" customHeight="1" x14ac:dyDescent="0.2">
      <c r="A143" s="147">
        <v>11</v>
      </c>
      <c r="B143" s="169" t="s">
        <v>270</v>
      </c>
      <c r="C143" s="157">
        <v>0</v>
      </c>
      <c r="D143" s="157">
        <v>0</v>
      </c>
      <c r="E143" s="157">
        <f t="shared" si="8"/>
        <v>0</v>
      </c>
      <c r="F143" s="161">
        <f t="shared" si="9"/>
        <v>0</v>
      </c>
    </row>
    <row r="144" spans="1:6" ht="15" customHeight="1" x14ac:dyDescent="0.2">
      <c r="A144" s="147">
        <v>12</v>
      </c>
      <c r="B144" s="169" t="s">
        <v>271</v>
      </c>
      <c r="C144" s="157">
        <v>0</v>
      </c>
      <c r="D144" s="157">
        <v>0</v>
      </c>
      <c r="E144" s="157">
        <f t="shared" si="8"/>
        <v>0</v>
      </c>
      <c r="F144" s="161">
        <f t="shared" si="9"/>
        <v>0</v>
      </c>
    </row>
    <row r="145" spans="1:6" ht="15" customHeight="1" x14ac:dyDescent="0.2">
      <c r="A145" s="147">
        <v>13</v>
      </c>
      <c r="B145" s="169" t="s">
        <v>272</v>
      </c>
      <c r="C145" s="157">
        <v>266976</v>
      </c>
      <c r="D145" s="157">
        <v>262505</v>
      </c>
      <c r="E145" s="157">
        <f t="shared" si="8"/>
        <v>-4471</v>
      </c>
      <c r="F145" s="161">
        <f t="shared" si="9"/>
        <v>-1.6746823684525951E-2</v>
      </c>
    </row>
    <row r="146" spans="1:6" ht="15" customHeight="1" x14ac:dyDescent="0.2">
      <c r="A146" s="147">
        <v>14</v>
      </c>
      <c r="B146" s="169" t="s">
        <v>273</v>
      </c>
      <c r="C146" s="157">
        <v>205028</v>
      </c>
      <c r="D146" s="157">
        <v>114194</v>
      </c>
      <c r="E146" s="157">
        <f t="shared" si="8"/>
        <v>-90834</v>
      </c>
      <c r="F146" s="161">
        <f t="shared" si="9"/>
        <v>-0.44303217121563881</v>
      </c>
    </row>
    <row r="147" spans="1:6" ht="15" customHeight="1" x14ac:dyDescent="0.2">
      <c r="A147" s="147">
        <v>15</v>
      </c>
      <c r="B147" s="169" t="s">
        <v>274</v>
      </c>
      <c r="C147" s="157">
        <v>95225</v>
      </c>
      <c r="D147" s="157">
        <v>96545</v>
      </c>
      <c r="E147" s="157">
        <f t="shared" si="8"/>
        <v>1320</v>
      </c>
      <c r="F147" s="161">
        <f t="shared" si="9"/>
        <v>1.3861906012076661E-2</v>
      </c>
    </row>
    <row r="148" spans="1:6" ht="15" customHeight="1" x14ac:dyDescent="0.2">
      <c r="A148" s="147">
        <v>16</v>
      </c>
      <c r="B148" s="169" t="s">
        <v>275</v>
      </c>
      <c r="C148" s="157">
        <v>99886</v>
      </c>
      <c r="D148" s="157">
        <v>68990</v>
      </c>
      <c r="E148" s="157">
        <f t="shared" si="8"/>
        <v>-30896</v>
      </c>
      <c r="F148" s="161">
        <f t="shared" si="9"/>
        <v>-0.30931261638267626</v>
      </c>
    </row>
    <row r="149" spans="1:6" ht="15" customHeight="1" x14ac:dyDescent="0.2">
      <c r="A149" s="147">
        <v>17</v>
      </c>
      <c r="B149" s="169" t="s">
        <v>276</v>
      </c>
      <c r="C149" s="157">
        <v>0</v>
      </c>
      <c r="D149" s="157">
        <v>0</v>
      </c>
      <c r="E149" s="157">
        <f t="shared" si="8"/>
        <v>0</v>
      </c>
      <c r="F149" s="161">
        <f t="shared" si="9"/>
        <v>0</v>
      </c>
    </row>
    <row r="150" spans="1:6" ht="15" customHeight="1" x14ac:dyDescent="0.2">
      <c r="A150" s="147">
        <v>18</v>
      </c>
      <c r="B150" s="169" t="s">
        <v>277</v>
      </c>
      <c r="C150" s="157">
        <v>422018</v>
      </c>
      <c r="D150" s="157">
        <v>411337</v>
      </c>
      <c r="E150" s="157">
        <f t="shared" si="8"/>
        <v>-10681</v>
      </c>
      <c r="F150" s="161">
        <f t="shared" si="9"/>
        <v>-2.5309346994677951E-2</v>
      </c>
    </row>
    <row r="151" spans="1:6" ht="15" customHeight="1" x14ac:dyDescent="0.2">
      <c r="A151" s="147">
        <v>19</v>
      </c>
      <c r="B151" s="169" t="s">
        <v>278</v>
      </c>
      <c r="C151" s="157">
        <v>0</v>
      </c>
      <c r="D151" s="157">
        <v>0</v>
      </c>
      <c r="E151" s="157">
        <f t="shared" si="8"/>
        <v>0</v>
      </c>
      <c r="F151" s="161">
        <f t="shared" si="9"/>
        <v>0</v>
      </c>
    </row>
    <row r="152" spans="1:6" ht="15" customHeight="1" x14ac:dyDescent="0.2">
      <c r="A152" s="147">
        <v>20</v>
      </c>
      <c r="B152" s="169" t="s">
        <v>279</v>
      </c>
      <c r="C152" s="157">
        <v>0</v>
      </c>
      <c r="D152" s="157">
        <v>0</v>
      </c>
      <c r="E152" s="157">
        <f t="shared" si="8"/>
        <v>0</v>
      </c>
      <c r="F152" s="161">
        <f t="shared" si="9"/>
        <v>0</v>
      </c>
    </row>
    <row r="153" spans="1:6" ht="15" customHeight="1" x14ac:dyDescent="0.2">
      <c r="A153" s="147">
        <v>21</v>
      </c>
      <c r="B153" s="169" t="s">
        <v>280</v>
      </c>
      <c r="C153" s="157">
        <v>0</v>
      </c>
      <c r="D153" s="157">
        <v>0</v>
      </c>
      <c r="E153" s="157">
        <f t="shared" si="8"/>
        <v>0</v>
      </c>
      <c r="F153" s="161">
        <f t="shared" si="9"/>
        <v>0</v>
      </c>
    </row>
    <row r="154" spans="1:6" ht="15" customHeight="1" x14ac:dyDescent="0.2">
      <c r="A154" s="147">
        <v>22</v>
      </c>
      <c r="B154" s="169" t="s">
        <v>281</v>
      </c>
      <c r="C154" s="157">
        <v>0</v>
      </c>
      <c r="D154" s="157">
        <v>0</v>
      </c>
      <c r="E154" s="157">
        <f t="shared" si="8"/>
        <v>0</v>
      </c>
      <c r="F154" s="161">
        <f t="shared" si="9"/>
        <v>0</v>
      </c>
    </row>
    <row r="155" spans="1:6" ht="15" customHeight="1" x14ac:dyDescent="0.2">
      <c r="A155" s="147">
        <v>23</v>
      </c>
      <c r="B155" s="169" t="s">
        <v>282</v>
      </c>
      <c r="C155" s="157">
        <v>0</v>
      </c>
      <c r="D155" s="157">
        <v>0</v>
      </c>
      <c r="E155" s="157">
        <f t="shared" si="8"/>
        <v>0</v>
      </c>
      <c r="F155" s="161">
        <f t="shared" si="9"/>
        <v>0</v>
      </c>
    </row>
    <row r="156" spans="1:6" ht="15" customHeight="1" x14ac:dyDescent="0.2">
      <c r="A156" s="147">
        <v>24</v>
      </c>
      <c r="B156" s="169" t="s">
        <v>283</v>
      </c>
      <c r="C156" s="157">
        <v>1697929</v>
      </c>
      <c r="D156" s="157">
        <v>1713590</v>
      </c>
      <c r="E156" s="157">
        <f t="shared" si="8"/>
        <v>15661</v>
      </c>
      <c r="F156" s="161">
        <f t="shared" si="9"/>
        <v>9.2235894433748411E-3</v>
      </c>
    </row>
    <row r="157" spans="1:6" ht="15" customHeight="1" x14ac:dyDescent="0.2">
      <c r="A157" s="147">
        <v>25</v>
      </c>
      <c r="B157" s="169" t="s">
        <v>284</v>
      </c>
      <c r="C157" s="157">
        <v>267549</v>
      </c>
      <c r="D157" s="157">
        <v>273015</v>
      </c>
      <c r="E157" s="157">
        <f t="shared" si="8"/>
        <v>5466</v>
      </c>
      <c r="F157" s="161">
        <f t="shared" si="9"/>
        <v>2.0429902559904914E-2</v>
      </c>
    </row>
    <row r="158" spans="1:6" ht="15" customHeight="1" x14ac:dyDescent="0.2">
      <c r="A158" s="147">
        <v>26</v>
      </c>
      <c r="B158" s="169" t="s">
        <v>285</v>
      </c>
      <c r="C158" s="157">
        <v>0</v>
      </c>
      <c r="D158" s="157">
        <v>0</v>
      </c>
      <c r="E158" s="157">
        <f t="shared" si="8"/>
        <v>0</v>
      </c>
      <c r="F158" s="161">
        <f t="shared" si="9"/>
        <v>0</v>
      </c>
    </row>
    <row r="159" spans="1:6" ht="15" customHeight="1" x14ac:dyDescent="0.2">
      <c r="A159" s="147">
        <v>27</v>
      </c>
      <c r="B159" s="169" t="s">
        <v>286</v>
      </c>
      <c r="C159" s="157">
        <v>0</v>
      </c>
      <c r="D159" s="157">
        <v>0</v>
      </c>
      <c r="E159" s="157">
        <f t="shared" si="8"/>
        <v>0</v>
      </c>
      <c r="F159" s="161">
        <f t="shared" si="9"/>
        <v>0</v>
      </c>
    </row>
    <row r="160" spans="1:6" ht="15" customHeight="1" x14ac:dyDescent="0.2">
      <c r="A160" s="147">
        <v>28</v>
      </c>
      <c r="B160" s="169" t="s">
        <v>287</v>
      </c>
      <c r="C160" s="157">
        <v>0</v>
      </c>
      <c r="D160" s="157">
        <v>0</v>
      </c>
      <c r="E160" s="157">
        <f t="shared" si="8"/>
        <v>0</v>
      </c>
      <c r="F160" s="161">
        <f t="shared" si="9"/>
        <v>0</v>
      </c>
    </row>
    <row r="161" spans="1:6" ht="15" customHeight="1" x14ac:dyDescent="0.2">
      <c r="A161" s="147">
        <v>29</v>
      </c>
      <c r="B161" s="169" t="s">
        <v>288</v>
      </c>
      <c r="C161" s="157">
        <v>0</v>
      </c>
      <c r="D161" s="157">
        <v>0</v>
      </c>
      <c r="E161" s="157">
        <f t="shared" si="8"/>
        <v>0</v>
      </c>
      <c r="F161" s="161">
        <f t="shared" si="9"/>
        <v>0</v>
      </c>
    </row>
    <row r="162" spans="1:6" ht="15" customHeight="1" x14ac:dyDescent="0.2">
      <c r="A162" s="147">
        <v>30</v>
      </c>
      <c r="B162" s="169" t="s">
        <v>289</v>
      </c>
      <c r="C162" s="157">
        <v>0</v>
      </c>
      <c r="D162" s="157">
        <v>0</v>
      </c>
      <c r="E162" s="157">
        <f t="shared" si="8"/>
        <v>0</v>
      </c>
      <c r="F162" s="161">
        <f t="shared" si="9"/>
        <v>0</v>
      </c>
    </row>
    <row r="163" spans="1:6" ht="15" customHeight="1" x14ac:dyDescent="0.2">
      <c r="A163" s="147">
        <v>31</v>
      </c>
      <c r="B163" s="169" t="s">
        <v>290</v>
      </c>
      <c r="C163" s="157">
        <v>41708</v>
      </c>
      <c r="D163" s="157">
        <v>57522</v>
      </c>
      <c r="E163" s="157">
        <f t="shared" si="8"/>
        <v>15814</v>
      </c>
      <c r="F163" s="161">
        <f t="shared" si="9"/>
        <v>0.37915987340558166</v>
      </c>
    </row>
    <row r="164" spans="1:6" ht="15" customHeight="1" x14ac:dyDescent="0.2">
      <c r="A164" s="147">
        <v>32</v>
      </c>
      <c r="B164" s="169" t="s">
        <v>291</v>
      </c>
      <c r="C164" s="157">
        <v>630601</v>
      </c>
      <c r="D164" s="157">
        <v>609862</v>
      </c>
      <c r="E164" s="157">
        <f t="shared" si="8"/>
        <v>-20739</v>
      </c>
      <c r="F164" s="161">
        <f t="shared" si="9"/>
        <v>-3.2887673822274303E-2</v>
      </c>
    </row>
    <row r="165" spans="1:6" ht="15" customHeight="1" x14ac:dyDescent="0.2">
      <c r="A165" s="147">
        <v>33</v>
      </c>
      <c r="B165" s="169" t="s">
        <v>292</v>
      </c>
      <c r="C165" s="157">
        <v>0</v>
      </c>
      <c r="D165" s="157">
        <v>0</v>
      </c>
      <c r="E165" s="157">
        <f t="shared" si="8"/>
        <v>0</v>
      </c>
      <c r="F165" s="161">
        <f t="shared" si="9"/>
        <v>0</v>
      </c>
    </row>
    <row r="166" spans="1:6" ht="15" customHeight="1" x14ac:dyDescent="0.2">
      <c r="A166" s="147">
        <v>34</v>
      </c>
      <c r="B166" s="169" t="s">
        <v>293</v>
      </c>
      <c r="C166" s="157">
        <v>2658318</v>
      </c>
      <c r="D166" s="157">
        <v>2563998</v>
      </c>
      <c r="E166" s="157">
        <f t="shared" si="8"/>
        <v>-94320</v>
      </c>
      <c r="F166" s="161">
        <f t="shared" si="9"/>
        <v>-3.548108239871979E-2</v>
      </c>
    </row>
    <row r="167" spans="1:6" ht="15.75" customHeight="1" x14ac:dyDescent="0.25">
      <c r="A167" s="147"/>
      <c r="B167" s="165" t="s">
        <v>294</v>
      </c>
      <c r="C167" s="158">
        <f>SUM(C133:C166)</f>
        <v>13427606</v>
      </c>
      <c r="D167" s="158">
        <f>SUM(D133:D166)</f>
        <v>13383411</v>
      </c>
      <c r="E167" s="158">
        <f t="shared" si="8"/>
        <v>-44195</v>
      </c>
      <c r="F167" s="159">
        <f t="shared" si="9"/>
        <v>-3.2913536485952894E-3</v>
      </c>
    </row>
    <row r="168" spans="1:6" ht="15.75" customHeight="1" x14ac:dyDescent="0.25">
      <c r="A168" s="147"/>
      <c r="B168" s="170"/>
      <c r="C168" s="157"/>
      <c r="D168" s="157"/>
      <c r="E168" s="158"/>
      <c r="F168" s="151"/>
    </row>
    <row r="169" spans="1:6" ht="15.75" customHeight="1" x14ac:dyDescent="0.25">
      <c r="A169" s="155" t="s">
        <v>170</v>
      </c>
      <c r="B169" s="156" t="s">
        <v>295</v>
      </c>
      <c r="C169" s="157"/>
      <c r="D169" s="157"/>
      <c r="E169" s="158"/>
      <c r="F169" s="151"/>
    </row>
    <row r="170" spans="1:6" ht="15" customHeight="1" x14ac:dyDescent="0.2">
      <c r="A170" s="147">
        <v>1</v>
      </c>
      <c r="B170" s="169" t="s">
        <v>296</v>
      </c>
      <c r="C170" s="157">
        <v>2450044</v>
      </c>
      <c r="D170" s="157">
        <v>2396291</v>
      </c>
      <c r="E170" s="157">
        <f t="shared" ref="E170:E183" si="10">D170-C170</f>
        <v>-53753</v>
      </c>
      <c r="F170" s="161">
        <f t="shared" ref="F170:F183" si="11">IF(C170=0,0,E170/C170)</f>
        <v>-2.1939605982586437E-2</v>
      </c>
    </row>
    <row r="171" spans="1:6" ht="15" customHeight="1" x14ac:dyDescent="0.2">
      <c r="A171" s="147">
        <v>2</v>
      </c>
      <c r="B171" s="169" t="s">
        <v>297</v>
      </c>
      <c r="C171" s="157">
        <v>1001532</v>
      </c>
      <c r="D171" s="157">
        <v>1015570</v>
      </c>
      <c r="E171" s="157">
        <f t="shared" si="10"/>
        <v>14038</v>
      </c>
      <c r="F171" s="161">
        <f t="shared" si="11"/>
        <v>1.4016526681124518E-2</v>
      </c>
    </row>
    <row r="172" spans="1:6" ht="15" customHeight="1" x14ac:dyDescent="0.2">
      <c r="A172" s="147">
        <v>3</v>
      </c>
      <c r="B172" s="169" t="s">
        <v>298</v>
      </c>
      <c r="C172" s="157">
        <v>0</v>
      </c>
      <c r="D172" s="157">
        <v>0</v>
      </c>
      <c r="E172" s="157">
        <f t="shared" si="10"/>
        <v>0</v>
      </c>
      <c r="F172" s="161">
        <f t="shared" si="11"/>
        <v>0</v>
      </c>
    </row>
    <row r="173" spans="1:6" ht="15" customHeight="1" x14ac:dyDescent="0.2">
      <c r="A173" s="147">
        <v>4</v>
      </c>
      <c r="B173" s="169" t="s">
        <v>299</v>
      </c>
      <c r="C173" s="157">
        <v>1982927</v>
      </c>
      <c r="D173" s="157">
        <v>2147695</v>
      </c>
      <c r="E173" s="157">
        <f t="shared" si="10"/>
        <v>164768</v>
      </c>
      <c r="F173" s="161">
        <f t="shared" si="11"/>
        <v>8.309332617892641E-2</v>
      </c>
    </row>
    <row r="174" spans="1:6" ht="15" customHeight="1" x14ac:dyDescent="0.2">
      <c r="A174" s="147">
        <v>5</v>
      </c>
      <c r="B174" s="169" t="s">
        <v>300</v>
      </c>
      <c r="C174" s="157">
        <v>0</v>
      </c>
      <c r="D174" s="157">
        <v>0</v>
      </c>
      <c r="E174" s="157">
        <f t="shared" si="10"/>
        <v>0</v>
      </c>
      <c r="F174" s="161">
        <f t="shared" si="11"/>
        <v>0</v>
      </c>
    </row>
    <row r="175" spans="1:6" ht="15" customHeight="1" x14ac:dyDescent="0.2">
      <c r="A175" s="147">
        <v>6</v>
      </c>
      <c r="B175" s="169" t="s">
        <v>301</v>
      </c>
      <c r="C175" s="157">
        <v>0</v>
      </c>
      <c r="D175" s="157">
        <v>0</v>
      </c>
      <c r="E175" s="157">
        <f t="shared" si="10"/>
        <v>0</v>
      </c>
      <c r="F175" s="161">
        <f t="shared" si="11"/>
        <v>0</v>
      </c>
    </row>
    <row r="176" spans="1:6" ht="15" customHeight="1" x14ac:dyDescent="0.2">
      <c r="A176" s="147">
        <v>7</v>
      </c>
      <c r="B176" s="169" t="s">
        <v>302</v>
      </c>
      <c r="C176" s="157">
        <v>380810</v>
      </c>
      <c r="D176" s="157">
        <v>341820</v>
      </c>
      <c r="E176" s="157">
        <f t="shared" si="10"/>
        <v>-38990</v>
      </c>
      <c r="F176" s="161">
        <f t="shared" si="11"/>
        <v>-0.10238701714765894</v>
      </c>
    </row>
    <row r="177" spans="1:6" ht="15" customHeight="1" x14ac:dyDescent="0.2">
      <c r="A177" s="147">
        <v>8</v>
      </c>
      <c r="B177" s="169" t="s">
        <v>303</v>
      </c>
      <c r="C177" s="157">
        <v>0</v>
      </c>
      <c r="D177" s="157">
        <v>0</v>
      </c>
      <c r="E177" s="157">
        <f t="shared" si="10"/>
        <v>0</v>
      </c>
      <c r="F177" s="161">
        <f t="shared" si="11"/>
        <v>0</v>
      </c>
    </row>
    <row r="178" spans="1:6" ht="15" customHeight="1" x14ac:dyDescent="0.2">
      <c r="A178" s="147">
        <v>9</v>
      </c>
      <c r="B178" s="169" t="s">
        <v>304</v>
      </c>
      <c r="C178" s="157">
        <v>0</v>
      </c>
      <c r="D178" s="157">
        <v>0</v>
      </c>
      <c r="E178" s="157">
        <f t="shared" si="10"/>
        <v>0</v>
      </c>
      <c r="F178" s="161">
        <f t="shared" si="11"/>
        <v>0</v>
      </c>
    </row>
    <row r="179" spans="1:6" ht="15" customHeight="1" x14ac:dyDescent="0.2">
      <c r="A179" s="147">
        <v>10</v>
      </c>
      <c r="B179" s="169" t="s">
        <v>305</v>
      </c>
      <c r="C179" s="157">
        <v>0</v>
      </c>
      <c r="D179" s="157">
        <v>0</v>
      </c>
      <c r="E179" s="157">
        <f t="shared" si="10"/>
        <v>0</v>
      </c>
      <c r="F179" s="161">
        <f t="shared" si="11"/>
        <v>0</v>
      </c>
    </row>
    <row r="180" spans="1:6" ht="15" customHeight="1" x14ac:dyDescent="0.2">
      <c r="A180" s="147">
        <v>11</v>
      </c>
      <c r="B180" s="169" t="s">
        <v>306</v>
      </c>
      <c r="C180" s="157">
        <v>0</v>
      </c>
      <c r="D180" s="157">
        <v>0</v>
      </c>
      <c r="E180" s="157">
        <f t="shared" si="10"/>
        <v>0</v>
      </c>
      <c r="F180" s="161">
        <f t="shared" si="11"/>
        <v>0</v>
      </c>
    </row>
    <row r="181" spans="1:6" ht="15" customHeight="1" x14ac:dyDescent="0.2">
      <c r="A181" s="147">
        <v>12</v>
      </c>
      <c r="B181" s="169" t="s">
        <v>307</v>
      </c>
      <c r="C181" s="157">
        <v>0</v>
      </c>
      <c r="D181" s="157">
        <v>0</v>
      </c>
      <c r="E181" s="157">
        <f t="shared" si="10"/>
        <v>0</v>
      </c>
      <c r="F181" s="161">
        <f t="shared" si="11"/>
        <v>0</v>
      </c>
    </row>
    <row r="182" spans="1:6" ht="15" customHeight="1" x14ac:dyDescent="0.2">
      <c r="A182" s="147">
        <v>13</v>
      </c>
      <c r="B182" s="169" t="s">
        <v>308</v>
      </c>
      <c r="C182" s="157">
        <v>0</v>
      </c>
      <c r="D182" s="157">
        <v>0</v>
      </c>
      <c r="E182" s="157">
        <f t="shared" si="10"/>
        <v>0</v>
      </c>
      <c r="F182" s="161">
        <f t="shared" si="11"/>
        <v>0</v>
      </c>
    </row>
    <row r="183" spans="1:6" ht="15.75" customHeight="1" x14ac:dyDescent="0.25">
      <c r="A183" s="147"/>
      <c r="B183" s="165" t="s">
        <v>309</v>
      </c>
      <c r="C183" s="158">
        <f>SUM(C170:C182)</f>
        <v>5815313</v>
      </c>
      <c r="D183" s="158">
        <f>SUM(D170:D182)</f>
        <v>5901376</v>
      </c>
      <c r="E183" s="158">
        <f t="shared" si="10"/>
        <v>86063</v>
      </c>
      <c r="F183" s="159">
        <f t="shared" si="11"/>
        <v>1.4799375373260218E-2</v>
      </c>
    </row>
    <row r="184" spans="1:6" ht="15.75" customHeight="1" x14ac:dyDescent="0.25">
      <c r="A184" s="147"/>
      <c r="B184" s="170"/>
      <c r="C184" s="157"/>
      <c r="D184" s="157"/>
      <c r="E184" s="158"/>
      <c r="F184" s="151"/>
    </row>
    <row r="185" spans="1:6" ht="15.75" customHeight="1" x14ac:dyDescent="0.25">
      <c r="A185" s="155" t="s">
        <v>175</v>
      </c>
      <c r="B185" s="156" t="s">
        <v>310</v>
      </c>
      <c r="C185" s="157"/>
      <c r="D185" s="157"/>
      <c r="E185" s="158"/>
      <c r="F185" s="151"/>
    </row>
    <row r="186" spans="1:6" ht="15" customHeight="1" x14ac:dyDescent="0.2">
      <c r="A186" s="147">
        <v>1</v>
      </c>
      <c r="B186" s="169" t="s">
        <v>311</v>
      </c>
      <c r="C186" s="157">
        <v>0</v>
      </c>
      <c r="D186" s="157">
        <v>0</v>
      </c>
      <c r="E186" s="157">
        <f>D186-C186</f>
        <v>0</v>
      </c>
      <c r="F186" s="161">
        <f>IF(C186=0,0,E186/C186)</f>
        <v>0</v>
      </c>
    </row>
    <row r="187" spans="1:6" ht="15.75" customHeight="1" x14ac:dyDescent="0.25">
      <c r="A187" s="147"/>
      <c r="B187" s="170"/>
      <c r="C187" s="157"/>
      <c r="D187" s="157"/>
      <c r="E187" s="158"/>
      <c r="F187" s="151"/>
    </row>
    <row r="188" spans="1:6" ht="15.75" customHeight="1" x14ac:dyDescent="0.25">
      <c r="A188" s="164"/>
      <c r="B188" s="165" t="s">
        <v>312</v>
      </c>
      <c r="C188" s="158">
        <f>+C186+C183+C167+C130+C121</f>
        <v>49401485</v>
      </c>
      <c r="D188" s="158">
        <f>+D186+D183+D167+D130+D121</f>
        <v>48236048</v>
      </c>
      <c r="E188" s="158">
        <f>D188-C188</f>
        <v>-1165437</v>
      </c>
      <c r="F188" s="159">
        <f>IF(C188=0,0,E188/C188)</f>
        <v>-2.3591132938615103E-2</v>
      </c>
    </row>
    <row r="189" spans="1:6" ht="15.75" customHeight="1" x14ac:dyDescent="0.25">
      <c r="A189" s="164"/>
      <c r="B189" s="170"/>
      <c r="C189" s="157"/>
      <c r="D189" s="157"/>
      <c r="E189" s="158"/>
      <c r="F189" s="159"/>
    </row>
    <row r="190" spans="1:6" ht="15.75" customHeight="1" x14ac:dyDescent="0.25">
      <c r="A190" s="164"/>
      <c r="B190" s="167" t="s">
        <v>313</v>
      </c>
      <c r="C190" s="157"/>
      <c r="D190" s="157"/>
      <c r="E190" s="158"/>
      <c r="F190" s="159"/>
    </row>
    <row r="191" spans="1:6" ht="15" customHeight="1" x14ac:dyDescent="0.2">
      <c r="A191" s="164"/>
      <c r="B191" s="170"/>
      <c r="C191" s="171"/>
      <c r="D191" s="171"/>
      <c r="E191" s="171"/>
      <c r="F191" s="171"/>
    </row>
  </sheetData>
  <mergeCells count="7">
    <mergeCell ref="A7:F7"/>
    <mergeCell ref="A1:F1"/>
    <mergeCell ref="A2:F2"/>
    <mergeCell ref="A3:F3"/>
    <mergeCell ref="A4:F4"/>
    <mergeCell ref="A5:F5"/>
    <mergeCell ref="A6:F6"/>
  </mergeCells>
  <pageMargins left="0.25" right="0.25" top="0.5" bottom="0.5" header="0.25" footer="0.25"/>
  <pageSetup paperSize="9" scale="72" orientation="portrait" horizontalDpi="1200" verticalDpi="1200" r:id="rId1"/>
  <headerFooter>
    <oddHeader>&amp;LOFFICE OF HEALTH CARE ACCESS&amp;CTWELVE MONTHS ACTUAL FILING&amp;RESSENT-SHARON HOSPITAL</oddHeader>
    <oddFooter>&amp;LREPORT 175&amp;CPAGE &amp;P of &amp;N&amp;R&amp;D,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2"/>
  <sheetViews>
    <sheetView zoomScale="75" zoomScaleSheetLayoutView="75" workbookViewId="0">
      <selection activeCell="E27" sqref="E27"/>
    </sheetView>
  </sheetViews>
  <sheetFormatPr defaultRowHeight="24" customHeight="1" x14ac:dyDescent="0.2"/>
  <cols>
    <col min="1" max="1" width="8.7109375" style="70" customWidth="1"/>
    <col min="2" max="2" width="60.85546875" style="70" customWidth="1"/>
    <col min="3" max="3" width="21.85546875" style="70" customWidth="1"/>
    <col min="4" max="5" width="21.85546875" style="222" customWidth="1"/>
    <col min="6" max="16384" width="9.140625" style="70"/>
  </cols>
  <sheetData>
    <row r="1" spans="1:6" ht="24" customHeight="1" x14ac:dyDescent="0.25">
      <c r="A1" s="173"/>
      <c r="B1" s="174" t="s">
        <v>0</v>
      </c>
      <c r="C1" s="174"/>
      <c r="D1" s="174"/>
      <c r="E1" s="175"/>
      <c r="F1" s="176"/>
    </row>
    <row r="2" spans="1:6" ht="24" customHeight="1" x14ac:dyDescent="0.25">
      <c r="A2" s="177"/>
      <c r="B2" s="174" t="s">
        <v>1</v>
      </c>
      <c r="C2" s="174"/>
      <c r="D2" s="174"/>
      <c r="E2" s="175"/>
      <c r="F2" s="176"/>
    </row>
    <row r="3" spans="1:6" ht="24" customHeight="1" x14ac:dyDescent="0.25">
      <c r="A3" s="177"/>
      <c r="B3" s="174" t="s">
        <v>314</v>
      </c>
      <c r="C3" s="174"/>
      <c r="D3" s="174"/>
      <c r="E3" s="175"/>
      <c r="F3" s="176"/>
    </row>
    <row r="4" spans="1:6" ht="24" customHeight="1" x14ac:dyDescent="0.25">
      <c r="A4" s="177"/>
      <c r="B4" s="174" t="s">
        <v>315</v>
      </c>
      <c r="C4" s="175"/>
      <c r="D4" s="175"/>
      <c r="E4" s="175"/>
      <c r="F4" s="176"/>
    </row>
    <row r="5" spans="1:6" ht="24" customHeight="1" x14ac:dyDescent="0.25">
      <c r="A5" s="177"/>
      <c r="B5" s="174"/>
      <c r="C5" s="174"/>
      <c r="D5" s="174"/>
      <c r="E5" s="175"/>
      <c r="F5" s="176"/>
    </row>
    <row r="6" spans="1:6" ht="24" customHeight="1" x14ac:dyDescent="0.25">
      <c r="A6" s="178">
        <v>-1</v>
      </c>
      <c r="B6" s="178">
        <v>-2</v>
      </c>
      <c r="C6" s="178">
        <v>-3</v>
      </c>
      <c r="D6" s="178">
        <v>-4</v>
      </c>
      <c r="E6" s="178">
        <v>-5</v>
      </c>
      <c r="F6" s="178"/>
    </row>
    <row r="7" spans="1:6" ht="24" customHeight="1" x14ac:dyDescent="0.25">
      <c r="A7" s="179"/>
      <c r="B7" s="180"/>
      <c r="C7" s="179" t="s">
        <v>10</v>
      </c>
      <c r="D7" s="179" t="s">
        <v>10</v>
      </c>
      <c r="E7" s="179" t="s">
        <v>10</v>
      </c>
      <c r="F7" s="179"/>
    </row>
    <row r="8" spans="1:6" ht="24" customHeight="1" x14ac:dyDescent="0.25">
      <c r="A8" s="181" t="s">
        <v>8</v>
      </c>
      <c r="B8" s="182" t="s">
        <v>9</v>
      </c>
      <c r="C8" s="181" t="s">
        <v>316</v>
      </c>
      <c r="D8" s="181" t="s">
        <v>317</v>
      </c>
      <c r="E8" s="181" t="s">
        <v>318</v>
      </c>
      <c r="F8" s="181"/>
    </row>
    <row r="9" spans="1:6" ht="24" customHeight="1" x14ac:dyDescent="0.25">
      <c r="A9" s="181"/>
      <c r="B9" s="182"/>
      <c r="C9" s="181"/>
      <c r="D9" s="181"/>
      <c r="E9" s="181"/>
      <c r="F9" s="181"/>
    </row>
    <row r="10" spans="1:6" ht="24" customHeight="1" x14ac:dyDescent="0.25">
      <c r="A10" s="83" t="s">
        <v>14</v>
      </c>
      <c r="B10" s="72" t="s">
        <v>319</v>
      </c>
      <c r="C10" s="79"/>
      <c r="D10" s="79"/>
      <c r="E10" s="88"/>
      <c r="F10" s="181"/>
    </row>
    <row r="11" spans="1:6" ht="24" customHeight="1" x14ac:dyDescent="0.25">
      <c r="A11" s="85">
        <v>1</v>
      </c>
      <c r="B11" s="75" t="s">
        <v>75</v>
      </c>
      <c r="C11" s="76">
        <v>54558825</v>
      </c>
      <c r="D11" s="183">
        <v>53746903</v>
      </c>
      <c r="E11" s="76">
        <v>50085913</v>
      </c>
      <c r="F11" s="181"/>
    </row>
    <row r="12" spans="1:6" ht="24" customHeight="1" x14ac:dyDescent="0.25">
      <c r="A12" s="85">
        <v>2</v>
      </c>
      <c r="B12" s="184" t="s">
        <v>320</v>
      </c>
      <c r="C12" s="185">
        <v>453530</v>
      </c>
      <c r="D12" s="185">
        <v>429185</v>
      </c>
      <c r="E12" s="185">
        <v>1092483</v>
      </c>
      <c r="F12" s="181"/>
    </row>
    <row r="13" spans="1:6" ht="24" customHeight="1" x14ac:dyDescent="0.25">
      <c r="A13" s="85">
        <v>3</v>
      </c>
      <c r="B13" s="75" t="s">
        <v>80</v>
      </c>
      <c r="C13" s="76">
        <f>+C11+C12</f>
        <v>55012355</v>
      </c>
      <c r="D13" s="76">
        <f>+D11+D12</f>
        <v>54176088</v>
      </c>
      <c r="E13" s="76">
        <f>+E11+E12</f>
        <v>51178396</v>
      </c>
      <c r="F13" s="181"/>
    </row>
    <row r="14" spans="1:6" ht="24" customHeight="1" x14ac:dyDescent="0.25">
      <c r="A14" s="85">
        <v>4</v>
      </c>
      <c r="B14" s="186" t="s">
        <v>91</v>
      </c>
      <c r="C14" s="185">
        <v>51745114</v>
      </c>
      <c r="D14" s="185">
        <v>49401485</v>
      </c>
      <c r="E14" s="185">
        <v>48236048</v>
      </c>
      <c r="F14" s="181"/>
    </row>
    <row r="15" spans="1:6" ht="24" customHeight="1" x14ac:dyDescent="0.25">
      <c r="A15" s="85">
        <v>5</v>
      </c>
      <c r="B15" s="75" t="s">
        <v>92</v>
      </c>
      <c r="C15" s="76">
        <f>+C13-C14</f>
        <v>3267241</v>
      </c>
      <c r="D15" s="76">
        <f>+D13-D14</f>
        <v>4774603</v>
      </c>
      <c r="E15" s="76">
        <f>+E13-E14</f>
        <v>2942348</v>
      </c>
      <c r="F15" s="181"/>
    </row>
    <row r="16" spans="1:6" ht="24" customHeight="1" x14ac:dyDescent="0.25">
      <c r="A16" s="85">
        <v>6</v>
      </c>
      <c r="B16" s="186" t="s">
        <v>97</v>
      </c>
      <c r="C16" s="185">
        <v>0</v>
      </c>
      <c r="D16" s="185">
        <v>0</v>
      </c>
      <c r="E16" s="185">
        <v>0</v>
      </c>
      <c r="F16" s="181"/>
    </row>
    <row r="17" spans="1:6" ht="24" customHeight="1" x14ac:dyDescent="0.25">
      <c r="A17" s="85">
        <v>7</v>
      </c>
      <c r="B17" s="82" t="s">
        <v>321</v>
      </c>
      <c r="C17" s="76">
        <f>C15+C16</f>
        <v>3267241</v>
      </c>
      <c r="D17" s="76">
        <f>D15+D16</f>
        <v>4774603</v>
      </c>
      <c r="E17" s="76">
        <f>E15+E16</f>
        <v>2942348</v>
      </c>
      <c r="F17" s="181"/>
    </row>
    <row r="18" spans="1:6" ht="24" customHeight="1" x14ac:dyDescent="0.25">
      <c r="A18" s="85"/>
      <c r="B18" s="72"/>
      <c r="C18" s="187"/>
      <c r="D18" s="187"/>
      <c r="E18" s="188"/>
      <c r="F18" s="181"/>
    </row>
    <row r="19" spans="1:6" ht="24" customHeight="1" x14ac:dyDescent="0.25">
      <c r="A19" s="83" t="s">
        <v>26</v>
      </c>
      <c r="B19" s="72" t="s">
        <v>322</v>
      </c>
      <c r="C19" s="79"/>
      <c r="D19" s="79"/>
      <c r="E19" s="88"/>
      <c r="F19" s="181"/>
    </row>
    <row r="20" spans="1:6" ht="24" customHeight="1" x14ac:dyDescent="0.25">
      <c r="A20" s="74">
        <v>1</v>
      </c>
      <c r="B20" s="75" t="s">
        <v>323</v>
      </c>
      <c r="C20" s="189">
        <f>IF(+C27=0,0,+C24/+C27)</f>
        <v>5.9391040430826859E-2</v>
      </c>
      <c r="D20" s="189">
        <f>IF(+D27=0,0,+D24/+D27)</f>
        <v>8.8131188062157612E-2</v>
      </c>
      <c r="E20" s="189">
        <f>IF(+E27=0,0,+E24/+E27)</f>
        <v>5.7491993301235937E-2</v>
      </c>
      <c r="F20" s="181"/>
    </row>
    <row r="21" spans="1:6" ht="24" customHeight="1" x14ac:dyDescent="0.25">
      <c r="A21" s="74">
        <v>2</v>
      </c>
      <c r="B21" s="75" t="s">
        <v>324</v>
      </c>
      <c r="C21" s="189">
        <f>IF(C27=0,0,+C26/C27)</f>
        <v>0</v>
      </c>
      <c r="D21" s="189">
        <f>IF(D27=0,0,+D26/D27)</f>
        <v>0</v>
      </c>
      <c r="E21" s="189">
        <f>IF(E27=0,0,+E26/E27)</f>
        <v>0</v>
      </c>
      <c r="F21" s="181"/>
    </row>
    <row r="22" spans="1:6" ht="24" customHeight="1" x14ac:dyDescent="0.25">
      <c r="A22" s="74">
        <v>3</v>
      </c>
      <c r="B22" s="75" t="s">
        <v>325</v>
      </c>
      <c r="C22" s="189">
        <f>IF(C27=0,0,+C28/C27)</f>
        <v>5.9391040430826859E-2</v>
      </c>
      <c r="D22" s="189">
        <f>IF(D27=0,0,+D28/D27)</f>
        <v>8.8131188062157612E-2</v>
      </c>
      <c r="E22" s="189">
        <f>IF(E27=0,0,+E28/E27)</f>
        <v>5.7491993301235937E-2</v>
      </c>
      <c r="F22" s="181"/>
    </row>
    <row r="23" spans="1:6" ht="24" customHeight="1" x14ac:dyDescent="0.25">
      <c r="A23" s="173"/>
      <c r="B23" s="75"/>
      <c r="C23" s="189"/>
      <c r="D23" s="189"/>
      <c r="E23" s="189"/>
      <c r="F23" s="181"/>
    </row>
    <row r="24" spans="1:6" ht="24" customHeight="1" x14ac:dyDescent="0.25">
      <c r="A24" s="173">
        <v>4</v>
      </c>
      <c r="B24" s="75" t="s">
        <v>92</v>
      </c>
      <c r="C24" s="76">
        <f>+C15</f>
        <v>3267241</v>
      </c>
      <c r="D24" s="76">
        <f>+D15</f>
        <v>4774603</v>
      </c>
      <c r="E24" s="76">
        <f>+E15</f>
        <v>2942348</v>
      </c>
      <c r="F24" s="181"/>
    </row>
    <row r="25" spans="1:6" ht="24" customHeight="1" x14ac:dyDescent="0.25">
      <c r="A25" s="173">
        <v>5</v>
      </c>
      <c r="B25" s="75" t="s">
        <v>80</v>
      </c>
      <c r="C25" s="76">
        <f>+C13</f>
        <v>55012355</v>
      </c>
      <c r="D25" s="76">
        <f>+D13</f>
        <v>54176088</v>
      </c>
      <c r="E25" s="76">
        <f>+E13</f>
        <v>51178396</v>
      </c>
      <c r="F25" s="181"/>
    </row>
    <row r="26" spans="1:6" ht="24" customHeight="1" x14ac:dyDescent="0.25">
      <c r="A26" s="173">
        <v>6</v>
      </c>
      <c r="B26" s="75" t="s">
        <v>97</v>
      </c>
      <c r="C26" s="76">
        <f>+C16</f>
        <v>0</v>
      </c>
      <c r="D26" s="76">
        <f>+D16</f>
        <v>0</v>
      </c>
      <c r="E26" s="76">
        <f>+E16</f>
        <v>0</v>
      </c>
      <c r="F26" s="181"/>
    </row>
    <row r="27" spans="1:6" ht="24" customHeight="1" x14ac:dyDescent="0.25">
      <c r="A27" s="173">
        <v>7</v>
      </c>
      <c r="B27" s="75" t="s">
        <v>326</v>
      </c>
      <c r="C27" s="76">
        <f>+C25+C26</f>
        <v>55012355</v>
      </c>
      <c r="D27" s="76">
        <f>+D25+D26</f>
        <v>54176088</v>
      </c>
      <c r="E27" s="76">
        <f>+E25+E26</f>
        <v>51178396</v>
      </c>
      <c r="F27" s="181"/>
    </row>
    <row r="28" spans="1:6" ht="24" customHeight="1" x14ac:dyDescent="0.25">
      <c r="A28" s="173">
        <v>8</v>
      </c>
      <c r="B28" s="82" t="s">
        <v>321</v>
      </c>
      <c r="C28" s="76">
        <f>+C17</f>
        <v>3267241</v>
      </c>
      <c r="D28" s="76">
        <f>+D17</f>
        <v>4774603</v>
      </c>
      <c r="E28" s="76">
        <f>+E17</f>
        <v>2942348</v>
      </c>
      <c r="F28" s="181"/>
    </row>
    <row r="29" spans="1:6" ht="24" customHeight="1" x14ac:dyDescent="0.25">
      <c r="A29" s="190"/>
      <c r="B29" s="75"/>
      <c r="C29" s="76"/>
      <c r="D29" s="76"/>
      <c r="E29" s="76"/>
      <c r="F29" s="181"/>
    </row>
    <row r="30" spans="1:6" ht="24" customHeight="1" x14ac:dyDescent="0.25">
      <c r="A30" s="83" t="s">
        <v>36</v>
      </c>
      <c r="B30" s="191" t="s">
        <v>327</v>
      </c>
      <c r="C30" s="79"/>
      <c r="D30" s="79"/>
      <c r="E30" s="88"/>
      <c r="F30" s="181"/>
    </row>
    <row r="31" spans="1:6" ht="24" customHeight="1" x14ac:dyDescent="0.25">
      <c r="A31" s="74">
        <v>1</v>
      </c>
      <c r="B31" s="192" t="s">
        <v>328</v>
      </c>
      <c r="C31" s="76">
        <v>24878651</v>
      </c>
      <c r="D31" s="76">
        <v>30054582</v>
      </c>
      <c r="E31" s="76">
        <v>32809453</v>
      </c>
      <c r="F31" s="181"/>
    </row>
    <row r="32" spans="1:6" ht="24" customHeight="1" x14ac:dyDescent="0.25">
      <c r="A32" s="74">
        <v>2</v>
      </c>
      <c r="B32" s="75" t="s">
        <v>329</v>
      </c>
      <c r="C32" s="76">
        <v>24878651</v>
      </c>
      <c r="D32" s="76">
        <v>30054582</v>
      </c>
      <c r="E32" s="76">
        <v>32809453</v>
      </c>
      <c r="F32" s="181"/>
    </row>
    <row r="33" spans="1:6" ht="24" customHeight="1" x14ac:dyDescent="0.2">
      <c r="A33" s="74">
        <v>3</v>
      </c>
      <c r="B33" s="75" t="s">
        <v>330</v>
      </c>
      <c r="C33" s="76">
        <v>3245737</v>
      </c>
      <c r="D33" s="76">
        <f>+D32-C32</f>
        <v>5175931</v>
      </c>
      <c r="E33" s="76">
        <f>+E32-D32</f>
        <v>2754871</v>
      </c>
      <c r="F33" s="176"/>
    </row>
    <row r="34" spans="1:6" ht="24" customHeight="1" x14ac:dyDescent="0.2">
      <c r="A34" s="74">
        <v>4</v>
      </c>
      <c r="B34" s="75" t="s">
        <v>331</v>
      </c>
      <c r="C34" s="193">
        <v>1.1499999999999999</v>
      </c>
      <c r="D34" s="193">
        <f>IF(C32=0,0,+D33/C32)</f>
        <v>0.20804709226396559</v>
      </c>
      <c r="E34" s="193">
        <f>IF(D32=0,0,+E33/D32)</f>
        <v>9.166226301200929E-2</v>
      </c>
      <c r="F34" s="176"/>
    </row>
    <row r="35" spans="1:6" ht="24" customHeight="1" x14ac:dyDescent="0.25">
      <c r="A35" s="190"/>
      <c r="B35" s="194"/>
      <c r="C35" s="79"/>
      <c r="D35" s="79"/>
      <c r="E35" s="88"/>
      <c r="F35" s="176"/>
    </row>
    <row r="36" spans="1:6" ht="24" customHeight="1" x14ac:dyDescent="0.25">
      <c r="A36" s="83" t="s">
        <v>170</v>
      </c>
      <c r="B36" s="191" t="s">
        <v>332</v>
      </c>
      <c r="C36" s="175"/>
      <c r="D36" s="175"/>
      <c r="E36" s="175"/>
      <c r="F36" s="176"/>
    </row>
    <row r="37" spans="1:6" ht="24" customHeight="1" x14ac:dyDescent="0.25">
      <c r="A37" s="83"/>
      <c r="B37" s="191"/>
      <c r="C37" s="175"/>
      <c r="D37" s="175"/>
      <c r="E37" s="175"/>
      <c r="F37" s="176"/>
    </row>
    <row r="38" spans="1:6" ht="24" customHeight="1" x14ac:dyDescent="0.25">
      <c r="A38" s="71">
        <v>1</v>
      </c>
      <c r="B38" s="72" t="s">
        <v>333</v>
      </c>
      <c r="C38" s="195">
        <f>IF((C40+C41)=0,0,+C39/(C40+C41))</f>
        <v>0.37257444812373952</v>
      </c>
      <c r="D38" s="195">
        <f>IF((D40+D41)=0,0,+D39/(D40+D41))</f>
        <v>0.33408675973696855</v>
      </c>
      <c r="E38" s="195">
        <f>IF((E40+E41)=0,0,+E39/(E40+E41))</f>
        <v>0.32978569079114917</v>
      </c>
      <c r="F38" s="176"/>
    </row>
    <row r="39" spans="1:6" ht="24" customHeight="1" x14ac:dyDescent="0.2">
      <c r="A39" s="173">
        <v>2</v>
      </c>
      <c r="B39" s="75" t="s">
        <v>334</v>
      </c>
      <c r="C39" s="76">
        <v>51745114</v>
      </c>
      <c r="D39" s="76">
        <v>49401485</v>
      </c>
      <c r="E39" s="196">
        <v>48236048</v>
      </c>
      <c r="F39" s="176"/>
    </row>
    <row r="40" spans="1:6" ht="24" customHeight="1" x14ac:dyDescent="0.2">
      <c r="A40" s="173">
        <v>3</v>
      </c>
      <c r="B40" s="75" t="s">
        <v>335</v>
      </c>
      <c r="C40" s="76">
        <v>138431770</v>
      </c>
      <c r="D40" s="76">
        <v>147441042</v>
      </c>
      <c r="E40" s="196">
        <v>145172347</v>
      </c>
      <c r="F40" s="176"/>
    </row>
    <row r="41" spans="1:6" ht="24" customHeight="1" x14ac:dyDescent="0.2">
      <c r="A41" s="173">
        <v>4</v>
      </c>
      <c r="B41" s="75" t="s">
        <v>336</v>
      </c>
      <c r="C41" s="76">
        <v>453530</v>
      </c>
      <c r="D41" s="76">
        <v>429185</v>
      </c>
      <c r="E41" s="196">
        <v>1092483</v>
      </c>
      <c r="F41" s="176"/>
    </row>
    <row r="42" spans="1:6" ht="24" customHeight="1" x14ac:dyDescent="0.25">
      <c r="A42" s="190"/>
      <c r="B42" s="75"/>
      <c r="C42" s="174"/>
      <c r="D42" s="174"/>
      <c r="E42" s="175"/>
      <c r="F42" s="176"/>
    </row>
    <row r="43" spans="1:6" ht="24" customHeight="1" x14ac:dyDescent="0.25">
      <c r="A43" s="71">
        <v>5</v>
      </c>
      <c r="B43" s="72" t="s">
        <v>337</v>
      </c>
      <c r="C43" s="197">
        <f>IF(C38=0,0,IF((C46-C47)=0,0,((+C44-C45)/(C46-C47)/C38)))</f>
        <v>1.2514620663480185</v>
      </c>
      <c r="D43" s="197">
        <f>IF(D38=0,0,IF((D46-D47)=0,0,((+D44-D45)/(D46-D47)/D38)))</f>
        <v>1.3094621361111916</v>
      </c>
      <c r="E43" s="197">
        <f>IF(E38=0,0,IF((E46-E47)=0,0,((+E44-E45)/(E46-E47)/E38)))</f>
        <v>1.2915977243397487</v>
      </c>
      <c r="F43" s="176"/>
    </row>
    <row r="44" spans="1:6" ht="24" customHeight="1" x14ac:dyDescent="0.2">
      <c r="A44" s="173">
        <v>6</v>
      </c>
      <c r="B44" s="75" t="s">
        <v>338</v>
      </c>
      <c r="C44" s="76">
        <v>23341797</v>
      </c>
      <c r="D44" s="76">
        <v>23155548</v>
      </c>
      <c r="E44" s="196">
        <v>21315739</v>
      </c>
      <c r="F44" s="176"/>
    </row>
    <row r="45" spans="1:6" ht="24" customHeight="1" x14ac:dyDescent="0.2">
      <c r="A45" s="173">
        <v>7</v>
      </c>
      <c r="B45" s="75" t="s">
        <v>339</v>
      </c>
      <c r="C45" s="76">
        <v>680119</v>
      </c>
      <c r="D45" s="76">
        <v>651124</v>
      </c>
      <c r="E45" s="196">
        <v>279386</v>
      </c>
      <c r="F45" s="176"/>
    </row>
    <row r="46" spans="1:6" ht="24" customHeight="1" x14ac:dyDescent="0.2">
      <c r="A46" s="173">
        <v>8</v>
      </c>
      <c r="B46" s="75" t="s">
        <v>340</v>
      </c>
      <c r="C46" s="76">
        <v>52514475</v>
      </c>
      <c r="D46" s="76">
        <v>55244177</v>
      </c>
      <c r="E46" s="196">
        <v>52241943</v>
      </c>
      <c r="F46" s="176"/>
    </row>
    <row r="47" spans="1:6" ht="24" customHeight="1" x14ac:dyDescent="0.2">
      <c r="A47" s="173">
        <v>9</v>
      </c>
      <c r="B47" s="75" t="s">
        <v>341</v>
      </c>
      <c r="C47" s="76">
        <v>3911673</v>
      </c>
      <c r="D47" s="76">
        <v>3802432</v>
      </c>
      <c r="E47" s="76">
        <v>2855088</v>
      </c>
      <c r="F47" s="176"/>
    </row>
    <row r="48" spans="1:6" ht="24" customHeight="1" x14ac:dyDescent="0.25">
      <c r="A48" s="190"/>
      <c r="B48" s="75"/>
      <c r="C48" s="174"/>
      <c r="D48" s="174"/>
      <c r="E48" s="175"/>
      <c r="F48" s="176"/>
    </row>
    <row r="49" spans="1:6" ht="24" customHeight="1" x14ac:dyDescent="0.25">
      <c r="A49" s="71">
        <v>10</v>
      </c>
      <c r="B49" s="72" t="s">
        <v>342</v>
      </c>
      <c r="C49" s="198">
        <f>IF(C38=0,0,IF(C51=0,0,(C50/C51)/C38))</f>
        <v>0.92007966185749479</v>
      </c>
      <c r="D49" s="198">
        <f>IF(D38=0,0,IF(D51=0,0,(D50/D51)/D38))</f>
        <v>1.0039727713897144</v>
      </c>
      <c r="E49" s="198">
        <f>IF(E38=0,0,IF(E51=0,0,(E50/E51)/E38))</f>
        <v>0.97521320379841536</v>
      </c>
      <c r="F49" s="178"/>
    </row>
    <row r="50" spans="1:6" ht="24" customHeight="1" x14ac:dyDescent="0.25">
      <c r="A50" s="173">
        <v>11</v>
      </c>
      <c r="B50" s="75" t="s">
        <v>343</v>
      </c>
      <c r="C50" s="199">
        <v>24473538</v>
      </c>
      <c r="D50" s="199">
        <v>25498542</v>
      </c>
      <c r="E50" s="199">
        <v>23646098</v>
      </c>
      <c r="F50" s="179"/>
    </row>
    <row r="51" spans="1:6" ht="24" customHeight="1" x14ac:dyDescent="0.25">
      <c r="A51" s="173">
        <v>12</v>
      </c>
      <c r="B51" s="75" t="s">
        <v>344</v>
      </c>
      <c r="C51" s="199">
        <v>71393432</v>
      </c>
      <c r="D51" s="199">
        <v>76021100</v>
      </c>
      <c r="E51" s="199">
        <v>73523827</v>
      </c>
      <c r="F51" s="179"/>
    </row>
    <row r="52" spans="1:6" ht="24" customHeight="1" x14ac:dyDescent="0.25">
      <c r="A52" s="190"/>
      <c r="B52" s="75"/>
      <c r="C52" s="179"/>
      <c r="D52" s="179"/>
      <c r="E52" s="179"/>
      <c r="F52" s="179"/>
    </row>
    <row r="53" spans="1:6" ht="24" customHeight="1" x14ac:dyDescent="0.25">
      <c r="A53" s="71">
        <v>13</v>
      </c>
      <c r="B53" s="72" t="s">
        <v>345</v>
      </c>
      <c r="C53" s="198">
        <f>IF(C38=0,0,IF(C55=0,0,(C54/C55)/C38))</f>
        <v>0.66661910607293262</v>
      </c>
      <c r="D53" s="198">
        <f>IF(D38=0,0,IF(D55=0,0,(D54/D55)/D38))</f>
        <v>0.74123078903885731</v>
      </c>
      <c r="E53" s="198">
        <f>IF(E38=0,0,IF(E55=0,0,(E54/E55)/E38))</f>
        <v>0.69164503746983241</v>
      </c>
      <c r="F53" s="181"/>
    </row>
    <row r="54" spans="1:6" ht="24" customHeight="1" x14ac:dyDescent="0.25">
      <c r="A54" s="173">
        <v>14</v>
      </c>
      <c r="B54" s="75" t="s">
        <v>346</v>
      </c>
      <c r="C54" s="199">
        <v>2002907</v>
      </c>
      <c r="D54" s="199">
        <v>2090929</v>
      </c>
      <c r="E54" s="199">
        <v>2447356</v>
      </c>
      <c r="F54" s="181"/>
    </row>
    <row r="55" spans="1:6" ht="24" customHeight="1" x14ac:dyDescent="0.25">
      <c r="A55" s="173">
        <v>15</v>
      </c>
      <c r="B55" s="75" t="s">
        <v>347</v>
      </c>
      <c r="C55" s="199">
        <v>8064361</v>
      </c>
      <c r="D55" s="199">
        <v>8443579</v>
      </c>
      <c r="E55" s="199">
        <v>10729564</v>
      </c>
      <c r="F55" s="181"/>
    </row>
    <row r="56" spans="1:6" ht="24" customHeight="1" x14ac:dyDescent="0.25">
      <c r="A56" s="190"/>
      <c r="B56" s="200"/>
      <c r="C56" s="181"/>
      <c r="D56" s="181"/>
      <c r="E56" s="181"/>
      <c r="F56" s="181"/>
    </row>
    <row r="57" spans="1:6" ht="24" customHeight="1" x14ac:dyDescent="0.25">
      <c r="A57" s="71">
        <v>16</v>
      </c>
      <c r="B57" s="72" t="s">
        <v>348</v>
      </c>
      <c r="C57" s="88">
        <f>+C60*C38</f>
        <v>1400677.2444454813</v>
      </c>
      <c r="D57" s="88">
        <f>+D60*D38</f>
        <v>1080914.3250557801</v>
      </c>
      <c r="E57" s="88">
        <f>+E60*E38</f>
        <v>1043330.4580997085</v>
      </c>
      <c r="F57" s="181"/>
    </row>
    <row r="58" spans="1:6" ht="24" customHeight="1" x14ac:dyDescent="0.25">
      <c r="A58" s="173">
        <v>17</v>
      </c>
      <c r="B58" s="75" t="s">
        <v>349</v>
      </c>
      <c r="C58" s="199">
        <v>760089</v>
      </c>
      <c r="D58" s="199">
        <v>941923</v>
      </c>
      <c r="E58" s="199">
        <v>892961</v>
      </c>
      <c r="F58" s="181"/>
    </row>
    <row r="59" spans="1:6" ht="24" customHeight="1" x14ac:dyDescent="0.25">
      <c r="A59" s="173">
        <v>18</v>
      </c>
      <c r="B59" s="75" t="s">
        <v>87</v>
      </c>
      <c r="C59" s="199">
        <v>2999367</v>
      </c>
      <c r="D59" s="199">
        <v>2293507</v>
      </c>
      <c r="E59" s="199">
        <v>2270701</v>
      </c>
      <c r="F59" s="181"/>
    </row>
    <row r="60" spans="1:6" ht="24" customHeight="1" x14ac:dyDescent="0.25">
      <c r="A60" s="173">
        <v>19</v>
      </c>
      <c r="B60" s="75" t="s">
        <v>350</v>
      </c>
      <c r="C60" s="76">
        <v>3759456</v>
      </c>
      <c r="D60" s="76">
        <v>3235430</v>
      </c>
      <c r="E60" s="201">
        <v>3163662</v>
      </c>
      <c r="F60" s="80"/>
    </row>
    <row r="61" spans="1:6" ht="24" customHeight="1" x14ac:dyDescent="0.25">
      <c r="A61" s="190"/>
      <c r="B61" s="182"/>
      <c r="C61" s="181"/>
      <c r="D61" s="181"/>
      <c r="E61" s="181"/>
      <c r="F61" s="181"/>
    </row>
    <row r="62" spans="1:6" ht="24" customHeight="1" x14ac:dyDescent="0.25">
      <c r="A62" s="71">
        <v>20</v>
      </c>
      <c r="B62" s="72" t="s">
        <v>351</v>
      </c>
      <c r="C62" s="202">
        <f>IF(C63=0,0,+C57/C63)</f>
        <v>2.7068782657343866E-2</v>
      </c>
      <c r="D62" s="202">
        <f>IF(D63=0,0,+D57/D63)</f>
        <v>2.1880199047777209E-2</v>
      </c>
      <c r="E62" s="202">
        <f>IF(E63=0,0,+E57/E63)</f>
        <v>2.1629683636182395E-2</v>
      </c>
      <c r="F62" s="181"/>
    </row>
    <row r="63" spans="1:6" ht="24" customHeight="1" x14ac:dyDescent="0.25">
      <c r="A63" s="173">
        <v>21</v>
      </c>
      <c r="B63" s="82" t="s">
        <v>334</v>
      </c>
      <c r="C63" s="199">
        <v>51745114</v>
      </c>
      <c r="D63" s="199">
        <v>49401485</v>
      </c>
      <c r="E63" s="199">
        <v>48236048</v>
      </c>
      <c r="F63" s="181"/>
    </row>
    <row r="64" spans="1:6" ht="24" customHeight="1" x14ac:dyDescent="0.25">
      <c r="A64" s="190"/>
      <c r="B64" s="75"/>
      <c r="C64" s="85"/>
      <c r="D64" s="85"/>
      <c r="E64" s="85"/>
      <c r="F64" s="181"/>
    </row>
    <row r="65" spans="1:6" ht="24" customHeight="1" x14ac:dyDescent="0.25">
      <c r="A65" s="71" t="s">
        <v>175</v>
      </c>
      <c r="B65" s="191" t="s">
        <v>352</v>
      </c>
      <c r="C65" s="79"/>
      <c r="D65" s="79"/>
      <c r="E65" s="88"/>
      <c r="F65" s="80"/>
    </row>
    <row r="66" spans="1:6" ht="24" customHeight="1" x14ac:dyDescent="0.25">
      <c r="A66" s="71"/>
      <c r="B66" s="191"/>
      <c r="C66" s="79"/>
      <c r="D66" s="79"/>
      <c r="E66" s="88"/>
      <c r="F66" s="80"/>
    </row>
    <row r="67" spans="1:6" ht="24" customHeight="1" x14ac:dyDescent="0.25">
      <c r="A67" s="71">
        <v>1</v>
      </c>
      <c r="B67" s="72" t="s">
        <v>353</v>
      </c>
      <c r="C67" s="203">
        <f>IF(C69=0,0,C68/C69)</f>
        <v>1.7801806406166703</v>
      </c>
      <c r="D67" s="203">
        <f>IF(D69=0,0,D68/D69)</f>
        <v>2.0662173401380346</v>
      </c>
      <c r="E67" s="203">
        <f>IF(E69=0,0,E68/E69)</f>
        <v>2.0897119097503629</v>
      </c>
      <c r="F67" s="80"/>
    </row>
    <row r="68" spans="1:6" ht="24" customHeight="1" x14ac:dyDescent="0.25">
      <c r="A68" s="173">
        <v>2</v>
      </c>
      <c r="B68" s="75" t="s">
        <v>25</v>
      </c>
      <c r="C68" s="204">
        <v>9299993</v>
      </c>
      <c r="D68" s="204">
        <v>11159582</v>
      </c>
      <c r="E68" s="204">
        <v>10006947</v>
      </c>
      <c r="F68" s="80"/>
    </row>
    <row r="69" spans="1:6" ht="24" customHeight="1" x14ac:dyDescent="0.25">
      <c r="A69" s="173">
        <v>3</v>
      </c>
      <c r="B69" s="75" t="s">
        <v>54</v>
      </c>
      <c r="C69" s="204">
        <v>5224185</v>
      </c>
      <c r="D69" s="204">
        <v>5400972</v>
      </c>
      <c r="E69" s="204">
        <v>4788673</v>
      </c>
      <c r="F69" s="80"/>
    </row>
    <row r="70" spans="1:6" ht="24" customHeight="1" x14ac:dyDescent="0.25">
      <c r="A70" s="173"/>
      <c r="B70" s="194"/>
      <c r="C70" s="79"/>
      <c r="D70" s="79"/>
      <c r="E70" s="88"/>
      <c r="F70" s="80"/>
    </row>
    <row r="71" spans="1:6" ht="24" customHeight="1" x14ac:dyDescent="0.25">
      <c r="A71" s="71">
        <v>4</v>
      </c>
      <c r="B71" s="72" t="s">
        <v>354</v>
      </c>
      <c r="C71" s="203">
        <f>IF((C77/365)=0,0,+C74/(C77/365))</f>
        <v>0</v>
      </c>
      <c r="D71" s="203">
        <f>IF((D77/365)=0,0,+D74/(D77/365))</f>
        <v>0</v>
      </c>
      <c r="E71" s="203">
        <f>IF((E77/365)=0,0,+E74/(E77/365))</f>
        <v>0</v>
      </c>
      <c r="F71" s="80"/>
    </row>
    <row r="72" spans="1:6" ht="24" customHeight="1" x14ac:dyDescent="0.25">
      <c r="A72" s="173">
        <v>5</v>
      </c>
      <c r="B72" s="192" t="s">
        <v>16</v>
      </c>
      <c r="C72" s="183">
        <v>0</v>
      </c>
      <c r="D72" s="183">
        <v>0</v>
      </c>
      <c r="E72" s="183">
        <v>0</v>
      </c>
      <c r="F72" s="80"/>
    </row>
    <row r="73" spans="1:6" ht="24" customHeight="1" x14ac:dyDescent="0.25">
      <c r="A73" s="173">
        <v>6</v>
      </c>
      <c r="B73" s="205" t="s">
        <v>17</v>
      </c>
      <c r="C73" s="206">
        <v>0</v>
      </c>
      <c r="D73" s="206">
        <v>0</v>
      </c>
      <c r="E73" s="206">
        <v>0</v>
      </c>
      <c r="F73" s="80"/>
    </row>
    <row r="74" spans="1:6" ht="24" customHeight="1" x14ac:dyDescent="0.25">
      <c r="A74" s="173">
        <v>7</v>
      </c>
      <c r="B74" s="75" t="s">
        <v>355</v>
      </c>
      <c r="C74" s="204">
        <f>+C72+C73</f>
        <v>0</v>
      </c>
      <c r="D74" s="204">
        <f>+D72+D73</f>
        <v>0</v>
      </c>
      <c r="E74" s="204">
        <f>+E72+E73</f>
        <v>0</v>
      </c>
      <c r="F74" s="80"/>
    </row>
    <row r="75" spans="1:6" ht="24" customHeight="1" x14ac:dyDescent="0.25">
      <c r="A75" s="173">
        <v>8</v>
      </c>
      <c r="B75" s="75" t="s">
        <v>334</v>
      </c>
      <c r="C75" s="204">
        <f>+C14</f>
        <v>51745114</v>
      </c>
      <c r="D75" s="204">
        <f>+D14</f>
        <v>49401485</v>
      </c>
      <c r="E75" s="204">
        <f>+E14</f>
        <v>48236048</v>
      </c>
      <c r="F75" s="80"/>
    </row>
    <row r="76" spans="1:6" ht="24" customHeight="1" x14ac:dyDescent="0.25">
      <c r="A76" s="173">
        <v>9</v>
      </c>
      <c r="B76" s="82" t="s">
        <v>356</v>
      </c>
      <c r="C76" s="204">
        <v>3051773</v>
      </c>
      <c r="D76" s="204">
        <v>3004141</v>
      </c>
      <c r="E76" s="204">
        <v>2563946</v>
      </c>
      <c r="F76" s="80"/>
    </row>
    <row r="77" spans="1:6" ht="24" customHeight="1" x14ac:dyDescent="0.25">
      <c r="A77" s="173">
        <v>10</v>
      </c>
      <c r="B77" s="82" t="s">
        <v>357</v>
      </c>
      <c r="C77" s="204">
        <f>+C75-C76</f>
        <v>48693341</v>
      </c>
      <c r="D77" s="204">
        <f>+D75-D76</f>
        <v>46397344</v>
      </c>
      <c r="E77" s="204">
        <f>+E75-E76</f>
        <v>45672102</v>
      </c>
      <c r="F77" s="80"/>
    </row>
    <row r="78" spans="1:6" ht="24" customHeight="1" x14ac:dyDescent="0.25">
      <c r="A78" s="190"/>
      <c r="B78" s="207"/>
      <c r="C78" s="208"/>
      <c r="D78" s="208"/>
      <c r="E78" s="209"/>
      <c r="F78" s="80"/>
    </row>
    <row r="79" spans="1:6" ht="24" customHeight="1" x14ac:dyDescent="0.25">
      <c r="A79" s="71">
        <v>11</v>
      </c>
      <c r="B79" s="210" t="s">
        <v>358</v>
      </c>
      <c r="C79" s="203">
        <f>IF((C84/365)=0,0,+C83/(C84/365))</f>
        <v>46.342022853314745</v>
      </c>
      <c r="D79" s="203">
        <f>IF((D84/365)=0,0,+D83/(D84/365))</f>
        <v>45.688225887173445</v>
      </c>
      <c r="E79" s="203">
        <f>IF((E84/365)=0,0,+E83/(E84/365))</f>
        <v>46.709106211161611</v>
      </c>
      <c r="F79" s="80"/>
    </row>
    <row r="80" spans="1:6" ht="24" customHeight="1" x14ac:dyDescent="0.25">
      <c r="A80" s="173">
        <v>12</v>
      </c>
      <c r="B80" s="211" t="s">
        <v>359</v>
      </c>
      <c r="C80" s="212">
        <v>6927031</v>
      </c>
      <c r="D80" s="212">
        <v>7018848</v>
      </c>
      <c r="E80" s="212">
        <v>6272473</v>
      </c>
      <c r="F80" s="80"/>
    </row>
    <row r="81" spans="1:6" ht="24" customHeight="1" x14ac:dyDescent="0.25">
      <c r="A81" s="173">
        <v>13</v>
      </c>
      <c r="B81" s="211" t="s">
        <v>21</v>
      </c>
      <c r="C81" s="212">
        <v>0</v>
      </c>
      <c r="D81" s="212">
        <v>0</v>
      </c>
      <c r="E81" s="212">
        <v>137029</v>
      </c>
      <c r="F81" s="80"/>
    </row>
    <row r="82" spans="1:6" ht="24" customHeight="1" x14ac:dyDescent="0.25">
      <c r="A82" s="173">
        <v>14</v>
      </c>
      <c r="B82" s="211" t="s">
        <v>49</v>
      </c>
      <c r="C82" s="212">
        <v>0</v>
      </c>
      <c r="D82" s="212">
        <v>291175</v>
      </c>
      <c r="E82" s="212">
        <v>0</v>
      </c>
      <c r="F82" s="80"/>
    </row>
    <row r="83" spans="1:6" ht="33.950000000000003" customHeight="1" x14ac:dyDescent="0.25">
      <c r="A83" s="173">
        <v>15</v>
      </c>
      <c r="B83" s="82" t="s">
        <v>360</v>
      </c>
      <c r="C83" s="212">
        <f>+C80+C81-C82</f>
        <v>6927031</v>
      </c>
      <c r="D83" s="212">
        <f>+D80+D81-D82</f>
        <v>6727673</v>
      </c>
      <c r="E83" s="212">
        <f>+E80+E81-E82</f>
        <v>6409502</v>
      </c>
      <c r="F83" s="80"/>
    </row>
    <row r="84" spans="1:6" ht="24" customHeight="1" x14ac:dyDescent="0.25">
      <c r="A84" s="173">
        <v>16</v>
      </c>
      <c r="B84" s="75" t="s">
        <v>75</v>
      </c>
      <c r="C84" s="204">
        <f>+C11</f>
        <v>54558825</v>
      </c>
      <c r="D84" s="204">
        <f>+D11</f>
        <v>53746903</v>
      </c>
      <c r="E84" s="204">
        <f>+E11</f>
        <v>50085913</v>
      </c>
      <c r="F84" s="80"/>
    </row>
    <row r="85" spans="1:6" ht="24" customHeight="1" x14ac:dyDescent="0.25">
      <c r="A85" s="190"/>
      <c r="B85" s="75"/>
      <c r="C85" s="76"/>
      <c r="D85" s="213"/>
      <c r="E85" s="213"/>
      <c r="F85" s="80"/>
    </row>
    <row r="86" spans="1:6" ht="24" customHeight="1" x14ac:dyDescent="0.25">
      <c r="A86" s="71">
        <v>17</v>
      </c>
      <c r="B86" s="72" t="s">
        <v>361</v>
      </c>
      <c r="C86" s="203">
        <f>IF((C90/365)=0,0,+C87/(C90/365))</f>
        <v>39.159923838456677</v>
      </c>
      <c r="D86" s="203">
        <f>IF((D90/365)=0,0,+D87/(D90/365))</f>
        <v>42.488526498413357</v>
      </c>
      <c r="E86" s="203">
        <f>IF((E90/365)=0,0,+E87/(E90/365))</f>
        <v>38.269875229302997</v>
      </c>
      <c r="F86" s="181"/>
    </row>
    <row r="87" spans="1:6" ht="24" customHeight="1" x14ac:dyDescent="0.25">
      <c r="A87" s="173">
        <v>18</v>
      </c>
      <c r="B87" s="75" t="s">
        <v>54</v>
      </c>
      <c r="C87" s="76">
        <f>+C69</f>
        <v>5224185</v>
      </c>
      <c r="D87" s="76">
        <f>+D69</f>
        <v>5400972</v>
      </c>
      <c r="E87" s="76">
        <f>+E69</f>
        <v>4788673</v>
      </c>
      <c r="F87" s="80"/>
    </row>
    <row r="88" spans="1:6" ht="24" customHeight="1" x14ac:dyDescent="0.25">
      <c r="A88" s="173">
        <v>19</v>
      </c>
      <c r="B88" s="75" t="s">
        <v>334</v>
      </c>
      <c r="C88" s="76">
        <f t="shared" ref="C88:E89" si="0">+C75</f>
        <v>51745114</v>
      </c>
      <c r="D88" s="76">
        <f t="shared" si="0"/>
        <v>49401485</v>
      </c>
      <c r="E88" s="76">
        <f t="shared" si="0"/>
        <v>48236048</v>
      </c>
      <c r="F88" s="80"/>
    </row>
    <row r="89" spans="1:6" ht="24" customHeight="1" x14ac:dyDescent="0.25">
      <c r="A89" s="173">
        <v>20</v>
      </c>
      <c r="B89" s="75" t="s">
        <v>356</v>
      </c>
      <c r="C89" s="201">
        <f t="shared" si="0"/>
        <v>3051773</v>
      </c>
      <c r="D89" s="201">
        <f t="shared" si="0"/>
        <v>3004141</v>
      </c>
      <c r="E89" s="201">
        <f t="shared" si="0"/>
        <v>2563946</v>
      </c>
      <c r="F89" s="80"/>
    </row>
    <row r="90" spans="1:6" ht="24" customHeight="1" x14ac:dyDescent="0.25">
      <c r="A90" s="173">
        <v>21</v>
      </c>
      <c r="B90" s="75" t="s">
        <v>362</v>
      </c>
      <c r="C90" s="76">
        <f>+C88-C89</f>
        <v>48693341</v>
      </c>
      <c r="D90" s="76">
        <f>+D88-D89</f>
        <v>46397344</v>
      </c>
      <c r="E90" s="76">
        <f>+E88-E89</f>
        <v>45672102</v>
      </c>
      <c r="F90" s="80"/>
    </row>
    <row r="91" spans="1:6" ht="24" customHeight="1" x14ac:dyDescent="0.25">
      <c r="A91" s="190"/>
      <c r="B91" s="75"/>
      <c r="C91" s="76"/>
      <c r="D91" s="76"/>
      <c r="E91" s="88"/>
      <c r="F91" s="80"/>
    </row>
    <row r="92" spans="1:6" ht="24" customHeight="1" x14ac:dyDescent="0.25">
      <c r="A92" s="71" t="s">
        <v>181</v>
      </c>
      <c r="B92" s="191" t="s">
        <v>363</v>
      </c>
      <c r="C92" s="76"/>
      <c r="D92" s="76"/>
      <c r="E92" s="88"/>
      <c r="F92" s="80"/>
    </row>
    <row r="93" spans="1:6" ht="24" customHeight="1" x14ac:dyDescent="0.25">
      <c r="A93" s="71"/>
      <c r="B93" s="191"/>
      <c r="C93" s="76"/>
      <c r="D93" s="76"/>
      <c r="E93" s="88"/>
      <c r="F93" s="80"/>
    </row>
    <row r="94" spans="1:6" ht="24" customHeight="1" x14ac:dyDescent="0.25">
      <c r="A94" s="71">
        <v>1</v>
      </c>
      <c r="B94" s="72" t="s">
        <v>364</v>
      </c>
      <c r="C94" s="214">
        <f>IF(C96=0,0,(C95/C96)*100)</f>
        <v>52.924117102660162</v>
      </c>
      <c r="D94" s="214">
        <f>IF(D96=0,0,(D95/D96)*100)</f>
        <v>65.187964861126886</v>
      </c>
      <c r="E94" s="214">
        <f>IF(E96=0,0,(E95/E96)*100)</f>
        <v>74.871035856567332</v>
      </c>
      <c r="F94" s="80"/>
    </row>
    <row r="95" spans="1:6" ht="24" customHeight="1" x14ac:dyDescent="0.25">
      <c r="A95" s="173">
        <v>2</v>
      </c>
      <c r="B95" s="75" t="s">
        <v>67</v>
      </c>
      <c r="C95" s="76">
        <f>+C32</f>
        <v>24878651</v>
      </c>
      <c r="D95" s="76">
        <f>+D32</f>
        <v>30054582</v>
      </c>
      <c r="E95" s="76">
        <f>+E32</f>
        <v>32809453</v>
      </c>
      <c r="F95" s="80"/>
    </row>
    <row r="96" spans="1:6" ht="24" customHeight="1" x14ac:dyDescent="0.25">
      <c r="A96" s="173">
        <v>3</v>
      </c>
      <c r="B96" s="75" t="s">
        <v>43</v>
      </c>
      <c r="C96" s="76">
        <v>47008155</v>
      </c>
      <c r="D96" s="76">
        <v>46104495</v>
      </c>
      <c r="E96" s="76">
        <v>43821289</v>
      </c>
      <c r="F96" s="80"/>
    </row>
    <row r="97" spans="1:6" ht="24" customHeight="1" x14ac:dyDescent="0.25">
      <c r="A97" s="190"/>
      <c r="B97" s="72"/>
      <c r="C97" s="215"/>
      <c r="D97" s="215"/>
      <c r="E97" s="88"/>
      <c r="F97" s="80"/>
    </row>
    <row r="98" spans="1:6" ht="24" customHeight="1" x14ac:dyDescent="0.25">
      <c r="A98" s="71">
        <v>4</v>
      </c>
      <c r="B98" s="72" t="s">
        <v>365</v>
      </c>
      <c r="C98" s="214">
        <f>IF(C104=0,0,(C101/C104)*100)</f>
        <v>31.402971741264341</v>
      </c>
      <c r="D98" s="214">
        <f>IF(D104=0,0,(D101/D104)*100)</f>
        <v>54.673585702277869</v>
      </c>
      <c r="E98" s="214">
        <f>IF(E104=0,0,(E101/E104)*100)</f>
        <v>60.822784726232548</v>
      </c>
      <c r="F98" s="80"/>
    </row>
    <row r="99" spans="1:6" ht="24" customHeight="1" x14ac:dyDescent="0.25">
      <c r="A99" s="173">
        <v>5</v>
      </c>
      <c r="B99" s="75" t="s">
        <v>366</v>
      </c>
      <c r="C99" s="76">
        <f>+C28</f>
        <v>3267241</v>
      </c>
      <c r="D99" s="76">
        <f>+D28</f>
        <v>4774603</v>
      </c>
      <c r="E99" s="76">
        <f>+E28</f>
        <v>2942348</v>
      </c>
      <c r="F99" s="80"/>
    </row>
    <row r="100" spans="1:6" ht="24" customHeight="1" x14ac:dyDescent="0.25">
      <c r="A100" s="173">
        <v>6</v>
      </c>
      <c r="B100" s="75" t="s">
        <v>356</v>
      </c>
      <c r="C100" s="201">
        <f>+C76</f>
        <v>3051773</v>
      </c>
      <c r="D100" s="201">
        <f>+D76</f>
        <v>3004141</v>
      </c>
      <c r="E100" s="201">
        <f>+E76</f>
        <v>2563946</v>
      </c>
      <c r="F100" s="80"/>
    </row>
    <row r="101" spans="1:6" ht="24" customHeight="1" x14ac:dyDescent="0.25">
      <c r="A101" s="173">
        <v>7</v>
      </c>
      <c r="B101" s="75" t="s">
        <v>367</v>
      </c>
      <c r="C101" s="76">
        <f>+C99+C100</f>
        <v>6319014</v>
      </c>
      <c r="D101" s="76">
        <f>+D99+D100</f>
        <v>7778744</v>
      </c>
      <c r="E101" s="76">
        <f>+E99+E100</f>
        <v>5506294</v>
      </c>
      <c r="F101" s="80"/>
    </row>
    <row r="102" spans="1:6" ht="24" customHeight="1" x14ac:dyDescent="0.25">
      <c r="A102" s="173">
        <v>8</v>
      </c>
      <c r="B102" s="75" t="s">
        <v>54</v>
      </c>
      <c r="C102" s="204">
        <f>+C69</f>
        <v>5224185</v>
      </c>
      <c r="D102" s="204">
        <f>+D69</f>
        <v>5400972</v>
      </c>
      <c r="E102" s="204">
        <f>+E69</f>
        <v>4788673</v>
      </c>
      <c r="F102" s="80"/>
    </row>
    <row r="103" spans="1:6" ht="24" customHeight="1" x14ac:dyDescent="0.25">
      <c r="A103" s="173">
        <v>9</v>
      </c>
      <c r="B103" s="75" t="s">
        <v>58</v>
      </c>
      <c r="C103" s="216">
        <v>14898159</v>
      </c>
      <c r="D103" s="216">
        <v>8826637</v>
      </c>
      <c r="E103" s="216">
        <v>4264339</v>
      </c>
      <c r="F103" s="80"/>
    </row>
    <row r="104" spans="1:6" ht="24" customHeight="1" x14ac:dyDescent="0.25">
      <c r="A104" s="173">
        <v>10</v>
      </c>
      <c r="B104" s="91" t="s">
        <v>368</v>
      </c>
      <c r="C104" s="204">
        <f>+C102+C103</f>
        <v>20122344</v>
      </c>
      <c r="D104" s="204">
        <f>+D102+D103</f>
        <v>14227609</v>
      </c>
      <c r="E104" s="204">
        <f>+E102+E103</f>
        <v>9053012</v>
      </c>
      <c r="F104" s="80"/>
    </row>
    <row r="105" spans="1:6" ht="24" customHeight="1" x14ac:dyDescent="0.25">
      <c r="A105" s="190"/>
      <c r="B105" s="72"/>
      <c r="C105" s="215"/>
      <c r="D105" s="215"/>
      <c r="E105" s="209"/>
      <c r="F105" s="80"/>
    </row>
    <row r="106" spans="1:6" ht="24" customHeight="1" x14ac:dyDescent="0.25">
      <c r="A106" s="83">
        <v>11</v>
      </c>
      <c r="B106" s="72" t="s">
        <v>369</v>
      </c>
      <c r="C106" s="214">
        <f>IF(C109=0,0,(C107/C109)*100)</f>
        <v>37.454383596874663</v>
      </c>
      <c r="D106" s="214">
        <f>IF(D109=0,0,(D107/D109)*100)</f>
        <v>22.701543899639567</v>
      </c>
      <c r="E106" s="214">
        <f>IF(E109=0,0,(E107/E109)*100)</f>
        <v>11.502300600920456</v>
      </c>
      <c r="F106" s="80"/>
    </row>
    <row r="107" spans="1:6" ht="24" customHeight="1" x14ac:dyDescent="0.25">
      <c r="A107" s="217">
        <v>12</v>
      </c>
      <c r="B107" s="75" t="s">
        <v>58</v>
      </c>
      <c r="C107" s="204">
        <f>+C103</f>
        <v>14898159</v>
      </c>
      <c r="D107" s="204">
        <f>+D103</f>
        <v>8826637</v>
      </c>
      <c r="E107" s="204">
        <f>+E103</f>
        <v>4264339</v>
      </c>
      <c r="F107" s="80"/>
    </row>
    <row r="108" spans="1:6" ht="24" customHeight="1" x14ac:dyDescent="0.25">
      <c r="A108" s="217">
        <v>13</v>
      </c>
      <c r="B108" s="75" t="s">
        <v>67</v>
      </c>
      <c r="C108" s="204">
        <f>+C32</f>
        <v>24878651</v>
      </c>
      <c r="D108" s="204">
        <f>+D32</f>
        <v>30054582</v>
      </c>
      <c r="E108" s="204">
        <f>+E32</f>
        <v>32809453</v>
      </c>
      <c r="F108" s="80"/>
    </row>
    <row r="109" spans="1:6" ht="24" customHeight="1" x14ac:dyDescent="0.25">
      <c r="A109" s="217">
        <v>14</v>
      </c>
      <c r="B109" s="75" t="s">
        <v>370</v>
      </c>
      <c r="C109" s="204">
        <f>+C107+C108</f>
        <v>39776810</v>
      </c>
      <c r="D109" s="204">
        <f>+D107+D108</f>
        <v>38881219</v>
      </c>
      <c r="E109" s="204">
        <f>+E107+E108</f>
        <v>37073792</v>
      </c>
      <c r="F109" s="80"/>
    </row>
    <row r="110" spans="1:6" ht="24" customHeight="1" x14ac:dyDescent="0.25">
      <c r="A110" s="190"/>
      <c r="B110" s="75"/>
      <c r="C110" s="76"/>
      <c r="D110" s="76"/>
      <c r="E110" s="88"/>
      <c r="F110" s="80"/>
    </row>
    <row r="111" spans="1:6" ht="24" customHeight="1" x14ac:dyDescent="0.25">
      <c r="A111" s="83" t="s">
        <v>371</v>
      </c>
      <c r="B111" s="72" t="s">
        <v>372</v>
      </c>
      <c r="C111" s="214">
        <f>IF((+C113+C115)=0,0,((+C112+C113+C114)/(+C113+C115)))</f>
        <v>0.19085183299050298</v>
      </c>
      <c r="D111" s="214">
        <f>IF((+D113+D115)=0,0,((+D112+D113+D114)/(+D113+D115)))</f>
        <v>7778744</v>
      </c>
      <c r="E111" s="214">
        <f>IF((+E113+E115)=0,0,((+E112+E113+E114)/(+E113+E115)))</f>
        <v>489.83993252840907</v>
      </c>
    </row>
    <row r="112" spans="1:6" ht="24" customHeight="1" x14ac:dyDescent="0.2">
      <c r="A112" s="85">
        <v>16</v>
      </c>
      <c r="B112" s="75" t="s">
        <v>373</v>
      </c>
      <c r="C112" s="218">
        <f>+C17</f>
        <v>3267241</v>
      </c>
      <c r="D112" s="76">
        <f>+D17</f>
        <v>4774603</v>
      </c>
      <c r="E112" s="76">
        <f>+E17</f>
        <v>2942348</v>
      </c>
    </row>
    <row r="113" spans="1:8" ht="24" customHeight="1" x14ac:dyDescent="0.2">
      <c r="A113" s="85">
        <v>17</v>
      </c>
      <c r="B113" s="75" t="s">
        <v>88</v>
      </c>
      <c r="C113" s="218">
        <v>136325</v>
      </c>
      <c r="D113" s="76">
        <v>0</v>
      </c>
      <c r="E113" s="76">
        <v>11263</v>
      </c>
    </row>
    <row r="114" spans="1:8" ht="24" customHeight="1" x14ac:dyDescent="0.2">
      <c r="A114" s="85">
        <v>18</v>
      </c>
      <c r="B114" s="75" t="s">
        <v>374</v>
      </c>
      <c r="C114" s="218">
        <v>3051773</v>
      </c>
      <c r="D114" s="76">
        <v>3004141</v>
      </c>
      <c r="E114" s="76">
        <v>2563946</v>
      </c>
    </row>
    <row r="115" spans="1:8" ht="24" customHeight="1" x14ac:dyDescent="0.2">
      <c r="A115" s="85">
        <v>19</v>
      </c>
      <c r="B115" s="75" t="s">
        <v>104</v>
      </c>
      <c r="C115" s="218">
        <v>33687500</v>
      </c>
      <c r="D115" s="76">
        <v>1</v>
      </c>
      <c r="E115" s="76">
        <v>1</v>
      </c>
    </row>
    <row r="116" spans="1:8" ht="24" customHeight="1" x14ac:dyDescent="0.25">
      <c r="A116" s="190"/>
      <c r="B116" s="75"/>
      <c r="C116" s="76"/>
      <c r="D116" s="76"/>
      <c r="E116" s="88"/>
      <c r="F116" s="80"/>
    </row>
    <row r="117" spans="1:8" ht="24" customHeight="1" x14ac:dyDescent="0.25">
      <c r="A117" s="83" t="s">
        <v>183</v>
      </c>
      <c r="B117" s="72" t="s">
        <v>375</v>
      </c>
      <c r="C117" s="79"/>
      <c r="D117" s="79"/>
      <c r="E117" s="88"/>
    </row>
    <row r="118" spans="1:8" ht="24" customHeight="1" x14ac:dyDescent="0.25">
      <c r="A118" s="190"/>
      <c r="B118" s="75"/>
      <c r="C118" s="76"/>
      <c r="D118" s="76"/>
      <c r="E118" s="88"/>
      <c r="F118" s="80"/>
    </row>
    <row r="119" spans="1:8" ht="24" customHeight="1" x14ac:dyDescent="0.25">
      <c r="A119" s="83" t="s">
        <v>376</v>
      </c>
      <c r="B119" s="72" t="s">
        <v>377</v>
      </c>
      <c r="C119" s="214">
        <f>IF(+C121=0,0,(+C120)/(+C121))</f>
        <v>8.5329213542422711</v>
      </c>
      <c r="D119" s="214">
        <f>IF(+D121=0,0,(+D120)/(+D121))</f>
        <v>9.5037792833292443</v>
      </c>
      <c r="E119" s="214">
        <f>IF(+E121=0,0,(+E120)/(+E121))</f>
        <v>12.123338011018953</v>
      </c>
    </row>
    <row r="120" spans="1:8" ht="24" customHeight="1" x14ac:dyDescent="0.2">
      <c r="A120" s="85">
        <v>21</v>
      </c>
      <c r="B120" s="75" t="s">
        <v>378</v>
      </c>
      <c r="C120" s="218">
        <v>26040539</v>
      </c>
      <c r="D120" s="218">
        <v>28550693</v>
      </c>
      <c r="E120" s="218">
        <v>31083584</v>
      </c>
    </row>
    <row r="121" spans="1:8" ht="24" customHeight="1" x14ac:dyDescent="0.2">
      <c r="A121" s="85">
        <v>22</v>
      </c>
      <c r="B121" s="75" t="s">
        <v>374</v>
      </c>
      <c r="C121" s="218">
        <v>3051773</v>
      </c>
      <c r="D121" s="218">
        <v>3004141</v>
      </c>
      <c r="E121" s="218">
        <v>2563946</v>
      </c>
    </row>
    <row r="122" spans="1:8" ht="24" customHeight="1" x14ac:dyDescent="0.25">
      <c r="A122" s="190"/>
      <c r="B122" s="75"/>
      <c r="C122" s="76"/>
      <c r="D122" s="76"/>
      <c r="E122" s="88"/>
      <c r="F122" s="80"/>
    </row>
    <row r="123" spans="1:8" ht="24" customHeight="1" x14ac:dyDescent="0.25">
      <c r="A123" s="83" t="s">
        <v>185</v>
      </c>
      <c r="B123" s="72" t="s">
        <v>379</v>
      </c>
      <c r="C123" s="79"/>
      <c r="D123" s="79"/>
      <c r="E123" s="88"/>
    </row>
    <row r="124" spans="1:8" ht="24" customHeight="1" x14ac:dyDescent="0.2">
      <c r="A124" s="85">
        <v>1</v>
      </c>
      <c r="B124" s="75" t="s">
        <v>380</v>
      </c>
      <c r="C124" s="218">
        <v>11914</v>
      </c>
      <c r="D124" s="218">
        <v>12338</v>
      </c>
      <c r="E124" s="218">
        <v>11690</v>
      </c>
    </row>
    <row r="125" spans="1:8" ht="24" customHeight="1" x14ac:dyDescent="0.2">
      <c r="A125" s="85">
        <v>2</v>
      </c>
      <c r="B125" s="75" t="s">
        <v>381</v>
      </c>
      <c r="C125" s="218">
        <v>2685</v>
      </c>
      <c r="D125" s="218">
        <v>2878</v>
      </c>
      <c r="E125" s="218">
        <v>2616</v>
      </c>
    </row>
    <row r="126" spans="1:8" ht="24" customHeight="1" x14ac:dyDescent="0.2">
      <c r="A126" s="85">
        <v>3</v>
      </c>
      <c r="B126" s="75" t="s">
        <v>382</v>
      </c>
      <c r="C126" s="219">
        <f>IF(C125=0,0,C124/C125)</f>
        <v>4.4372439478584731</v>
      </c>
      <c r="D126" s="219">
        <f>IF(D125=0,0,D124/D125)</f>
        <v>4.2870048644892282</v>
      </c>
      <c r="E126" s="219">
        <f>IF(E125=0,0,E124/E125)</f>
        <v>4.4686544342507641</v>
      </c>
    </row>
    <row r="127" spans="1:8" ht="24" customHeight="1" x14ac:dyDescent="0.2">
      <c r="A127" s="85">
        <v>4</v>
      </c>
      <c r="B127" s="75" t="s">
        <v>383</v>
      </c>
      <c r="C127" s="218">
        <v>49</v>
      </c>
      <c r="D127" s="218">
        <v>49</v>
      </c>
      <c r="E127" s="218">
        <v>49</v>
      </c>
    </row>
    <row r="128" spans="1:8" ht="24" customHeight="1" x14ac:dyDescent="0.2">
      <c r="A128" s="85">
        <v>5</v>
      </c>
      <c r="B128" s="75" t="s">
        <v>384</v>
      </c>
      <c r="C128" s="218">
        <v>0</v>
      </c>
      <c r="D128" s="218">
        <v>94</v>
      </c>
      <c r="E128" s="218">
        <v>94</v>
      </c>
      <c r="G128" s="220"/>
      <c r="H128" s="221"/>
    </row>
    <row r="129" spans="1:7" ht="24" customHeight="1" x14ac:dyDescent="0.2">
      <c r="A129" s="85">
        <v>6</v>
      </c>
      <c r="B129" s="75" t="s">
        <v>385</v>
      </c>
      <c r="C129" s="218">
        <v>94</v>
      </c>
      <c r="D129" s="218">
        <v>78</v>
      </c>
      <c r="E129" s="218">
        <v>94</v>
      </c>
    </row>
    <row r="130" spans="1:7" ht="24" customHeight="1" x14ac:dyDescent="0.2">
      <c r="A130" s="85">
        <v>7</v>
      </c>
      <c r="B130" s="75" t="s">
        <v>386</v>
      </c>
      <c r="C130" s="193">
        <v>0.66610000000000003</v>
      </c>
      <c r="D130" s="193">
        <v>0.68979999999999997</v>
      </c>
      <c r="E130" s="193">
        <v>0.65359999999999996</v>
      </c>
    </row>
    <row r="131" spans="1:7" ht="24" customHeight="1" x14ac:dyDescent="0.2">
      <c r="A131" s="85">
        <v>8</v>
      </c>
      <c r="B131" s="75" t="s">
        <v>387</v>
      </c>
      <c r="C131" s="193">
        <v>0.34720000000000001</v>
      </c>
      <c r="D131" s="193">
        <v>0.35959999999999998</v>
      </c>
      <c r="E131" s="193">
        <v>0.3407</v>
      </c>
    </row>
    <row r="132" spans="1:7" ht="24" customHeight="1" x14ac:dyDescent="0.2">
      <c r="A132" s="85">
        <v>9</v>
      </c>
      <c r="B132" s="75" t="s">
        <v>388</v>
      </c>
      <c r="C132" s="219">
        <v>255.6</v>
      </c>
      <c r="D132" s="219">
        <v>247.4</v>
      </c>
      <c r="E132" s="219">
        <v>259.60000000000002</v>
      </c>
    </row>
    <row r="133" spans="1:7" ht="24" customHeight="1" x14ac:dyDescent="0.2">
      <c r="B133" s="56"/>
    </row>
    <row r="134" spans="1:7" ht="20.100000000000001" customHeight="1" x14ac:dyDescent="0.25">
      <c r="A134" s="223" t="s">
        <v>12</v>
      </c>
      <c r="B134" s="72" t="s">
        <v>389</v>
      </c>
      <c r="C134" s="224"/>
      <c r="D134" s="224"/>
      <c r="E134" s="224"/>
      <c r="F134" s="225"/>
    </row>
    <row r="135" spans="1:7" ht="20.100000000000001" customHeight="1" x14ac:dyDescent="0.2">
      <c r="A135" s="226">
        <v>1</v>
      </c>
      <c r="B135" s="91" t="s">
        <v>390</v>
      </c>
      <c r="C135" s="227">
        <f>IF(C149=0,0,C143/C149)</f>
        <v>0.3510957202959985</v>
      </c>
      <c r="D135" s="227">
        <f>IF(D149=0,0,D143/D149)</f>
        <v>0.34889705269445936</v>
      </c>
      <c r="E135" s="227">
        <f>IF(E149=0,0,E143/E149)</f>
        <v>0.34019464464537452</v>
      </c>
      <c r="G135" s="220"/>
    </row>
    <row r="136" spans="1:7" ht="20.100000000000001" customHeight="1" x14ac:dyDescent="0.2">
      <c r="A136" s="226">
        <v>2</v>
      </c>
      <c r="B136" s="91" t="s">
        <v>391</v>
      </c>
      <c r="C136" s="227">
        <f>IF(C149=0,0,C144/C149)</f>
        <v>0.5157301102196411</v>
      </c>
      <c r="D136" s="227">
        <f>IF(D149=0,0,D144/D149)</f>
        <v>0.51560338267278383</v>
      </c>
      <c r="E136" s="227">
        <f>IF(E149=0,0,E144/E149)</f>
        <v>0.50645889881493755</v>
      </c>
    </row>
    <row r="137" spans="1:7" ht="20.100000000000001" customHeight="1" x14ac:dyDescent="0.2">
      <c r="A137" s="226">
        <v>3</v>
      </c>
      <c r="B137" s="91" t="s">
        <v>392</v>
      </c>
      <c r="C137" s="227">
        <f>IF(C149=0,0,C145/C149)</f>
        <v>5.8255131751909259E-2</v>
      </c>
      <c r="D137" s="227">
        <f>IF(D149=0,0,D145/D149)</f>
        <v>5.7267494080786539E-2</v>
      </c>
      <c r="E137" s="227">
        <f>IF(E149=0,0,E145/E149)</f>
        <v>7.3909144694064913E-2</v>
      </c>
      <c r="G137" s="220"/>
    </row>
    <row r="138" spans="1:7" ht="20.100000000000001" customHeight="1" x14ac:dyDescent="0.2">
      <c r="A138" s="226">
        <v>4</v>
      </c>
      <c r="B138" s="91" t="s">
        <v>393</v>
      </c>
      <c r="C138" s="227">
        <f>IF(C149=0,0,C146/C149)</f>
        <v>4.4035881358737233E-2</v>
      </c>
      <c r="D138" s="227">
        <f>IF(D149=0,0,D146/D149)</f>
        <v>5.0573889731462963E-2</v>
      </c>
      <c r="E138" s="227">
        <f>IF(E149=0,0,E146/E149)</f>
        <v>5.8226660756542016E-2</v>
      </c>
      <c r="G138" s="220"/>
    </row>
    <row r="139" spans="1:7" ht="20.100000000000001" customHeight="1" x14ac:dyDescent="0.2">
      <c r="A139" s="226">
        <v>5</v>
      </c>
      <c r="B139" s="91" t="s">
        <v>394</v>
      </c>
      <c r="C139" s="227">
        <f>IF(C149=0,0,C147/C149)</f>
        <v>2.8257046774739641E-2</v>
      </c>
      <c r="D139" s="227">
        <f>IF(D149=0,0,D147/D149)</f>
        <v>2.5789508459930714E-2</v>
      </c>
      <c r="E139" s="227">
        <f>IF(E149=0,0,E147/E149)</f>
        <v>1.9666886008256106E-2</v>
      </c>
    </row>
    <row r="140" spans="1:7" ht="20.100000000000001" customHeight="1" x14ac:dyDescent="0.2">
      <c r="A140" s="226">
        <v>6</v>
      </c>
      <c r="B140" s="91" t="s">
        <v>395</v>
      </c>
      <c r="C140" s="227">
        <f>IF(C149=0,0,C148/C149)</f>
        <v>2.6261095989742818E-3</v>
      </c>
      <c r="D140" s="227">
        <f>IF(D149=0,0,D148/D149)</f>
        <v>1.8686723605765075E-3</v>
      </c>
      <c r="E140" s="227">
        <f>IF(E149=0,0,E148/E149)</f>
        <v>1.5437650808249315E-3</v>
      </c>
    </row>
    <row r="141" spans="1:7" ht="20.100000000000001" customHeight="1" x14ac:dyDescent="0.2">
      <c r="A141" s="226">
        <v>7</v>
      </c>
      <c r="B141" s="91" t="s">
        <v>396</v>
      </c>
      <c r="C141" s="227">
        <f>SUM(C135:C140)</f>
        <v>0.99999999999999989</v>
      </c>
      <c r="D141" s="227">
        <f>SUM(D135:D140)</f>
        <v>0.99999999999999989</v>
      </c>
      <c r="E141" s="227">
        <f>SUM(E135:E140)</f>
        <v>1</v>
      </c>
    </row>
    <row r="142" spans="1:7" ht="20.100000000000001" customHeight="1" x14ac:dyDescent="0.2">
      <c r="A142" s="56"/>
      <c r="B142" s="56"/>
      <c r="C142" s="224"/>
      <c r="D142" s="224"/>
      <c r="E142" s="224"/>
    </row>
    <row r="143" spans="1:7" ht="20.100000000000001" customHeight="1" x14ac:dyDescent="0.2">
      <c r="A143" s="226">
        <v>8</v>
      </c>
      <c r="B143" s="224" t="s">
        <v>397</v>
      </c>
      <c r="C143" s="228">
        <f>+C46-C147</f>
        <v>48602802</v>
      </c>
      <c r="D143" s="229">
        <f>+D46-D147</f>
        <v>51441745</v>
      </c>
      <c r="E143" s="229">
        <f>+E46-E147</f>
        <v>49386855</v>
      </c>
    </row>
    <row r="144" spans="1:7" ht="20.100000000000001" customHeight="1" x14ac:dyDescent="0.2">
      <c r="A144" s="226">
        <v>9</v>
      </c>
      <c r="B144" s="224" t="s">
        <v>398</v>
      </c>
      <c r="C144" s="230">
        <f>+C51</f>
        <v>71393432</v>
      </c>
      <c r="D144" s="229">
        <f>+D51</f>
        <v>76021100</v>
      </c>
      <c r="E144" s="229">
        <f>+E51</f>
        <v>73523827</v>
      </c>
    </row>
    <row r="145" spans="1:7" ht="20.100000000000001" customHeight="1" x14ac:dyDescent="0.2">
      <c r="A145" s="226">
        <v>10</v>
      </c>
      <c r="B145" s="224" t="s">
        <v>399</v>
      </c>
      <c r="C145" s="230">
        <f>+C55</f>
        <v>8064361</v>
      </c>
      <c r="D145" s="229">
        <f>+D55</f>
        <v>8443579</v>
      </c>
      <c r="E145" s="229">
        <f>+E55</f>
        <v>10729564</v>
      </c>
    </row>
    <row r="146" spans="1:7" ht="20.100000000000001" customHeight="1" x14ac:dyDescent="0.2">
      <c r="A146" s="226">
        <v>11</v>
      </c>
      <c r="B146" s="224" t="s">
        <v>400</v>
      </c>
      <c r="C146" s="228">
        <v>6095965</v>
      </c>
      <c r="D146" s="229">
        <v>7456667</v>
      </c>
      <c r="E146" s="229">
        <v>8452901</v>
      </c>
    </row>
    <row r="147" spans="1:7" ht="20.100000000000001" customHeight="1" x14ac:dyDescent="0.2">
      <c r="A147" s="226">
        <v>12</v>
      </c>
      <c r="B147" s="224" t="s">
        <v>401</v>
      </c>
      <c r="C147" s="230">
        <f>+C47</f>
        <v>3911673</v>
      </c>
      <c r="D147" s="229">
        <f>+D47</f>
        <v>3802432</v>
      </c>
      <c r="E147" s="229">
        <f>+E47</f>
        <v>2855088</v>
      </c>
    </row>
    <row r="148" spans="1:7" ht="20.100000000000001" customHeight="1" x14ac:dyDescent="0.2">
      <c r="A148" s="226">
        <v>13</v>
      </c>
      <c r="B148" s="224" t="s">
        <v>402</v>
      </c>
      <c r="C148" s="230">
        <v>363537</v>
      </c>
      <c r="D148" s="229">
        <v>275519</v>
      </c>
      <c r="E148" s="229">
        <v>224112</v>
      </c>
    </row>
    <row r="149" spans="1:7" ht="20.100000000000001" customHeight="1" x14ac:dyDescent="0.2">
      <c r="A149" s="226">
        <v>14</v>
      </c>
      <c r="B149" s="224" t="s">
        <v>403</v>
      </c>
      <c r="C149" s="228">
        <f>SUM(C143:C148)</f>
        <v>138431770</v>
      </c>
      <c r="D149" s="229">
        <f>SUM(D143:D148)</f>
        <v>147441042</v>
      </c>
      <c r="E149" s="229">
        <f>SUM(E143:E148)</f>
        <v>145172347</v>
      </c>
    </row>
    <row r="150" spans="1:7" ht="20.100000000000001" customHeight="1" x14ac:dyDescent="0.2">
      <c r="A150" s="56"/>
      <c r="B150" s="56"/>
      <c r="C150" s="224"/>
      <c r="D150" s="224"/>
      <c r="E150" s="224"/>
    </row>
    <row r="151" spans="1:7" ht="20.100000000000001" customHeight="1" x14ac:dyDescent="0.25">
      <c r="A151" s="223" t="s">
        <v>195</v>
      </c>
      <c r="B151" s="72" t="s">
        <v>404</v>
      </c>
      <c r="C151" s="224"/>
      <c r="D151" s="224"/>
      <c r="E151" s="224"/>
    </row>
    <row r="152" spans="1:7" ht="20.100000000000001" customHeight="1" x14ac:dyDescent="0.2">
      <c r="A152" s="226">
        <v>1</v>
      </c>
      <c r="B152" s="91" t="s">
        <v>405</v>
      </c>
      <c r="C152" s="227">
        <f>IF(C166=0,0,C160/C166)</f>
        <v>0.44173707004047191</v>
      </c>
      <c r="D152" s="227">
        <f>IF(D166=0,0,D160/D166)</f>
        <v>0.42762401361545627</v>
      </c>
      <c r="E152" s="227">
        <f>IF(E166=0,0,E160/E166)</f>
        <v>0.42641642737057789</v>
      </c>
    </row>
    <row r="153" spans="1:7" ht="20.100000000000001" customHeight="1" x14ac:dyDescent="0.2">
      <c r="A153" s="226">
        <v>2</v>
      </c>
      <c r="B153" s="91" t="s">
        <v>406</v>
      </c>
      <c r="C153" s="227">
        <f>IF(C166=0,0,C161/C166)</f>
        <v>0.47705509581612404</v>
      </c>
      <c r="D153" s="227">
        <f>IF(D166=0,0,D161/D166)</f>
        <v>0.48451757180642718</v>
      </c>
      <c r="E153" s="227">
        <f>IF(E166=0,0,E161/E166)</f>
        <v>0.47931714353788263</v>
      </c>
    </row>
    <row r="154" spans="1:7" ht="20.100000000000001" customHeight="1" x14ac:dyDescent="0.2">
      <c r="A154" s="226">
        <v>3</v>
      </c>
      <c r="B154" s="91" t="s">
        <v>407</v>
      </c>
      <c r="C154" s="227">
        <f>IF(C166=0,0,C162/C166)</f>
        <v>3.9042045771877594E-2</v>
      </c>
      <c r="D154" s="227">
        <f>IF(D166=0,0,D162/D166)</f>
        <v>3.9731363538340385E-2</v>
      </c>
      <c r="E154" s="227">
        <f>IF(E166=0,0,E162/E166)</f>
        <v>4.960901740068481E-2</v>
      </c>
    </row>
    <row r="155" spans="1:7" ht="20.100000000000001" customHeight="1" x14ac:dyDescent="0.2">
      <c r="A155" s="226">
        <v>4</v>
      </c>
      <c r="B155" s="91" t="s">
        <v>408</v>
      </c>
      <c r="C155" s="227">
        <f>IF(C166=0,0,C163/C166)</f>
        <v>2.4683574184364437E-2</v>
      </c>
      <c r="D155" s="227">
        <f>IF(D166=0,0,D163/D166)</f>
        <v>3.3483921771134219E-2</v>
      </c>
      <c r="E155" s="227">
        <f>IF(E166=0,0,E163/E166)</f>
        <v>3.7676875421397402E-2</v>
      </c>
      <c r="G155" s="220"/>
    </row>
    <row r="156" spans="1:7" ht="20.100000000000001" customHeight="1" x14ac:dyDescent="0.2">
      <c r="A156" s="226">
        <v>5</v>
      </c>
      <c r="B156" s="91" t="s">
        <v>409</v>
      </c>
      <c r="C156" s="227">
        <f>IF(C166=0,0,C164/C166)</f>
        <v>1.3257349007379581E-2</v>
      </c>
      <c r="D156" s="227">
        <f>IF(D166=0,0,D164/D166)</f>
        <v>1.2372512099903128E-2</v>
      </c>
      <c r="E156" s="227">
        <f>IF(E166=0,0,E164/E166)</f>
        <v>5.663281081913594E-3</v>
      </c>
    </row>
    <row r="157" spans="1:7" ht="20.100000000000001" customHeight="1" x14ac:dyDescent="0.2">
      <c r="A157" s="226">
        <v>6</v>
      </c>
      <c r="B157" s="91" t="s">
        <v>410</v>
      </c>
      <c r="C157" s="227">
        <f>IF(C166=0,0,C165/C166)</f>
        <v>4.2248651797824471E-3</v>
      </c>
      <c r="D157" s="227">
        <f>IF(D166=0,0,D165/D166)</f>
        <v>2.270617168738864E-3</v>
      </c>
      <c r="E157" s="227">
        <f>IF(E166=0,0,E165/E166)</f>
        <v>1.3172551875436601E-3</v>
      </c>
    </row>
    <row r="158" spans="1:7" ht="20.100000000000001" customHeight="1" x14ac:dyDescent="0.2">
      <c r="A158" s="226">
        <v>7</v>
      </c>
      <c r="B158" s="91" t="s">
        <v>411</v>
      </c>
      <c r="C158" s="227">
        <f>SUM(C152:C157)</f>
        <v>1</v>
      </c>
      <c r="D158" s="227">
        <f>SUM(D152:D157)</f>
        <v>1</v>
      </c>
      <c r="E158" s="227">
        <f>SUM(E152:E157)</f>
        <v>1</v>
      </c>
    </row>
    <row r="159" spans="1:7" ht="20.100000000000001" customHeight="1" x14ac:dyDescent="0.2">
      <c r="A159" s="225"/>
      <c r="B159" s="56"/>
      <c r="C159" s="56"/>
      <c r="D159" s="225"/>
      <c r="E159" s="225"/>
    </row>
    <row r="160" spans="1:7" ht="20.100000000000001" customHeight="1" x14ac:dyDescent="0.2">
      <c r="A160" s="226">
        <v>8</v>
      </c>
      <c r="B160" s="224" t="s">
        <v>412</v>
      </c>
      <c r="C160" s="228">
        <f>+C44-C164</f>
        <v>22661678</v>
      </c>
      <c r="D160" s="229">
        <f>+D44-D164</f>
        <v>22504424</v>
      </c>
      <c r="E160" s="229">
        <f>+E44-E164</f>
        <v>21036353</v>
      </c>
    </row>
    <row r="161" spans="1:6" ht="20.100000000000001" customHeight="1" x14ac:dyDescent="0.2">
      <c r="A161" s="226">
        <v>9</v>
      </c>
      <c r="B161" s="224" t="s">
        <v>413</v>
      </c>
      <c r="C161" s="230">
        <f>+C50</f>
        <v>24473538</v>
      </c>
      <c r="D161" s="229">
        <f>+D50</f>
        <v>25498542</v>
      </c>
      <c r="E161" s="229">
        <f>+E50</f>
        <v>23646098</v>
      </c>
    </row>
    <row r="162" spans="1:6" ht="20.100000000000001" customHeight="1" x14ac:dyDescent="0.2">
      <c r="A162" s="226">
        <v>10</v>
      </c>
      <c r="B162" s="224" t="s">
        <v>414</v>
      </c>
      <c r="C162" s="230">
        <f>+C54</f>
        <v>2002907</v>
      </c>
      <c r="D162" s="229">
        <f>+D54</f>
        <v>2090929</v>
      </c>
      <c r="E162" s="229">
        <f>+E54</f>
        <v>2447356</v>
      </c>
    </row>
    <row r="163" spans="1:6" ht="20.100000000000001" customHeight="1" x14ac:dyDescent="0.2">
      <c r="A163" s="226">
        <v>11</v>
      </c>
      <c r="B163" s="224" t="s">
        <v>415</v>
      </c>
      <c r="C163" s="228">
        <v>1266299</v>
      </c>
      <c r="D163" s="229">
        <v>1762147</v>
      </c>
      <c r="E163" s="229">
        <v>1858709</v>
      </c>
    </row>
    <row r="164" spans="1:6" ht="20.100000000000001" customHeight="1" x14ac:dyDescent="0.2">
      <c r="A164" s="226">
        <v>12</v>
      </c>
      <c r="B164" s="224" t="s">
        <v>416</v>
      </c>
      <c r="C164" s="230">
        <f>+C45</f>
        <v>680119</v>
      </c>
      <c r="D164" s="229">
        <f>+D45</f>
        <v>651124</v>
      </c>
      <c r="E164" s="229">
        <f>+E45</f>
        <v>279386</v>
      </c>
    </row>
    <row r="165" spans="1:6" ht="20.100000000000001" customHeight="1" x14ac:dyDescent="0.2">
      <c r="A165" s="226">
        <v>13</v>
      </c>
      <c r="B165" s="224" t="s">
        <v>417</v>
      </c>
      <c r="C165" s="230">
        <v>216741</v>
      </c>
      <c r="D165" s="229">
        <v>119495</v>
      </c>
      <c r="E165" s="229">
        <v>64984</v>
      </c>
    </row>
    <row r="166" spans="1:6" ht="20.100000000000001" customHeight="1" x14ac:dyDescent="0.2">
      <c r="A166" s="226">
        <v>14</v>
      </c>
      <c r="B166" s="224" t="s">
        <v>418</v>
      </c>
      <c r="C166" s="228">
        <f>SUM(C160:C165)</f>
        <v>51301282</v>
      </c>
      <c r="D166" s="229">
        <f>SUM(D160:D165)</f>
        <v>52626661</v>
      </c>
      <c r="E166" s="229">
        <f>SUM(E160:E165)</f>
        <v>49332886</v>
      </c>
    </row>
    <row r="167" spans="1:6" ht="20.100000000000001" customHeight="1" x14ac:dyDescent="0.2">
      <c r="A167" s="225"/>
      <c r="B167" s="56"/>
      <c r="C167" s="56"/>
      <c r="D167" s="56"/>
      <c r="E167" s="56"/>
      <c r="F167" s="225"/>
    </row>
    <row r="168" spans="1:6" ht="20.100000000000001" customHeight="1" x14ac:dyDescent="0.25">
      <c r="A168" s="223" t="s">
        <v>226</v>
      </c>
      <c r="B168" s="72" t="s">
        <v>381</v>
      </c>
      <c r="C168" s="224"/>
      <c r="D168" s="224"/>
      <c r="E168" s="224"/>
    </row>
    <row r="169" spans="1:6" ht="20.100000000000001" customHeight="1" x14ac:dyDescent="0.2">
      <c r="A169" s="226">
        <v>1</v>
      </c>
      <c r="B169" s="224" t="s">
        <v>419</v>
      </c>
      <c r="C169" s="218">
        <v>743</v>
      </c>
      <c r="D169" s="218">
        <v>830</v>
      </c>
      <c r="E169" s="218">
        <v>703</v>
      </c>
    </row>
    <row r="170" spans="1:6" ht="20.100000000000001" customHeight="1" x14ac:dyDescent="0.2">
      <c r="A170" s="226">
        <v>2</v>
      </c>
      <c r="B170" s="224" t="s">
        <v>420</v>
      </c>
      <c r="C170" s="218">
        <v>1554</v>
      </c>
      <c r="D170" s="218">
        <v>1614</v>
      </c>
      <c r="E170" s="218">
        <v>1461</v>
      </c>
    </row>
    <row r="171" spans="1:6" ht="20.100000000000001" customHeight="1" x14ac:dyDescent="0.2">
      <c r="A171" s="226">
        <v>3</v>
      </c>
      <c r="B171" s="224" t="s">
        <v>421</v>
      </c>
      <c r="C171" s="218">
        <v>377</v>
      </c>
      <c r="D171" s="218">
        <v>425</v>
      </c>
      <c r="E171" s="218">
        <v>447</v>
      </c>
    </row>
    <row r="172" spans="1:6" ht="20.100000000000001" customHeight="1" x14ac:dyDescent="0.2">
      <c r="A172" s="226">
        <v>4</v>
      </c>
      <c r="B172" s="224" t="s">
        <v>422</v>
      </c>
      <c r="C172" s="218">
        <v>194</v>
      </c>
      <c r="D172" s="218">
        <v>217</v>
      </c>
      <c r="E172" s="218">
        <v>235</v>
      </c>
    </row>
    <row r="173" spans="1:6" ht="20.100000000000001" customHeight="1" x14ac:dyDescent="0.2">
      <c r="A173" s="226">
        <v>5</v>
      </c>
      <c r="B173" s="224" t="s">
        <v>423</v>
      </c>
      <c r="C173" s="218">
        <v>183</v>
      </c>
      <c r="D173" s="218">
        <v>208</v>
      </c>
      <c r="E173" s="218">
        <v>212</v>
      </c>
    </row>
    <row r="174" spans="1:6" ht="20.100000000000001" customHeight="1" x14ac:dyDescent="0.2">
      <c r="A174" s="226">
        <v>6</v>
      </c>
      <c r="B174" s="224" t="s">
        <v>424</v>
      </c>
      <c r="C174" s="218">
        <v>11</v>
      </c>
      <c r="D174" s="218">
        <v>9</v>
      </c>
      <c r="E174" s="218">
        <v>5</v>
      </c>
    </row>
    <row r="175" spans="1:6" ht="20.100000000000001" customHeight="1" x14ac:dyDescent="0.2">
      <c r="A175" s="226">
        <v>7</v>
      </c>
      <c r="B175" s="224" t="s">
        <v>425</v>
      </c>
      <c r="C175" s="218">
        <v>73</v>
      </c>
      <c r="D175" s="218">
        <v>93</v>
      </c>
      <c r="E175" s="218">
        <v>40</v>
      </c>
    </row>
    <row r="176" spans="1:6" ht="20.100000000000001" customHeight="1" x14ac:dyDescent="0.2">
      <c r="A176" s="226">
        <v>8</v>
      </c>
      <c r="B176" s="224" t="s">
        <v>426</v>
      </c>
      <c r="C176" s="218">
        <f>+C169+C170+C171+C174</f>
        <v>2685</v>
      </c>
      <c r="D176" s="218">
        <f>+D169+D170+D171+D174</f>
        <v>2878</v>
      </c>
      <c r="E176" s="218">
        <f>+E169+E170+E171+E174</f>
        <v>2616</v>
      </c>
    </row>
    <row r="177" spans="1:6" ht="20.100000000000001" customHeight="1" x14ac:dyDescent="0.2">
      <c r="A177" s="225"/>
      <c r="B177" s="56"/>
      <c r="C177" s="56"/>
      <c r="D177" s="56"/>
      <c r="E177" s="56"/>
      <c r="F177" s="225"/>
    </row>
    <row r="178" spans="1:6" ht="20.100000000000001" customHeight="1" x14ac:dyDescent="0.25">
      <c r="A178" s="223" t="s">
        <v>427</v>
      </c>
      <c r="B178" s="72" t="s">
        <v>428</v>
      </c>
      <c r="C178" s="224"/>
      <c r="D178" s="224"/>
      <c r="E178" s="224"/>
    </row>
    <row r="179" spans="1:6" ht="20.100000000000001" customHeight="1" x14ac:dyDescent="0.2">
      <c r="A179" s="226">
        <v>1</v>
      </c>
      <c r="B179" s="224" t="s">
        <v>419</v>
      </c>
      <c r="C179" s="231">
        <v>0.98760000000000003</v>
      </c>
      <c r="D179" s="231">
        <v>1.0066999999999999</v>
      </c>
      <c r="E179" s="231">
        <v>0.92369999999999997</v>
      </c>
    </row>
    <row r="180" spans="1:6" ht="20.100000000000001" customHeight="1" x14ac:dyDescent="0.2">
      <c r="A180" s="226">
        <v>2</v>
      </c>
      <c r="B180" s="224" t="s">
        <v>420</v>
      </c>
      <c r="C180" s="231">
        <v>1.1576</v>
      </c>
      <c r="D180" s="231">
        <v>1.1823999999999999</v>
      </c>
      <c r="E180" s="231">
        <v>1.1961999999999999</v>
      </c>
    </row>
    <row r="181" spans="1:6" ht="20.100000000000001" customHeight="1" x14ac:dyDescent="0.2">
      <c r="A181" s="226">
        <v>3</v>
      </c>
      <c r="B181" s="224" t="s">
        <v>421</v>
      </c>
      <c r="C181" s="231">
        <v>0.92894299999999996</v>
      </c>
      <c r="D181" s="231">
        <v>0.93545999999999996</v>
      </c>
      <c r="E181" s="231">
        <v>0.90741300000000003</v>
      </c>
    </row>
    <row r="182" spans="1:6" ht="20.100000000000001" customHeight="1" x14ac:dyDescent="0.2">
      <c r="A182" s="226">
        <v>4</v>
      </c>
      <c r="B182" s="224" t="s">
        <v>422</v>
      </c>
      <c r="C182" s="231">
        <v>0.94869999999999999</v>
      </c>
      <c r="D182" s="231">
        <v>0.91049999999999998</v>
      </c>
      <c r="E182" s="231">
        <v>0.93440000000000001</v>
      </c>
    </row>
    <row r="183" spans="1:6" ht="20.100000000000001" customHeight="1" x14ac:dyDescent="0.2">
      <c r="A183" s="226">
        <v>5</v>
      </c>
      <c r="B183" s="224" t="s">
        <v>423</v>
      </c>
      <c r="C183" s="231">
        <v>0.90800000000000003</v>
      </c>
      <c r="D183" s="231">
        <v>0.96150000000000002</v>
      </c>
      <c r="E183" s="231">
        <v>0.87749999999999995</v>
      </c>
    </row>
    <row r="184" spans="1:6" ht="20.100000000000001" customHeight="1" x14ac:dyDescent="0.2">
      <c r="A184" s="226">
        <v>6</v>
      </c>
      <c r="B184" s="224" t="s">
        <v>424</v>
      </c>
      <c r="C184" s="231">
        <v>0.77580000000000005</v>
      </c>
      <c r="D184" s="231">
        <v>1.0219</v>
      </c>
      <c r="E184" s="231">
        <v>0.68859999999999999</v>
      </c>
    </row>
    <row r="185" spans="1:6" ht="20.100000000000001" customHeight="1" x14ac:dyDescent="0.2">
      <c r="A185" s="226">
        <v>7</v>
      </c>
      <c r="B185" s="224" t="s">
        <v>425</v>
      </c>
      <c r="C185" s="231">
        <v>0.9919</v>
      </c>
      <c r="D185" s="231">
        <v>0.89090000000000003</v>
      </c>
      <c r="E185" s="231">
        <v>0.75600000000000001</v>
      </c>
    </row>
    <row r="186" spans="1:6" ht="20.100000000000001" customHeight="1" x14ac:dyDescent="0.2">
      <c r="A186" s="226">
        <v>8</v>
      </c>
      <c r="B186" s="224" t="s">
        <v>429</v>
      </c>
      <c r="C186" s="231">
        <v>1.0768869999999999</v>
      </c>
      <c r="D186" s="231">
        <v>1.0947610000000001</v>
      </c>
      <c r="E186" s="231">
        <v>1.0726549999999999</v>
      </c>
    </row>
    <row r="187" spans="1:6" ht="20.100000000000001" customHeight="1" x14ac:dyDescent="0.2">
      <c r="A187" s="225"/>
      <c r="B187" s="56"/>
      <c r="C187" s="56"/>
      <c r="D187" s="56"/>
      <c r="E187" s="56"/>
      <c r="F187" s="225"/>
    </row>
    <row r="188" spans="1:6" ht="20.100000000000001" customHeight="1" x14ac:dyDescent="0.25">
      <c r="A188" s="223" t="s">
        <v>430</v>
      </c>
      <c r="B188" s="72" t="s">
        <v>431</v>
      </c>
      <c r="C188" s="224"/>
      <c r="D188" s="224"/>
      <c r="E188" s="224"/>
    </row>
    <row r="189" spans="1:6" ht="20.100000000000001" customHeight="1" x14ac:dyDescent="0.2">
      <c r="A189" s="226">
        <v>1</v>
      </c>
      <c r="B189" s="224" t="s">
        <v>432</v>
      </c>
      <c r="C189" s="218">
        <v>1766</v>
      </c>
      <c r="D189" s="218">
        <v>1878</v>
      </c>
      <c r="E189" s="218">
        <v>1593</v>
      </c>
    </row>
    <row r="190" spans="1:6" ht="20.100000000000001" customHeight="1" x14ac:dyDescent="0.2">
      <c r="A190" s="226">
        <v>2</v>
      </c>
      <c r="B190" s="224" t="s">
        <v>433</v>
      </c>
      <c r="C190" s="218">
        <v>15856</v>
      </c>
      <c r="D190" s="218">
        <v>15746</v>
      </c>
      <c r="E190" s="218">
        <v>14825</v>
      </c>
    </row>
    <row r="191" spans="1:6" ht="20.100000000000001" customHeight="1" x14ac:dyDescent="0.2">
      <c r="A191" s="226">
        <v>3</v>
      </c>
      <c r="B191" s="224" t="s">
        <v>434</v>
      </c>
      <c r="C191" s="218">
        <f>+C190+C189</f>
        <v>17622</v>
      </c>
      <c r="D191" s="218">
        <f>+D190+D189</f>
        <v>17624</v>
      </c>
      <c r="E191" s="218">
        <f>+E190+E189</f>
        <v>16418</v>
      </c>
    </row>
    <row r="192" spans="1:6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</sheetData>
  <printOptions gridLines="1"/>
  <pageMargins left="0.25" right="0.25" top="0.5" bottom="0.5" header="0.25" footer="0.25"/>
  <pageSetup paperSize="9" scale="73" fitToHeight="0" orientation="portrait" horizontalDpi="1200" verticalDpi="1200" r:id="rId1"/>
  <headerFooter>
    <oddHeader>&amp;LOFFICE OF HEALTH CARE ACCESS&amp;CTWELVE MONTHS ACTUAL FILING&amp;RESSENT-SHARON HOSPITAL</oddHeader>
    <oddFooter>&amp;L&amp;8REPORT 185&amp;C&amp;8PAGE &amp;P of &amp;N&amp;R&amp;D, &amp;T</oddFooter>
  </headerFooter>
  <rowBreaks count="4" manualBreakCount="4">
    <brk id="35" max="4" man="1"/>
    <brk id="62" max="4" man="1"/>
    <brk id="89" max="4" man="1"/>
    <brk id="118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8"/>
  <sheetViews>
    <sheetView zoomScale="75" workbookViewId="0">
      <selection activeCell="C37" sqref="C37"/>
    </sheetView>
  </sheetViews>
  <sheetFormatPr defaultRowHeight="20.25" customHeight="1" x14ac:dyDescent="0.3"/>
  <cols>
    <col min="1" max="1" width="10.85546875" style="235" customWidth="1"/>
    <col min="2" max="2" width="77" style="235" customWidth="1"/>
    <col min="3" max="3" width="23.5703125" style="245" customWidth="1"/>
    <col min="4" max="4" width="21.28515625" style="235" customWidth="1"/>
    <col min="5" max="5" width="22.42578125" style="235" customWidth="1"/>
    <col min="6" max="6" width="22.28515625" style="235" bestFit="1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797" t="s">
        <v>0</v>
      </c>
      <c r="B2" s="797"/>
      <c r="C2" s="797"/>
      <c r="D2" s="797"/>
      <c r="E2" s="797"/>
      <c r="F2" s="797"/>
    </row>
    <row r="3" spans="1:7" ht="20.25" customHeight="1" x14ac:dyDescent="0.3">
      <c r="A3" s="797" t="s">
        <v>1</v>
      </c>
      <c r="B3" s="797"/>
      <c r="C3" s="797"/>
      <c r="D3" s="797"/>
      <c r="E3" s="797"/>
      <c r="F3" s="797"/>
    </row>
    <row r="4" spans="1:7" ht="20.25" customHeight="1" x14ac:dyDescent="0.3">
      <c r="A4" s="797" t="s">
        <v>2</v>
      </c>
      <c r="B4" s="797"/>
      <c r="C4" s="797"/>
      <c r="D4" s="797"/>
      <c r="E4" s="797"/>
      <c r="F4" s="797"/>
    </row>
    <row r="5" spans="1:7" ht="20.25" customHeight="1" x14ac:dyDescent="0.3">
      <c r="A5" s="797" t="s">
        <v>435</v>
      </c>
      <c r="B5" s="797"/>
      <c r="C5" s="797"/>
      <c r="D5" s="797"/>
      <c r="E5" s="797"/>
      <c r="F5" s="797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40" t="s">
        <v>153</v>
      </c>
      <c r="B8" s="241" t="s">
        <v>9</v>
      </c>
      <c r="C8" s="242" t="s">
        <v>436</v>
      </c>
      <c r="D8" s="243" t="s">
        <v>437</v>
      </c>
      <c r="E8" s="243" t="s">
        <v>438</v>
      </c>
      <c r="F8" s="244" t="s">
        <v>439</v>
      </c>
      <c r="G8" s="245"/>
    </row>
    <row r="9" spans="1:7" ht="20.25" customHeight="1" x14ac:dyDescent="0.3">
      <c r="A9" s="246"/>
      <c r="B9" s="247"/>
      <c r="C9" s="798"/>
      <c r="D9" s="799"/>
      <c r="E9" s="799"/>
      <c r="F9" s="800"/>
      <c r="G9" s="245"/>
    </row>
    <row r="10" spans="1:7" ht="20.25" customHeight="1" x14ac:dyDescent="0.3">
      <c r="A10" s="801" t="s">
        <v>12</v>
      </c>
      <c r="B10" s="802" t="s">
        <v>114</v>
      </c>
      <c r="C10" s="804"/>
      <c r="D10" s="805"/>
      <c r="E10" s="805"/>
      <c r="F10" s="806"/>
    </row>
    <row r="11" spans="1:7" ht="20.25" customHeight="1" x14ac:dyDescent="0.3">
      <c r="A11" s="787"/>
      <c r="B11" s="803"/>
      <c r="C11" s="793"/>
      <c r="D11" s="794"/>
      <c r="E11" s="794"/>
      <c r="F11" s="795"/>
    </row>
    <row r="12" spans="1:7" ht="20.25" customHeight="1" x14ac:dyDescent="0.3">
      <c r="A12" s="248"/>
      <c r="B12" s="249"/>
      <c r="C12" s="250"/>
      <c r="D12" s="250"/>
      <c r="E12" s="250"/>
      <c r="F12" s="250"/>
    </row>
    <row r="13" spans="1:7" ht="18.75" customHeight="1" x14ac:dyDescent="0.3">
      <c r="A13" s="251" t="s">
        <v>14</v>
      </c>
      <c r="B13" s="252" t="s">
        <v>440</v>
      </c>
      <c r="C13" s="253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300722</v>
      </c>
      <c r="D14" s="258">
        <v>229456</v>
      </c>
      <c r="E14" s="258">
        <f t="shared" ref="E14:E24" si="0">D14-C14</f>
        <v>-71266</v>
      </c>
      <c r="F14" s="259">
        <f t="shared" ref="F14:F24" si="1">IF(C14=0,0,E14/C14)</f>
        <v>-0.23698299426047978</v>
      </c>
    </row>
    <row r="15" spans="1:7" ht="20.25" customHeight="1" x14ac:dyDescent="0.3">
      <c r="A15" s="256">
        <v>2</v>
      </c>
      <c r="B15" s="257" t="s">
        <v>442</v>
      </c>
      <c r="C15" s="258">
        <v>108190</v>
      </c>
      <c r="D15" s="258">
        <v>47525</v>
      </c>
      <c r="E15" s="258">
        <f t="shared" si="0"/>
        <v>-60665</v>
      </c>
      <c r="F15" s="259">
        <f t="shared" si="1"/>
        <v>-0.56072649967649502</v>
      </c>
    </row>
    <row r="16" spans="1:7" ht="20.25" customHeight="1" x14ac:dyDescent="0.3">
      <c r="A16" s="256">
        <v>3</v>
      </c>
      <c r="B16" s="257" t="s">
        <v>443</v>
      </c>
      <c r="C16" s="258">
        <v>177502</v>
      </c>
      <c r="D16" s="258">
        <v>160422</v>
      </c>
      <c r="E16" s="258">
        <f t="shared" si="0"/>
        <v>-17080</v>
      </c>
      <c r="F16" s="259">
        <f t="shared" si="1"/>
        <v>-9.6224267895573007E-2</v>
      </c>
    </row>
    <row r="17" spans="1:6" ht="20.25" customHeight="1" x14ac:dyDescent="0.3">
      <c r="A17" s="256">
        <v>4</v>
      </c>
      <c r="B17" s="257" t="s">
        <v>444</v>
      </c>
      <c r="C17" s="258">
        <v>46302</v>
      </c>
      <c r="D17" s="258">
        <v>37827</v>
      </c>
      <c r="E17" s="258">
        <f t="shared" si="0"/>
        <v>-8475</v>
      </c>
      <c r="F17" s="259">
        <f t="shared" si="1"/>
        <v>-0.18303744978618633</v>
      </c>
    </row>
    <row r="18" spans="1:6" ht="20.25" customHeight="1" x14ac:dyDescent="0.3">
      <c r="A18" s="256">
        <v>5</v>
      </c>
      <c r="B18" s="257" t="s">
        <v>381</v>
      </c>
      <c r="C18" s="260">
        <v>11</v>
      </c>
      <c r="D18" s="260">
        <v>9</v>
      </c>
      <c r="E18" s="260">
        <f t="shared" si="0"/>
        <v>-2</v>
      </c>
      <c r="F18" s="259">
        <f t="shared" si="1"/>
        <v>-0.18181818181818182</v>
      </c>
    </row>
    <row r="19" spans="1:6" ht="20.25" customHeight="1" x14ac:dyDescent="0.3">
      <c r="A19" s="256">
        <v>6</v>
      </c>
      <c r="B19" s="257" t="s">
        <v>380</v>
      </c>
      <c r="C19" s="260">
        <v>80</v>
      </c>
      <c r="D19" s="260">
        <v>62</v>
      </c>
      <c r="E19" s="260">
        <f t="shared" si="0"/>
        <v>-18</v>
      </c>
      <c r="F19" s="259">
        <f t="shared" si="1"/>
        <v>-0.22500000000000001</v>
      </c>
    </row>
    <row r="20" spans="1:6" ht="20.25" customHeight="1" x14ac:dyDescent="0.3">
      <c r="A20" s="256">
        <v>7</v>
      </c>
      <c r="B20" s="257" t="s">
        <v>445</v>
      </c>
      <c r="C20" s="260">
        <v>157</v>
      </c>
      <c r="D20" s="260">
        <v>179</v>
      </c>
      <c r="E20" s="260">
        <f t="shared" si="0"/>
        <v>22</v>
      </c>
      <c r="F20" s="259">
        <f t="shared" si="1"/>
        <v>0.14012738853503184</v>
      </c>
    </row>
    <row r="21" spans="1:6" ht="20.25" customHeight="1" x14ac:dyDescent="0.3">
      <c r="A21" s="256">
        <v>8</v>
      </c>
      <c r="B21" s="257" t="s">
        <v>446</v>
      </c>
      <c r="C21" s="260">
        <v>17</v>
      </c>
      <c r="D21" s="260">
        <v>2</v>
      </c>
      <c r="E21" s="260">
        <f t="shared" si="0"/>
        <v>-15</v>
      </c>
      <c r="F21" s="259">
        <f t="shared" si="1"/>
        <v>-0.88235294117647056</v>
      </c>
    </row>
    <row r="22" spans="1:6" ht="20.25" customHeight="1" x14ac:dyDescent="0.3">
      <c r="A22" s="256">
        <v>9</v>
      </c>
      <c r="B22" s="257" t="s">
        <v>447</v>
      </c>
      <c r="C22" s="260">
        <v>0</v>
      </c>
      <c r="D22" s="260">
        <v>0</v>
      </c>
      <c r="E22" s="260">
        <f t="shared" si="0"/>
        <v>0</v>
      </c>
      <c r="F22" s="259">
        <f t="shared" si="1"/>
        <v>0</v>
      </c>
    </row>
    <row r="23" spans="1:6" s="265" customFormat="1" ht="20.25" customHeight="1" x14ac:dyDescent="0.3">
      <c r="A23" s="261"/>
      <c r="B23" s="262" t="s">
        <v>448</v>
      </c>
      <c r="C23" s="263">
        <f>+C14+C16</f>
        <v>478224</v>
      </c>
      <c r="D23" s="263">
        <f>+D14+D16</f>
        <v>389878</v>
      </c>
      <c r="E23" s="263">
        <f t="shared" si="0"/>
        <v>-88346</v>
      </c>
      <c r="F23" s="264">
        <f t="shared" si="1"/>
        <v>-0.18473769614239352</v>
      </c>
    </row>
    <row r="24" spans="1:6" s="265" customFormat="1" ht="20.25" customHeight="1" x14ac:dyDescent="0.3">
      <c r="A24" s="261"/>
      <c r="B24" s="262" t="s">
        <v>449</v>
      </c>
      <c r="C24" s="263">
        <f>+C15+C17</f>
        <v>154492</v>
      </c>
      <c r="D24" s="263">
        <f>+D15+D17</f>
        <v>85352</v>
      </c>
      <c r="E24" s="263">
        <f t="shared" si="0"/>
        <v>-69140</v>
      </c>
      <c r="F24" s="264">
        <f t="shared" si="1"/>
        <v>-0.44753126375475755</v>
      </c>
    </row>
    <row r="25" spans="1:6" s="265" customFormat="1" ht="20.25" customHeight="1" x14ac:dyDescent="0.3">
      <c r="A25" s="266"/>
      <c r="B25" s="262"/>
      <c r="C25" s="263"/>
      <c r="D25" s="263"/>
      <c r="E25" s="263"/>
      <c r="F25" s="264"/>
    </row>
    <row r="26" spans="1:6" ht="18.75" customHeight="1" x14ac:dyDescent="0.3">
      <c r="A26" s="251" t="s">
        <v>26</v>
      </c>
      <c r="B26" s="252" t="s">
        <v>450</v>
      </c>
      <c r="C26" s="253"/>
      <c r="D26" s="254"/>
      <c r="E26" s="251"/>
      <c r="F26" s="255"/>
    </row>
    <row r="27" spans="1:6" ht="20.25" customHeight="1" x14ac:dyDescent="0.3">
      <c r="A27" s="256">
        <v>1</v>
      </c>
      <c r="B27" s="257" t="s">
        <v>441</v>
      </c>
      <c r="C27" s="258">
        <v>0</v>
      </c>
      <c r="D27" s="258">
        <v>0</v>
      </c>
      <c r="E27" s="258">
        <f t="shared" ref="E27:E37" si="2">D27-C27</f>
        <v>0</v>
      </c>
      <c r="F27" s="259">
        <f t="shared" ref="F27:F37" si="3">IF(C27=0,0,E27/C27)</f>
        <v>0</v>
      </c>
    </row>
    <row r="28" spans="1:6" ht="20.25" customHeight="1" x14ac:dyDescent="0.3">
      <c r="A28" s="256">
        <v>2</v>
      </c>
      <c r="B28" s="257" t="s">
        <v>442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3</v>
      </c>
      <c r="B29" s="257" t="s">
        <v>443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4</v>
      </c>
      <c r="B30" s="257" t="s">
        <v>444</v>
      </c>
      <c r="C30" s="258">
        <v>0</v>
      </c>
      <c r="D30" s="258">
        <v>0</v>
      </c>
      <c r="E30" s="258">
        <f t="shared" si="2"/>
        <v>0</v>
      </c>
      <c r="F30" s="259">
        <f t="shared" si="3"/>
        <v>0</v>
      </c>
    </row>
    <row r="31" spans="1:6" ht="20.25" customHeight="1" x14ac:dyDescent="0.3">
      <c r="A31" s="256">
        <v>5</v>
      </c>
      <c r="B31" s="257" t="s">
        <v>381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6</v>
      </c>
      <c r="B32" s="257" t="s">
        <v>380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7</v>
      </c>
      <c r="B33" s="257" t="s">
        <v>445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8</v>
      </c>
      <c r="B34" s="257" t="s">
        <v>446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ht="20.25" customHeight="1" x14ac:dyDescent="0.3">
      <c r="A35" s="256">
        <v>9</v>
      </c>
      <c r="B35" s="257" t="s">
        <v>447</v>
      </c>
      <c r="C35" s="260">
        <v>0</v>
      </c>
      <c r="D35" s="260">
        <v>0</v>
      </c>
      <c r="E35" s="260">
        <f t="shared" si="2"/>
        <v>0</v>
      </c>
      <c r="F35" s="259">
        <f t="shared" si="3"/>
        <v>0</v>
      </c>
    </row>
    <row r="36" spans="1:6" s="265" customFormat="1" ht="20.25" customHeight="1" x14ac:dyDescent="0.3">
      <c r="A36" s="261"/>
      <c r="B36" s="262" t="s">
        <v>448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s="265" customFormat="1" ht="20.25" customHeight="1" x14ac:dyDescent="0.3">
      <c r="A37" s="261"/>
      <c r="B37" s="262" t="s">
        <v>449</v>
      </c>
      <c r="C37" s="263">
        <f>+C28+C30</f>
        <v>0</v>
      </c>
      <c r="D37" s="263">
        <f>+D28+D30</f>
        <v>0</v>
      </c>
      <c r="E37" s="263">
        <f t="shared" si="2"/>
        <v>0</v>
      </c>
      <c r="F37" s="264">
        <f t="shared" si="3"/>
        <v>0</v>
      </c>
    </row>
    <row r="38" spans="1:6" s="265" customFormat="1" ht="20.25" customHeight="1" x14ac:dyDescent="0.3">
      <c r="A38" s="266"/>
      <c r="B38" s="262"/>
      <c r="C38" s="263"/>
      <c r="D38" s="263"/>
      <c r="E38" s="263"/>
      <c r="F38" s="264"/>
    </row>
    <row r="39" spans="1:6" ht="18.75" customHeight="1" x14ac:dyDescent="0.3">
      <c r="A39" s="251" t="s">
        <v>36</v>
      </c>
      <c r="B39" s="252" t="s">
        <v>451</v>
      </c>
      <c r="C39" s="253"/>
      <c r="D39" s="254"/>
      <c r="E39" s="251"/>
      <c r="F39" s="255"/>
    </row>
    <row r="40" spans="1:6" ht="20.25" customHeight="1" x14ac:dyDescent="0.3">
      <c r="A40" s="256">
        <v>1</v>
      </c>
      <c r="B40" s="257" t="s">
        <v>441</v>
      </c>
      <c r="C40" s="258">
        <v>248934</v>
      </c>
      <c r="D40" s="258">
        <v>665303</v>
      </c>
      <c r="E40" s="258">
        <f t="shared" ref="E40:E50" si="4">D40-C40</f>
        <v>416369</v>
      </c>
      <c r="F40" s="259">
        <f t="shared" ref="F40:F50" si="5">IF(C40=0,0,E40/C40)</f>
        <v>1.6726080005141926</v>
      </c>
    </row>
    <row r="41" spans="1:6" ht="20.25" customHeight="1" x14ac:dyDescent="0.3">
      <c r="A41" s="256">
        <v>2</v>
      </c>
      <c r="B41" s="257" t="s">
        <v>442</v>
      </c>
      <c r="C41" s="258">
        <v>108111</v>
      </c>
      <c r="D41" s="258">
        <v>259022</v>
      </c>
      <c r="E41" s="258">
        <f t="shared" si="4"/>
        <v>150911</v>
      </c>
      <c r="F41" s="259">
        <f t="shared" si="5"/>
        <v>1.3958894099582837</v>
      </c>
    </row>
    <row r="42" spans="1:6" ht="20.25" customHeight="1" x14ac:dyDescent="0.3">
      <c r="A42" s="256">
        <v>3</v>
      </c>
      <c r="B42" s="257" t="s">
        <v>443</v>
      </c>
      <c r="C42" s="258">
        <v>554628</v>
      </c>
      <c r="D42" s="258">
        <v>581173</v>
      </c>
      <c r="E42" s="258">
        <f t="shared" si="4"/>
        <v>26545</v>
      </c>
      <c r="F42" s="259">
        <f t="shared" si="5"/>
        <v>4.7860908572953401E-2</v>
      </c>
    </row>
    <row r="43" spans="1:6" ht="20.25" customHeight="1" x14ac:dyDescent="0.3">
      <c r="A43" s="256">
        <v>4</v>
      </c>
      <c r="B43" s="257" t="s">
        <v>444</v>
      </c>
      <c r="C43" s="258">
        <v>111368</v>
      </c>
      <c r="D43" s="258">
        <v>114567</v>
      </c>
      <c r="E43" s="258">
        <f t="shared" si="4"/>
        <v>3199</v>
      </c>
      <c r="F43" s="259">
        <f t="shared" si="5"/>
        <v>2.8724588750808133E-2</v>
      </c>
    </row>
    <row r="44" spans="1:6" ht="20.25" customHeight="1" x14ac:dyDescent="0.3">
      <c r="A44" s="256">
        <v>5</v>
      </c>
      <c r="B44" s="257" t="s">
        <v>381</v>
      </c>
      <c r="C44" s="260">
        <v>11</v>
      </c>
      <c r="D44" s="260">
        <v>22</v>
      </c>
      <c r="E44" s="260">
        <f t="shared" si="4"/>
        <v>11</v>
      </c>
      <c r="F44" s="259">
        <f t="shared" si="5"/>
        <v>1</v>
      </c>
    </row>
    <row r="45" spans="1:6" ht="20.25" customHeight="1" x14ac:dyDescent="0.3">
      <c r="A45" s="256">
        <v>6</v>
      </c>
      <c r="B45" s="257" t="s">
        <v>380</v>
      </c>
      <c r="C45" s="260">
        <v>38</v>
      </c>
      <c r="D45" s="260">
        <v>159</v>
      </c>
      <c r="E45" s="260">
        <f t="shared" si="4"/>
        <v>121</v>
      </c>
      <c r="F45" s="259">
        <f t="shared" si="5"/>
        <v>3.1842105263157894</v>
      </c>
    </row>
    <row r="46" spans="1:6" ht="20.25" customHeight="1" x14ac:dyDescent="0.3">
      <c r="A46" s="256">
        <v>7</v>
      </c>
      <c r="B46" s="257" t="s">
        <v>445</v>
      </c>
      <c r="C46" s="260">
        <v>456</v>
      </c>
      <c r="D46" s="260">
        <v>624</v>
      </c>
      <c r="E46" s="260">
        <f t="shared" si="4"/>
        <v>168</v>
      </c>
      <c r="F46" s="259">
        <f t="shared" si="5"/>
        <v>0.36842105263157893</v>
      </c>
    </row>
    <row r="47" spans="1:6" ht="20.25" customHeight="1" x14ac:dyDescent="0.3">
      <c r="A47" s="256">
        <v>8</v>
      </c>
      <c r="B47" s="257" t="s">
        <v>446</v>
      </c>
      <c r="C47" s="260">
        <v>24</v>
      </c>
      <c r="D47" s="260">
        <v>9</v>
      </c>
      <c r="E47" s="260">
        <f t="shared" si="4"/>
        <v>-15</v>
      </c>
      <c r="F47" s="259">
        <f t="shared" si="5"/>
        <v>-0.625</v>
      </c>
    </row>
    <row r="48" spans="1:6" ht="20.25" customHeight="1" x14ac:dyDescent="0.3">
      <c r="A48" s="256">
        <v>9</v>
      </c>
      <c r="B48" s="257" t="s">
        <v>447</v>
      </c>
      <c r="C48" s="260">
        <v>0</v>
      </c>
      <c r="D48" s="260">
        <v>0</v>
      </c>
      <c r="E48" s="260">
        <f t="shared" si="4"/>
        <v>0</v>
      </c>
      <c r="F48" s="259">
        <f t="shared" si="5"/>
        <v>0</v>
      </c>
    </row>
    <row r="49" spans="1:6" s="265" customFormat="1" ht="20.25" customHeight="1" x14ac:dyDescent="0.3">
      <c r="A49" s="261"/>
      <c r="B49" s="262" t="s">
        <v>448</v>
      </c>
      <c r="C49" s="263">
        <f>+C40+C42</f>
        <v>803562</v>
      </c>
      <c r="D49" s="263">
        <f>+D40+D42</f>
        <v>1246476</v>
      </c>
      <c r="E49" s="263">
        <f t="shared" si="4"/>
        <v>442914</v>
      </c>
      <c r="F49" s="264">
        <f t="shared" si="5"/>
        <v>0.55118833394311828</v>
      </c>
    </row>
    <row r="50" spans="1:6" s="265" customFormat="1" ht="20.25" customHeight="1" x14ac:dyDescent="0.3">
      <c r="A50" s="261"/>
      <c r="B50" s="262" t="s">
        <v>449</v>
      </c>
      <c r="C50" s="263">
        <f>+C41+C43</f>
        <v>219479</v>
      </c>
      <c r="D50" s="263">
        <f>+D41+D43</f>
        <v>373589</v>
      </c>
      <c r="E50" s="263">
        <f t="shared" si="4"/>
        <v>154110</v>
      </c>
      <c r="F50" s="264">
        <f t="shared" si="5"/>
        <v>0.70216284929309869</v>
      </c>
    </row>
    <row r="51" spans="1:6" s="265" customFormat="1" ht="20.25" customHeight="1" x14ac:dyDescent="0.3">
      <c r="A51" s="266"/>
      <c r="B51" s="262"/>
      <c r="C51" s="263"/>
      <c r="D51" s="263"/>
      <c r="E51" s="263"/>
      <c r="F51" s="264"/>
    </row>
    <row r="52" spans="1:6" ht="18.75" customHeight="1" x14ac:dyDescent="0.3">
      <c r="A52" s="251" t="s">
        <v>170</v>
      </c>
      <c r="B52" s="252" t="s">
        <v>452</v>
      </c>
      <c r="C52" s="253"/>
      <c r="D52" s="254"/>
      <c r="E52" s="251"/>
      <c r="F52" s="255"/>
    </row>
    <row r="53" spans="1:6" ht="20.25" customHeight="1" x14ac:dyDescent="0.3">
      <c r="A53" s="256">
        <v>1</v>
      </c>
      <c r="B53" s="257" t="s">
        <v>441</v>
      </c>
      <c r="C53" s="258">
        <v>0</v>
      </c>
      <c r="D53" s="258">
        <v>0</v>
      </c>
      <c r="E53" s="258">
        <f t="shared" ref="E53:E63" si="6">D53-C53</f>
        <v>0</v>
      </c>
      <c r="F53" s="259">
        <f t="shared" ref="F53:F63" si="7">IF(C53=0,0,E53/C53)</f>
        <v>0</v>
      </c>
    </row>
    <row r="54" spans="1:6" ht="20.25" customHeight="1" x14ac:dyDescent="0.3">
      <c r="A54" s="256">
        <v>2</v>
      </c>
      <c r="B54" s="257" t="s">
        <v>442</v>
      </c>
      <c r="C54" s="258">
        <v>0</v>
      </c>
      <c r="D54" s="258">
        <v>0</v>
      </c>
      <c r="E54" s="258">
        <f t="shared" si="6"/>
        <v>0</v>
      </c>
      <c r="F54" s="259">
        <f t="shared" si="7"/>
        <v>0</v>
      </c>
    </row>
    <row r="55" spans="1:6" ht="20.25" customHeight="1" x14ac:dyDescent="0.3">
      <c r="A55" s="256">
        <v>3</v>
      </c>
      <c r="B55" s="257" t="s">
        <v>443</v>
      </c>
      <c r="C55" s="258">
        <v>0</v>
      </c>
      <c r="D55" s="258">
        <v>0</v>
      </c>
      <c r="E55" s="258">
        <f t="shared" si="6"/>
        <v>0</v>
      </c>
      <c r="F55" s="259">
        <f t="shared" si="7"/>
        <v>0</v>
      </c>
    </row>
    <row r="56" spans="1:6" ht="20.25" customHeight="1" x14ac:dyDescent="0.3">
      <c r="A56" s="256">
        <v>4</v>
      </c>
      <c r="B56" s="257" t="s">
        <v>444</v>
      </c>
      <c r="C56" s="258">
        <v>0</v>
      </c>
      <c r="D56" s="258">
        <v>0</v>
      </c>
      <c r="E56" s="258">
        <f t="shared" si="6"/>
        <v>0</v>
      </c>
      <c r="F56" s="259">
        <f t="shared" si="7"/>
        <v>0</v>
      </c>
    </row>
    <row r="57" spans="1:6" ht="20.25" customHeight="1" x14ac:dyDescent="0.3">
      <c r="A57" s="256">
        <v>5</v>
      </c>
      <c r="B57" s="257" t="s">
        <v>381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6</v>
      </c>
      <c r="B58" s="257" t="s">
        <v>380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ht="20.25" customHeight="1" x14ac:dyDescent="0.3">
      <c r="A59" s="256">
        <v>7</v>
      </c>
      <c r="B59" s="257" t="s">
        <v>445</v>
      </c>
      <c r="C59" s="260">
        <v>0</v>
      </c>
      <c r="D59" s="260">
        <v>0</v>
      </c>
      <c r="E59" s="260">
        <f t="shared" si="6"/>
        <v>0</v>
      </c>
      <c r="F59" s="259">
        <f t="shared" si="7"/>
        <v>0</v>
      </c>
    </row>
    <row r="60" spans="1:6" ht="20.25" customHeight="1" x14ac:dyDescent="0.3">
      <c r="A60" s="256">
        <v>8</v>
      </c>
      <c r="B60" s="257" t="s">
        <v>446</v>
      </c>
      <c r="C60" s="260">
        <v>0</v>
      </c>
      <c r="D60" s="260">
        <v>0</v>
      </c>
      <c r="E60" s="260">
        <f t="shared" si="6"/>
        <v>0</v>
      </c>
      <c r="F60" s="259">
        <f t="shared" si="7"/>
        <v>0</v>
      </c>
    </row>
    <row r="61" spans="1:6" ht="20.25" customHeight="1" x14ac:dyDescent="0.3">
      <c r="A61" s="256">
        <v>9</v>
      </c>
      <c r="B61" s="257" t="s">
        <v>447</v>
      </c>
      <c r="C61" s="260">
        <v>0</v>
      </c>
      <c r="D61" s="260">
        <v>0</v>
      </c>
      <c r="E61" s="260">
        <f t="shared" si="6"/>
        <v>0</v>
      </c>
      <c r="F61" s="259">
        <f t="shared" si="7"/>
        <v>0</v>
      </c>
    </row>
    <row r="62" spans="1:6" s="265" customFormat="1" ht="20.25" customHeight="1" x14ac:dyDescent="0.3">
      <c r="A62" s="261"/>
      <c r="B62" s="262" t="s">
        <v>448</v>
      </c>
      <c r="C62" s="263">
        <f>+C53+C55</f>
        <v>0</v>
      </c>
      <c r="D62" s="263">
        <f>+D53+D55</f>
        <v>0</v>
      </c>
      <c r="E62" s="263">
        <f t="shared" si="6"/>
        <v>0</v>
      </c>
      <c r="F62" s="264">
        <f t="shared" si="7"/>
        <v>0</v>
      </c>
    </row>
    <row r="63" spans="1:6" s="265" customFormat="1" ht="20.25" customHeight="1" x14ac:dyDescent="0.3">
      <c r="A63" s="261"/>
      <c r="B63" s="262" t="s">
        <v>449</v>
      </c>
      <c r="C63" s="263">
        <f>+C54+C56</f>
        <v>0</v>
      </c>
      <c r="D63" s="263">
        <f>+D54+D56</f>
        <v>0</v>
      </c>
      <c r="E63" s="263">
        <f t="shared" si="6"/>
        <v>0</v>
      </c>
      <c r="F63" s="264">
        <f t="shared" si="7"/>
        <v>0</v>
      </c>
    </row>
    <row r="64" spans="1:6" s="265" customFormat="1" ht="20.25" customHeight="1" x14ac:dyDescent="0.3">
      <c r="A64" s="266"/>
      <c r="B64" s="262"/>
      <c r="C64" s="263"/>
      <c r="D64" s="263"/>
      <c r="E64" s="263"/>
      <c r="F64" s="264"/>
    </row>
    <row r="65" spans="1:6" ht="18.75" customHeight="1" x14ac:dyDescent="0.3">
      <c r="A65" s="251" t="s">
        <v>175</v>
      </c>
      <c r="B65" s="252" t="s">
        <v>453</v>
      </c>
      <c r="C65" s="253"/>
      <c r="D65" s="254"/>
      <c r="E65" s="251"/>
      <c r="F65" s="255"/>
    </row>
    <row r="66" spans="1:6" ht="20.25" customHeight="1" x14ac:dyDescent="0.3">
      <c r="A66" s="256">
        <v>1</v>
      </c>
      <c r="B66" s="257" t="s">
        <v>441</v>
      </c>
      <c r="C66" s="258">
        <v>327781</v>
      </c>
      <c r="D66" s="258">
        <v>401496</v>
      </c>
      <c r="E66" s="258">
        <f t="shared" ref="E66:E76" si="8">D66-C66</f>
        <v>73715</v>
      </c>
      <c r="F66" s="259">
        <f t="shared" ref="F66:F76" si="9">IF(C66=0,0,E66/C66)</f>
        <v>0.22489100954600785</v>
      </c>
    </row>
    <row r="67" spans="1:6" ht="20.25" customHeight="1" x14ac:dyDescent="0.3">
      <c r="A67" s="256">
        <v>2</v>
      </c>
      <c r="B67" s="257" t="s">
        <v>442</v>
      </c>
      <c r="C67" s="258">
        <v>144816</v>
      </c>
      <c r="D67" s="258">
        <v>163229</v>
      </c>
      <c r="E67" s="258">
        <f t="shared" si="8"/>
        <v>18413</v>
      </c>
      <c r="F67" s="259">
        <f t="shared" si="9"/>
        <v>0.12714755275660147</v>
      </c>
    </row>
    <row r="68" spans="1:6" ht="20.25" customHeight="1" x14ac:dyDescent="0.3">
      <c r="A68" s="256">
        <v>3</v>
      </c>
      <c r="B68" s="257" t="s">
        <v>443</v>
      </c>
      <c r="C68" s="258">
        <v>395149</v>
      </c>
      <c r="D68" s="258">
        <v>238234</v>
      </c>
      <c r="E68" s="258">
        <f t="shared" si="8"/>
        <v>-156915</v>
      </c>
      <c r="F68" s="259">
        <f t="shared" si="9"/>
        <v>-0.39710337113342054</v>
      </c>
    </row>
    <row r="69" spans="1:6" ht="20.25" customHeight="1" x14ac:dyDescent="0.3">
      <c r="A69" s="256">
        <v>4</v>
      </c>
      <c r="B69" s="257" t="s">
        <v>444</v>
      </c>
      <c r="C69" s="258">
        <v>77997</v>
      </c>
      <c r="D69" s="258">
        <v>43924</v>
      </c>
      <c r="E69" s="258">
        <f t="shared" si="8"/>
        <v>-34073</v>
      </c>
      <c r="F69" s="259">
        <f t="shared" si="9"/>
        <v>-0.43685013526161265</v>
      </c>
    </row>
    <row r="70" spans="1:6" ht="20.25" customHeight="1" x14ac:dyDescent="0.3">
      <c r="A70" s="256">
        <v>5</v>
      </c>
      <c r="B70" s="257" t="s">
        <v>381</v>
      </c>
      <c r="C70" s="260">
        <v>14</v>
      </c>
      <c r="D70" s="260">
        <v>17</v>
      </c>
      <c r="E70" s="260">
        <f t="shared" si="8"/>
        <v>3</v>
      </c>
      <c r="F70" s="259">
        <f t="shared" si="9"/>
        <v>0.21428571428571427</v>
      </c>
    </row>
    <row r="71" spans="1:6" ht="20.25" customHeight="1" x14ac:dyDescent="0.3">
      <c r="A71" s="256">
        <v>6</v>
      </c>
      <c r="B71" s="257" t="s">
        <v>380</v>
      </c>
      <c r="C71" s="260">
        <v>89</v>
      </c>
      <c r="D71" s="260">
        <v>102</v>
      </c>
      <c r="E71" s="260">
        <f t="shared" si="8"/>
        <v>13</v>
      </c>
      <c r="F71" s="259">
        <f t="shared" si="9"/>
        <v>0.14606741573033707</v>
      </c>
    </row>
    <row r="72" spans="1:6" ht="20.25" customHeight="1" x14ac:dyDescent="0.3">
      <c r="A72" s="256">
        <v>7</v>
      </c>
      <c r="B72" s="257" t="s">
        <v>445</v>
      </c>
      <c r="C72" s="260">
        <v>348</v>
      </c>
      <c r="D72" s="260">
        <v>210</v>
      </c>
      <c r="E72" s="260">
        <f t="shared" si="8"/>
        <v>-138</v>
      </c>
      <c r="F72" s="259">
        <f t="shared" si="9"/>
        <v>-0.39655172413793105</v>
      </c>
    </row>
    <row r="73" spans="1:6" ht="20.25" customHeight="1" x14ac:dyDescent="0.3">
      <c r="A73" s="256">
        <v>8</v>
      </c>
      <c r="B73" s="257" t="s">
        <v>446</v>
      </c>
      <c r="C73" s="260">
        <v>29</v>
      </c>
      <c r="D73" s="260">
        <v>5</v>
      </c>
      <c r="E73" s="260">
        <f t="shared" si="8"/>
        <v>-24</v>
      </c>
      <c r="F73" s="259">
        <f t="shared" si="9"/>
        <v>-0.82758620689655171</v>
      </c>
    </row>
    <row r="74" spans="1:6" ht="20.25" customHeight="1" x14ac:dyDescent="0.3">
      <c r="A74" s="256">
        <v>9</v>
      </c>
      <c r="B74" s="257" t="s">
        <v>447</v>
      </c>
      <c r="C74" s="260">
        <v>0</v>
      </c>
      <c r="D74" s="260">
        <v>0</v>
      </c>
      <c r="E74" s="260">
        <f t="shared" si="8"/>
        <v>0</v>
      </c>
      <c r="F74" s="259">
        <f t="shared" si="9"/>
        <v>0</v>
      </c>
    </row>
    <row r="75" spans="1:6" s="265" customFormat="1" ht="20.25" customHeight="1" x14ac:dyDescent="0.3">
      <c r="A75" s="261"/>
      <c r="B75" s="262" t="s">
        <v>448</v>
      </c>
      <c r="C75" s="263">
        <f>+C66+C68</f>
        <v>722930</v>
      </c>
      <c r="D75" s="263">
        <f>+D66+D68</f>
        <v>639730</v>
      </c>
      <c r="E75" s="263">
        <f t="shared" si="8"/>
        <v>-83200</v>
      </c>
      <c r="F75" s="264">
        <f t="shared" si="9"/>
        <v>-0.11508721452976084</v>
      </c>
    </row>
    <row r="76" spans="1:6" s="265" customFormat="1" ht="20.25" customHeight="1" x14ac:dyDescent="0.3">
      <c r="A76" s="261"/>
      <c r="B76" s="262" t="s">
        <v>449</v>
      </c>
      <c r="C76" s="263">
        <f>+C67+C69</f>
        <v>222813</v>
      </c>
      <c r="D76" s="263">
        <f>+D67+D69</f>
        <v>207153</v>
      </c>
      <c r="E76" s="263">
        <f t="shared" si="8"/>
        <v>-15660</v>
      </c>
      <c r="F76" s="264">
        <f t="shared" si="9"/>
        <v>-7.0283152239770566E-2</v>
      </c>
    </row>
    <row r="77" spans="1:6" s="265" customFormat="1" ht="20.25" customHeight="1" x14ac:dyDescent="0.3">
      <c r="A77" s="266"/>
      <c r="B77" s="262"/>
      <c r="C77" s="263"/>
      <c r="D77" s="263"/>
      <c r="E77" s="263"/>
      <c r="F77" s="264"/>
    </row>
    <row r="78" spans="1:6" ht="18.75" customHeight="1" x14ac:dyDescent="0.3">
      <c r="A78" s="251" t="s">
        <v>181</v>
      </c>
      <c r="B78" s="252" t="s">
        <v>454</v>
      </c>
      <c r="C78" s="253"/>
      <c r="D78" s="254"/>
      <c r="E78" s="251"/>
      <c r="F78" s="255"/>
    </row>
    <row r="79" spans="1:6" ht="20.25" customHeight="1" x14ac:dyDescent="0.3">
      <c r="A79" s="256">
        <v>1</v>
      </c>
      <c r="B79" s="257" t="s">
        <v>441</v>
      </c>
      <c r="C79" s="258">
        <v>0</v>
      </c>
      <c r="D79" s="258">
        <v>0</v>
      </c>
      <c r="E79" s="258">
        <f t="shared" ref="E79:E89" si="10">D79-C79</f>
        <v>0</v>
      </c>
      <c r="F79" s="259">
        <f t="shared" ref="F79:F89" si="11">IF(C79=0,0,E79/C79)</f>
        <v>0</v>
      </c>
    </row>
    <row r="80" spans="1:6" ht="20.25" customHeight="1" x14ac:dyDescent="0.3">
      <c r="A80" s="256">
        <v>2</v>
      </c>
      <c r="B80" s="257" t="s">
        <v>442</v>
      </c>
      <c r="C80" s="258">
        <v>0</v>
      </c>
      <c r="D80" s="258">
        <v>0</v>
      </c>
      <c r="E80" s="258">
        <f t="shared" si="10"/>
        <v>0</v>
      </c>
      <c r="F80" s="259">
        <f t="shared" si="11"/>
        <v>0</v>
      </c>
    </row>
    <row r="81" spans="1:6" ht="20.25" customHeight="1" x14ac:dyDescent="0.3">
      <c r="A81" s="256">
        <v>3</v>
      </c>
      <c r="B81" s="257" t="s">
        <v>443</v>
      </c>
      <c r="C81" s="258">
        <v>23376</v>
      </c>
      <c r="D81" s="258">
        <v>9819</v>
      </c>
      <c r="E81" s="258">
        <f t="shared" si="10"/>
        <v>-13557</v>
      </c>
      <c r="F81" s="259">
        <f t="shared" si="11"/>
        <v>-0.57995379876796715</v>
      </c>
    </row>
    <row r="82" spans="1:6" ht="20.25" customHeight="1" x14ac:dyDescent="0.3">
      <c r="A82" s="256">
        <v>4</v>
      </c>
      <c r="B82" s="257" t="s">
        <v>444</v>
      </c>
      <c r="C82" s="258">
        <v>6532</v>
      </c>
      <c r="D82" s="258">
        <v>3429</v>
      </c>
      <c r="E82" s="258">
        <f t="shared" si="10"/>
        <v>-3103</v>
      </c>
      <c r="F82" s="259">
        <f t="shared" si="11"/>
        <v>-0.4750459277403552</v>
      </c>
    </row>
    <row r="83" spans="1:6" ht="20.25" customHeight="1" x14ac:dyDescent="0.3">
      <c r="A83" s="256">
        <v>5</v>
      </c>
      <c r="B83" s="257" t="s">
        <v>381</v>
      </c>
      <c r="C83" s="260">
        <v>0</v>
      </c>
      <c r="D83" s="260">
        <v>0</v>
      </c>
      <c r="E83" s="260">
        <f t="shared" si="10"/>
        <v>0</v>
      </c>
      <c r="F83" s="259">
        <f t="shared" si="11"/>
        <v>0</v>
      </c>
    </row>
    <row r="84" spans="1:6" ht="20.25" customHeight="1" x14ac:dyDescent="0.3">
      <c r="A84" s="256">
        <v>6</v>
      </c>
      <c r="B84" s="257" t="s">
        <v>380</v>
      </c>
      <c r="C84" s="260">
        <v>0</v>
      </c>
      <c r="D84" s="260">
        <v>0</v>
      </c>
      <c r="E84" s="260">
        <f t="shared" si="10"/>
        <v>0</v>
      </c>
      <c r="F84" s="259">
        <f t="shared" si="11"/>
        <v>0</v>
      </c>
    </row>
    <row r="85" spans="1:6" ht="20.25" customHeight="1" x14ac:dyDescent="0.3">
      <c r="A85" s="256">
        <v>7</v>
      </c>
      <c r="B85" s="257" t="s">
        <v>445</v>
      </c>
      <c r="C85" s="260">
        <v>4</v>
      </c>
      <c r="D85" s="260">
        <v>14</v>
      </c>
      <c r="E85" s="260">
        <f t="shared" si="10"/>
        <v>10</v>
      </c>
      <c r="F85" s="259">
        <f t="shared" si="11"/>
        <v>2.5</v>
      </c>
    </row>
    <row r="86" spans="1:6" ht="20.25" customHeight="1" x14ac:dyDescent="0.3">
      <c r="A86" s="256">
        <v>8</v>
      </c>
      <c r="B86" s="257" t="s">
        <v>446</v>
      </c>
      <c r="C86" s="260">
        <v>21</v>
      </c>
      <c r="D86" s="260">
        <v>1</v>
      </c>
      <c r="E86" s="260">
        <f t="shared" si="10"/>
        <v>-20</v>
      </c>
      <c r="F86" s="259">
        <f t="shared" si="11"/>
        <v>-0.95238095238095233</v>
      </c>
    </row>
    <row r="87" spans="1:6" ht="20.25" customHeight="1" x14ac:dyDescent="0.3">
      <c r="A87" s="256">
        <v>9</v>
      </c>
      <c r="B87" s="257" t="s">
        <v>447</v>
      </c>
      <c r="C87" s="260">
        <v>0</v>
      </c>
      <c r="D87" s="260">
        <v>0</v>
      </c>
      <c r="E87" s="260">
        <f t="shared" si="10"/>
        <v>0</v>
      </c>
      <c r="F87" s="259">
        <f t="shared" si="11"/>
        <v>0</v>
      </c>
    </row>
    <row r="88" spans="1:6" s="265" customFormat="1" ht="20.25" customHeight="1" x14ac:dyDescent="0.3">
      <c r="A88" s="261"/>
      <c r="B88" s="262" t="s">
        <v>448</v>
      </c>
      <c r="C88" s="263">
        <f>+C79+C81</f>
        <v>23376</v>
      </c>
      <c r="D88" s="263">
        <f>+D79+D81</f>
        <v>9819</v>
      </c>
      <c r="E88" s="263">
        <f t="shared" si="10"/>
        <v>-13557</v>
      </c>
      <c r="F88" s="264">
        <f t="shared" si="11"/>
        <v>-0.57995379876796715</v>
      </c>
    </row>
    <row r="89" spans="1:6" s="265" customFormat="1" ht="20.25" customHeight="1" x14ac:dyDescent="0.3">
      <c r="A89" s="261"/>
      <c r="B89" s="262" t="s">
        <v>449</v>
      </c>
      <c r="C89" s="263">
        <f>+C80+C82</f>
        <v>6532</v>
      </c>
      <c r="D89" s="263">
        <f>+D80+D82</f>
        <v>3429</v>
      </c>
      <c r="E89" s="263">
        <f t="shared" si="10"/>
        <v>-3103</v>
      </c>
      <c r="F89" s="264">
        <f t="shared" si="11"/>
        <v>-0.4750459277403552</v>
      </c>
    </row>
    <row r="90" spans="1:6" s="265" customFormat="1" ht="20.25" customHeight="1" x14ac:dyDescent="0.3">
      <c r="A90" s="266"/>
      <c r="B90" s="262"/>
      <c r="C90" s="263"/>
      <c r="D90" s="263"/>
      <c r="E90" s="263"/>
      <c r="F90" s="264"/>
    </row>
    <row r="91" spans="1:6" ht="18.75" customHeight="1" x14ac:dyDescent="0.3">
      <c r="A91" s="251" t="s">
        <v>183</v>
      </c>
      <c r="B91" s="252" t="s">
        <v>455</v>
      </c>
      <c r="C91" s="253"/>
      <c r="D91" s="254"/>
      <c r="E91" s="251"/>
      <c r="F91" s="255"/>
    </row>
    <row r="92" spans="1:6" ht="20.25" customHeight="1" x14ac:dyDescent="0.3">
      <c r="A92" s="256">
        <v>1</v>
      </c>
      <c r="B92" s="257" t="s">
        <v>441</v>
      </c>
      <c r="C92" s="258">
        <v>0</v>
      </c>
      <c r="D92" s="258">
        <v>0</v>
      </c>
      <c r="E92" s="258">
        <f t="shared" ref="E92:E102" si="12">D92-C92</f>
        <v>0</v>
      </c>
      <c r="F92" s="259">
        <f t="shared" ref="F92:F102" si="13">IF(C92=0,0,E92/C92)</f>
        <v>0</v>
      </c>
    </row>
    <row r="93" spans="1:6" ht="20.25" customHeight="1" x14ac:dyDescent="0.3">
      <c r="A93" s="256">
        <v>2</v>
      </c>
      <c r="B93" s="257" t="s">
        <v>442</v>
      </c>
      <c r="C93" s="258">
        <v>0</v>
      </c>
      <c r="D93" s="258">
        <v>0</v>
      </c>
      <c r="E93" s="258">
        <f t="shared" si="12"/>
        <v>0</v>
      </c>
      <c r="F93" s="259">
        <f t="shared" si="13"/>
        <v>0</v>
      </c>
    </row>
    <row r="94" spans="1:6" ht="20.25" customHeight="1" x14ac:dyDescent="0.3">
      <c r="A94" s="256">
        <v>3</v>
      </c>
      <c r="B94" s="257" t="s">
        <v>443</v>
      </c>
      <c r="C94" s="258">
        <v>0</v>
      </c>
      <c r="D94" s="258">
        <v>0</v>
      </c>
      <c r="E94" s="258">
        <f t="shared" si="12"/>
        <v>0</v>
      </c>
      <c r="F94" s="259">
        <f t="shared" si="13"/>
        <v>0</v>
      </c>
    </row>
    <row r="95" spans="1:6" ht="20.25" customHeight="1" x14ac:dyDescent="0.3">
      <c r="A95" s="256">
        <v>4</v>
      </c>
      <c r="B95" s="257" t="s">
        <v>444</v>
      </c>
      <c r="C95" s="258">
        <v>0</v>
      </c>
      <c r="D95" s="258">
        <v>0</v>
      </c>
      <c r="E95" s="258">
        <f t="shared" si="12"/>
        <v>0</v>
      </c>
      <c r="F95" s="259">
        <f t="shared" si="13"/>
        <v>0</v>
      </c>
    </row>
    <row r="96" spans="1:6" ht="20.25" customHeight="1" x14ac:dyDescent="0.3">
      <c r="A96" s="256">
        <v>5</v>
      </c>
      <c r="B96" s="257" t="s">
        <v>381</v>
      </c>
      <c r="C96" s="260">
        <v>0</v>
      </c>
      <c r="D96" s="260">
        <v>0</v>
      </c>
      <c r="E96" s="260">
        <f t="shared" si="12"/>
        <v>0</v>
      </c>
      <c r="F96" s="259">
        <f t="shared" si="13"/>
        <v>0</v>
      </c>
    </row>
    <row r="97" spans="1:6" ht="20.25" customHeight="1" x14ac:dyDescent="0.3">
      <c r="A97" s="256">
        <v>6</v>
      </c>
      <c r="B97" s="257" t="s">
        <v>380</v>
      </c>
      <c r="C97" s="260">
        <v>0</v>
      </c>
      <c r="D97" s="260">
        <v>0</v>
      </c>
      <c r="E97" s="260">
        <f t="shared" si="12"/>
        <v>0</v>
      </c>
      <c r="F97" s="259">
        <f t="shared" si="13"/>
        <v>0</v>
      </c>
    </row>
    <row r="98" spans="1:6" ht="20.25" customHeight="1" x14ac:dyDescent="0.3">
      <c r="A98" s="256">
        <v>7</v>
      </c>
      <c r="B98" s="257" t="s">
        <v>445</v>
      </c>
      <c r="C98" s="260">
        <v>0</v>
      </c>
      <c r="D98" s="260">
        <v>0</v>
      </c>
      <c r="E98" s="260">
        <f t="shared" si="12"/>
        <v>0</v>
      </c>
      <c r="F98" s="259">
        <f t="shared" si="13"/>
        <v>0</v>
      </c>
    </row>
    <row r="99" spans="1:6" ht="20.25" customHeight="1" x14ac:dyDescent="0.3">
      <c r="A99" s="256">
        <v>8</v>
      </c>
      <c r="B99" s="257" t="s">
        <v>446</v>
      </c>
      <c r="C99" s="260">
        <v>0</v>
      </c>
      <c r="D99" s="260">
        <v>0</v>
      </c>
      <c r="E99" s="260">
        <f t="shared" si="12"/>
        <v>0</v>
      </c>
      <c r="F99" s="259">
        <f t="shared" si="13"/>
        <v>0</v>
      </c>
    </row>
    <row r="100" spans="1:6" ht="20.25" customHeight="1" x14ac:dyDescent="0.3">
      <c r="A100" s="256">
        <v>9</v>
      </c>
      <c r="B100" s="257" t="s">
        <v>447</v>
      </c>
      <c r="C100" s="260">
        <v>0</v>
      </c>
      <c r="D100" s="260">
        <v>0</v>
      </c>
      <c r="E100" s="260">
        <f t="shared" si="12"/>
        <v>0</v>
      </c>
      <c r="F100" s="259">
        <f t="shared" si="13"/>
        <v>0</v>
      </c>
    </row>
    <row r="101" spans="1:6" s="265" customFormat="1" ht="20.25" customHeight="1" x14ac:dyDescent="0.3">
      <c r="A101" s="261"/>
      <c r="B101" s="262" t="s">
        <v>448</v>
      </c>
      <c r="C101" s="263">
        <f>+C92+C94</f>
        <v>0</v>
      </c>
      <c r="D101" s="263">
        <f>+D92+D94</f>
        <v>0</v>
      </c>
      <c r="E101" s="263">
        <f t="shared" si="12"/>
        <v>0</v>
      </c>
      <c r="F101" s="264">
        <f t="shared" si="13"/>
        <v>0</v>
      </c>
    </row>
    <row r="102" spans="1:6" s="265" customFormat="1" ht="20.25" customHeight="1" x14ac:dyDescent="0.3">
      <c r="A102" s="261"/>
      <c r="B102" s="262" t="s">
        <v>449</v>
      </c>
      <c r="C102" s="263">
        <f>+C93+C95</f>
        <v>0</v>
      </c>
      <c r="D102" s="263">
        <f>+D93+D95</f>
        <v>0</v>
      </c>
      <c r="E102" s="263">
        <f t="shared" si="12"/>
        <v>0</v>
      </c>
      <c r="F102" s="264">
        <f t="shared" si="13"/>
        <v>0</v>
      </c>
    </row>
    <row r="103" spans="1:6" s="265" customFormat="1" ht="20.25" customHeight="1" x14ac:dyDescent="0.3">
      <c r="A103" s="266"/>
      <c r="B103" s="262"/>
      <c r="C103" s="263"/>
      <c r="D103" s="263"/>
      <c r="E103" s="263"/>
      <c r="F103" s="264"/>
    </row>
    <row r="104" spans="1:6" ht="18.75" customHeight="1" x14ac:dyDescent="0.3">
      <c r="A104" s="251" t="s">
        <v>185</v>
      </c>
      <c r="B104" s="252" t="s">
        <v>456</v>
      </c>
      <c r="C104" s="253"/>
      <c r="D104" s="254"/>
      <c r="E104" s="251"/>
      <c r="F104" s="255"/>
    </row>
    <row r="105" spans="1:6" ht="20.25" customHeight="1" x14ac:dyDescent="0.3">
      <c r="A105" s="256">
        <v>1</v>
      </c>
      <c r="B105" s="257" t="s">
        <v>441</v>
      </c>
      <c r="C105" s="258">
        <v>106846</v>
      </c>
      <c r="D105" s="258">
        <v>136160</v>
      </c>
      <c r="E105" s="258">
        <f t="shared" ref="E105:E115" si="14">D105-C105</f>
        <v>29314</v>
      </c>
      <c r="F105" s="259">
        <f t="shared" ref="F105:F115" si="15">IF(C105=0,0,E105/C105)</f>
        <v>0.27435748647586244</v>
      </c>
    </row>
    <row r="106" spans="1:6" ht="20.25" customHeight="1" x14ac:dyDescent="0.3">
      <c r="A106" s="256">
        <v>2</v>
      </c>
      <c r="B106" s="257" t="s">
        <v>442</v>
      </c>
      <c r="C106" s="258">
        <v>38533</v>
      </c>
      <c r="D106" s="258">
        <v>64317</v>
      </c>
      <c r="E106" s="258">
        <f t="shared" si="14"/>
        <v>25784</v>
      </c>
      <c r="F106" s="259">
        <f t="shared" si="15"/>
        <v>0.66914073651156147</v>
      </c>
    </row>
    <row r="107" spans="1:6" ht="20.25" customHeight="1" x14ac:dyDescent="0.3">
      <c r="A107" s="256">
        <v>3</v>
      </c>
      <c r="B107" s="257" t="s">
        <v>443</v>
      </c>
      <c r="C107" s="258">
        <v>42737</v>
      </c>
      <c r="D107" s="258">
        <v>88294</v>
      </c>
      <c r="E107" s="258">
        <f t="shared" si="14"/>
        <v>45557</v>
      </c>
      <c r="F107" s="259">
        <f t="shared" si="15"/>
        <v>1.0659849778880128</v>
      </c>
    </row>
    <row r="108" spans="1:6" ht="20.25" customHeight="1" x14ac:dyDescent="0.3">
      <c r="A108" s="256">
        <v>4</v>
      </c>
      <c r="B108" s="257" t="s">
        <v>444</v>
      </c>
      <c r="C108" s="258">
        <v>9707</v>
      </c>
      <c r="D108" s="258">
        <v>14895</v>
      </c>
      <c r="E108" s="258">
        <f t="shared" si="14"/>
        <v>5188</v>
      </c>
      <c r="F108" s="259">
        <f t="shared" si="15"/>
        <v>0.53445966828062219</v>
      </c>
    </row>
    <row r="109" spans="1:6" ht="20.25" customHeight="1" x14ac:dyDescent="0.3">
      <c r="A109" s="256">
        <v>5</v>
      </c>
      <c r="B109" s="257" t="s">
        <v>381</v>
      </c>
      <c r="C109" s="260">
        <v>5</v>
      </c>
      <c r="D109" s="260">
        <v>7</v>
      </c>
      <c r="E109" s="260">
        <f t="shared" si="14"/>
        <v>2</v>
      </c>
      <c r="F109" s="259">
        <f t="shared" si="15"/>
        <v>0.4</v>
      </c>
    </row>
    <row r="110" spans="1:6" ht="20.25" customHeight="1" x14ac:dyDescent="0.3">
      <c r="A110" s="256">
        <v>6</v>
      </c>
      <c r="B110" s="257" t="s">
        <v>380</v>
      </c>
      <c r="C110" s="260">
        <v>21</v>
      </c>
      <c r="D110" s="260">
        <v>38</v>
      </c>
      <c r="E110" s="260">
        <f t="shared" si="14"/>
        <v>17</v>
      </c>
      <c r="F110" s="259">
        <f t="shared" si="15"/>
        <v>0.80952380952380953</v>
      </c>
    </row>
    <row r="111" spans="1:6" ht="20.25" customHeight="1" x14ac:dyDescent="0.3">
      <c r="A111" s="256">
        <v>7</v>
      </c>
      <c r="B111" s="257" t="s">
        <v>445</v>
      </c>
      <c r="C111" s="260">
        <v>24</v>
      </c>
      <c r="D111" s="260">
        <v>67</v>
      </c>
      <c r="E111" s="260">
        <f t="shared" si="14"/>
        <v>43</v>
      </c>
      <c r="F111" s="259">
        <f t="shared" si="15"/>
        <v>1.7916666666666667</v>
      </c>
    </row>
    <row r="112" spans="1:6" ht="20.25" customHeight="1" x14ac:dyDescent="0.3">
      <c r="A112" s="256">
        <v>8</v>
      </c>
      <c r="B112" s="257" t="s">
        <v>446</v>
      </c>
      <c r="C112" s="260">
        <v>16</v>
      </c>
      <c r="D112" s="260">
        <v>4</v>
      </c>
      <c r="E112" s="260">
        <f t="shared" si="14"/>
        <v>-12</v>
      </c>
      <c r="F112" s="259">
        <f t="shared" si="15"/>
        <v>-0.75</v>
      </c>
    </row>
    <row r="113" spans="1:6" ht="20.25" customHeight="1" x14ac:dyDescent="0.3">
      <c r="A113" s="256">
        <v>9</v>
      </c>
      <c r="B113" s="257" t="s">
        <v>447</v>
      </c>
      <c r="C113" s="260">
        <v>0</v>
      </c>
      <c r="D113" s="260">
        <v>0</v>
      </c>
      <c r="E113" s="260">
        <f t="shared" si="14"/>
        <v>0</v>
      </c>
      <c r="F113" s="259">
        <f t="shared" si="15"/>
        <v>0</v>
      </c>
    </row>
    <row r="114" spans="1:6" s="265" customFormat="1" ht="20.25" customHeight="1" x14ac:dyDescent="0.3">
      <c r="A114" s="261"/>
      <c r="B114" s="262" t="s">
        <v>448</v>
      </c>
      <c r="C114" s="263">
        <f>+C105+C107</f>
        <v>149583</v>
      </c>
      <c r="D114" s="263">
        <f>+D105+D107</f>
        <v>224454</v>
      </c>
      <c r="E114" s="263">
        <f t="shared" si="14"/>
        <v>74871</v>
      </c>
      <c r="F114" s="264">
        <f t="shared" si="15"/>
        <v>0.50053147750747073</v>
      </c>
    </row>
    <row r="115" spans="1:6" s="265" customFormat="1" ht="20.25" customHeight="1" x14ac:dyDescent="0.3">
      <c r="A115" s="261"/>
      <c r="B115" s="262" t="s">
        <v>449</v>
      </c>
      <c r="C115" s="263">
        <f>+C106+C108</f>
        <v>48240</v>
      </c>
      <c r="D115" s="263">
        <f>+D106+D108</f>
        <v>79212</v>
      </c>
      <c r="E115" s="263">
        <f t="shared" si="14"/>
        <v>30972</v>
      </c>
      <c r="F115" s="264">
        <f t="shared" si="15"/>
        <v>0.64203980099502489</v>
      </c>
    </row>
    <row r="116" spans="1:6" s="265" customFormat="1" ht="20.25" customHeight="1" x14ac:dyDescent="0.3">
      <c r="A116" s="266"/>
      <c r="B116" s="262"/>
      <c r="C116" s="263"/>
      <c r="D116" s="263"/>
      <c r="E116" s="263"/>
      <c r="F116" s="264"/>
    </row>
    <row r="117" spans="1:6" ht="18.75" customHeight="1" x14ac:dyDescent="0.3">
      <c r="A117" s="251" t="s">
        <v>12</v>
      </c>
      <c r="B117" s="252" t="s">
        <v>457</v>
      </c>
      <c r="C117" s="253"/>
      <c r="D117" s="254"/>
      <c r="E117" s="251"/>
      <c r="F117" s="255"/>
    </row>
    <row r="118" spans="1:6" ht="20.25" customHeight="1" x14ac:dyDescent="0.3">
      <c r="A118" s="256">
        <v>1</v>
      </c>
      <c r="B118" s="257" t="s">
        <v>441</v>
      </c>
      <c r="C118" s="258">
        <v>277981</v>
      </c>
      <c r="D118" s="258">
        <v>752568</v>
      </c>
      <c r="E118" s="258">
        <f t="shared" ref="E118:E128" si="16">D118-C118</f>
        <v>474587</v>
      </c>
      <c r="F118" s="259">
        <f t="shared" ref="F118:F128" si="17">IF(C118=0,0,E118/C118)</f>
        <v>1.7072641655364935</v>
      </c>
    </row>
    <row r="119" spans="1:6" ht="20.25" customHeight="1" x14ac:dyDescent="0.3">
      <c r="A119" s="256">
        <v>2</v>
      </c>
      <c r="B119" s="257" t="s">
        <v>442</v>
      </c>
      <c r="C119" s="258">
        <v>131897</v>
      </c>
      <c r="D119" s="258">
        <v>296703</v>
      </c>
      <c r="E119" s="258">
        <f t="shared" si="16"/>
        <v>164806</v>
      </c>
      <c r="F119" s="259">
        <f t="shared" si="17"/>
        <v>1.2495052957989947</v>
      </c>
    </row>
    <row r="120" spans="1:6" ht="20.25" customHeight="1" x14ac:dyDescent="0.3">
      <c r="A120" s="256">
        <v>3</v>
      </c>
      <c r="B120" s="257" t="s">
        <v>443</v>
      </c>
      <c r="C120" s="258">
        <v>291177</v>
      </c>
      <c r="D120" s="258">
        <v>670740</v>
      </c>
      <c r="E120" s="258">
        <f t="shared" si="16"/>
        <v>379563</v>
      </c>
      <c r="F120" s="259">
        <f t="shared" si="17"/>
        <v>1.3035473268836482</v>
      </c>
    </row>
    <row r="121" spans="1:6" ht="20.25" customHeight="1" x14ac:dyDescent="0.3">
      <c r="A121" s="256">
        <v>4</v>
      </c>
      <c r="B121" s="257" t="s">
        <v>444</v>
      </c>
      <c r="C121" s="258">
        <v>57316</v>
      </c>
      <c r="D121" s="258">
        <v>135305</v>
      </c>
      <c r="E121" s="258">
        <f t="shared" si="16"/>
        <v>77989</v>
      </c>
      <c r="F121" s="259">
        <f t="shared" si="17"/>
        <v>1.3606846255844791</v>
      </c>
    </row>
    <row r="122" spans="1:6" ht="20.25" customHeight="1" x14ac:dyDescent="0.3">
      <c r="A122" s="256">
        <v>5</v>
      </c>
      <c r="B122" s="257" t="s">
        <v>381</v>
      </c>
      <c r="C122" s="260">
        <v>14</v>
      </c>
      <c r="D122" s="260">
        <v>25</v>
      </c>
      <c r="E122" s="260">
        <f t="shared" si="16"/>
        <v>11</v>
      </c>
      <c r="F122" s="259">
        <f t="shared" si="17"/>
        <v>0.7857142857142857</v>
      </c>
    </row>
    <row r="123" spans="1:6" ht="20.25" customHeight="1" x14ac:dyDescent="0.3">
      <c r="A123" s="256">
        <v>6</v>
      </c>
      <c r="B123" s="257" t="s">
        <v>380</v>
      </c>
      <c r="C123" s="260">
        <v>75</v>
      </c>
      <c r="D123" s="260">
        <v>130</v>
      </c>
      <c r="E123" s="260">
        <f t="shared" si="16"/>
        <v>55</v>
      </c>
      <c r="F123" s="259">
        <f t="shared" si="17"/>
        <v>0.73333333333333328</v>
      </c>
    </row>
    <row r="124" spans="1:6" ht="20.25" customHeight="1" x14ac:dyDescent="0.3">
      <c r="A124" s="256">
        <v>7</v>
      </c>
      <c r="B124" s="257" t="s">
        <v>445</v>
      </c>
      <c r="C124" s="260">
        <v>296</v>
      </c>
      <c r="D124" s="260">
        <v>589</v>
      </c>
      <c r="E124" s="260">
        <f t="shared" si="16"/>
        <v>293</v>
      </c>
      <c r="F124" s="259">
        <f t="shared" si="17"/>
        <v>0.98986486486486491</v>
      </c>
    </row>
    <row r="125" spans="1:6" ht="20.25" customHeight="1" x14ac:dyDescent="0.3">
      <c r="A125" s="256">
        <v>8</v>
      </c>
      <c r="B125" s="257" t="s">
        <v>446</v>
      </c>
      <c r="C125" s="260">
        <v>24</v>
      </c>
      <c r="D125" s="260">
        <v>8</v>
      </c>
      <c r="E125" s="260">
        <f t="shared" si="16"/>
        <v>-16</v>
      </c>
      <c r="F125" s="259">
        <f t="shared" si="17"/>
        <v>-0.66666666666666663</v>
      </c>
    </row>
    <row r="126" spans="1:6" ht="20.25" customHeight="1" x14ac:dyDescent="0.3">
      <c r="A126" s="256">
        <v>9</v>
      </c>
      <c r="B126" s="257" t="s">
        <v>447</v>
      </c>
      <c r="C126" s="260">
        <v>0</v>
      </c>
      <c r="D126" s="260">
        <v>0</v>
      </c>
      <c r="E126" s="260">
        <f t="shared" si="16"/>
        <v>0</v>
      </c>
      <c r="F126" s="259">
        <f t="shared" si="17"/>
        <v>0</v>
      </c>
    </row>
    <row r="127" spans="1:6" s="265" customFormat="1" ht="20.25" customHeight="1" x14ac:dyDescent="0.3">
      <c r="A127" s="261"/>
      <c r="B127" s="262" t="s">
        <v>448</v>
      </c>
      <c r="C127" s="263">
        <f>+C118+C120</f>
        <v>569158</v>
      </c>
      <c r="D127" s="263">
        <f>+D118+D120</f>
        <v>1423308</v>
      </c>
      <c r="E127" s="263">
        <f t="shared" si="16"/>
        <v>854150</v>
      </c>
      <c r="F127" s="264">
        <f t="shared" si="17"/>
        <v>1.5007256333039332</v>
      </c>
    </row>
    <row r="128" spans="1:6" s="265" customFormat="1" ht="20.25" customHeight="1" x14ac:dyDescent="0.3">
      <c r="A128" s="261"/>
      <c r="B128" s="262" t="s">
        <v>449</v>
      </c>
      <c r="C128" s="263">
        <f>+C119+C121</f>
        <v>189213</v>
      </c>
      <c r="D128" s="263">
        <f>+D119+D121</f>
        <v>432008</v>
      </c>
      <c r="E128" s="263">
        <f t="shared" si="16"/>
        <v>242795</v>
      </c>
      <c r="F128" s="264">
        <f t="shared" si="17"/>
        <v>1.2831835021906528</v>
      </c>
    </row>
    <row r="129" spans="1:6" s="265" customFormat="1" ht="20.25" customHeight="1" x14ac:dyDescent="0.3">
      <c r="A129" s="266"/>
      <c r="B129" s="262"/>
      <c r="C129" s="263"/>
      <c r="D129" s="263"/>
      <c r="E129" s="263"/>
      <c r="F129" s="264"/>
    </row>
    <row r="130" spans="1:6" ht="18.75" customHeight="1" x14ac:dyDescent="0.3">
      <c r="A130" s="251" t="s">
        <v>195</v>
      </c>
      <c r="B130" s="252" t="s">
        <v>458</v>
      </c>
      <c r="C130" s="253"/>
      <c r="D130" s="254"/>
      <c r="E130" s="251"/>
      <c r="F130" s="255"/>
    </row>
    <row r="131" spans="1:6" ht="20.25" customHeight="1" x14ac:dyDescent="0.3">
      <c r="A131" s="256">
        <v>1</v>
      </c>
      <c r="B131" s="257" t="s">
        <v>441</v>
      </c>
      <c r="C131" s="258">
        <v>0</v>
      </c>
      <c r="D131" s="258">
        <v>0</v>
      </c>
      <c r="E131" s="258">
        <f t="shared" ref="E131:E141" si="18">D131-C131</f>
        <v>0</v>
      </c>
      <c r="F131" s="259">
        <f t="shared" ref="F131:F141" si="19">IF(C131=0,0,E131/C131)</f>
        <v>0</v>
      </c>
    </row>
    <row r="132" spans="1:6" ht="20.25" customHeight="1" x14ac:dyDescent="0.3">
      <c r="A132" s="256">
        <v>2</v>
      </c>
      <c r="B132" s="257" t="s">
        <v>442</v>
      </c>
      <c r="C132" s="258">
        <v>0</v>
      </c>
      <c r="D132" s="258">
        <v>0</v>
      </c>
      <c r="E132" s="258">
        <f t="shared" si="18"/>
        <v>0</v>
      </c>
      <c r="F132" s="259">
        <f t="shared" si="19"/>
        <v>0</v>
      </c>
    </row>
    <row r="133" spans="1:6" ht="20.25" customHeight="1" x14ac:dyDescent="0.3">
      <c r="A133" s="256">
        <v>3</v>
      </c>
      <c r="B133" s="257" t="s">
        <v>443</v>
      </c>
      <c r="C133" s="258">
        <v>1609</v>
      </c>
      <c r="D133" s="258">
        <v>472</v>
      </c>
      <c r="E133" s="258">
        <f t="shared" si="18"/>
        <v>-1137</v>
      </c>
      <c r="F133" s="259">
        <f t="shared" si="19"/>
        <v>-0.70665009322560601</v>
      </c>
    </row>
    <row r="134" spans="1:6" ht="20.25" customHeight="1" x14ac:dyDescent="0.3">
      <c r="A134" s="256">
        <v>4</v>
      </c>
      <c r="B134" s="257" t="s">
        <v>444</v>
      </c>
      <c r="C134" s="258">
        <v>357</v>
      </c>
      <c r="D134" s="258">
        <v>121</v>
      </c>
      <c r="E134" s="258">
        <f t="shared" si="18"/>
        <v>-236</v>
      </c>
      <c r="F134" s="259">
        <f t="shared" si="19"/>
        <v>-0.66106442577030811</v>
      </c>
    </row>
    <row r="135" spans="1:6" ht="20.25" customHeight="1" x14ac:dyDescent="0.3">
      <c r="A135" s="256">
        <v>5</v>
      </c>
      <c r="B135" s="257" t="s">
        <v>381</v>
      </c>
      <c r="C135" s="260">
        <v>0</v>
      </c>
      <c r="D135" s="260">
        <v>0</v>
      </c>
      <c r="E135" s="260">
        <f t="shared" si="18"/>
        <v>0</v>
      </c>
      <c r="F135" s="259">
        <f t="shared" si="19"/>
        <v>0</v>
      </c>
    </row>
    <row r="136" spans="1:6" ht="20.25" customHeight="1" x14ac:dyDescent="0.3">
      <c r="A136" s="256">
        <v>6</v>
      </c>
      <c r="B136" s="257" t="s">
        <v>380</v>
      </c>
      <c r="C136" s="260">
        <v>0</v>
      </c>
      <c r="D136" s="260">
        <v>0</v>
      </c>
      <c r="E136" s="260">
        <f t="shared" si="18"/>
        <v>0</v>
      </c>
      <c r="F136" s="259">
        <f t="shared" si="19"/>
        <v>0</v>
      </c>
    </row>
    <row r="137" spans="1:6" ht="20.25" customHeight="1" x14ac:dyDescent="0.3">
      <c r="A137" s="256">
        <v>7</v>
      </c>
      <c r="B137" s="257" t="s">
        <v>445</v>
      </c>
      <c r="C137" s="260">
        <v>1</v>
      </c>
      <c r="D137" s="260">
        <v>1</v>
      </c>
      <c r="E137" s="260">
        <f t="shared" si="18"/>
        <v>0</v>
      </c>
      <c r="F137" s="259">
        <f t="shared" si="19"/>
        <v>0</v>
      </c>
    </row>
    <row r="138" spans="1:6" ht="20.25" customHeight="1" x14ac:dyDescent="0.3">
      <c r="A138" s="256">
        <v>8</v>
      </c>
      <c r="B138" s="257" t="s">
        <v>446</v>
      </c>
      <c r="C138" s="260">
        <v>1</v>
      </c>
      <c r="D138" s="260">
        <v>0</v>
      </c>
      <c r="E138" s="260">
        <f t="shared" si="18"/>
        <v>-1</v>
      </c>
      <c r="F138" s="259">
        <f t="shared" si="19"/>
        <v>-1</v>
      </c>
    </row>
    <row r="139" spans="1:6" ht="20.25" customHeight="1" x14ac:dyDescent="0.3">
      <c r="A139" s="256">
        <v>9</v>
      </c>
      <c r="B139" s="257" t="s">
        <v>447</v>
      </c>
      <c r="C139" s="260">
        <v>0</v>
      </c>
      <c r="D139" s="260">
        <v>0</v>
      </c>
      <c r="E139" s="260">
        <f t="shared" si="18"/>
        <v>0</v>
      </c>
      <c r="F139" s="259">
        <f t="shared" si="19"/>
        <v>0</v>
      </c>
    </row>
    <row r="140" spans="1:6" s="265" customFormat="1" ht="20.25" customHeight="1" x14ac:dyDescent="0.3">
      <c r="A140" s="261"/>
      <c r="B140" s="262" t="s">
        <v>448</v>
      </c>
      <c r="C140" s="263">
        <f>+C131+C133</f>
        <v>1609</v>
      </c>
      <c r="D140" s="263">
        <f>+D131+D133</f>
        <v>472</v>
      </c>
      <c r="E140" s="263">
        <f t="shared" si="18"/>
        <v>-1137</v>
      </c>
      <c r="F140" s="264">
        <f t="shared" si="19"/>
        <v>-0.70665009322560601</v>
      </c>
    </row>
    <row r="141" spans="1:6" s="265" customFormat="1" ht="20.25" customHeight="1" x14ac:dyDescent="0.3">
      <c r="A141" s="261"/>
      <c r="B141" s="262" t="s">
        <v>449</v>
      </c>
      <c r="C141" s="263">
        <f>+C132+C134</f>
        <v>357</v>
      </c>
      <c r="D141" s="263">
        <f>+D132+D134</f>
        <v>121</v>
      </c>
      <c r="E141" s="263">
        <f t="shared" si="18"/>
        <v>-236</v>
      </c>
      <c r="F141" s="264">
        <f t="shared" si="19"/>
        <v>-0.66106442577030811</v>
      </c>
    </row>
    <row r="142" spans="1:6" s="265" customFormat="1" ht="20.25" customHeight="1" x14ac:dyDescent="0.3">
      <c r="A142" s="266"/>
      <c r="B142" s="262"/>
      <c r="C142" s="263"/>
      <c r="D142" s="263"/>
      <c r="E142" s="263"/>
      <c r="F142" s="264"/>
    </row>
    <row r="143" spans="1:6" ht="18.75" customHeight="1" x14ac:dyDescent="0.3">
      <c r="A143" s="251" t="s">
        <v>226</v>
      </c>
      <c r="B143" s="252" t="s">
        <v>459</v>
      </c>
      <c r="C143" s="253"/>
      <c r="D143" s="254"/>
      <c r="E143" s="251"/>
      <c r="F143" s="255"/>
    </row>
    <row r="144" spans="1:6" ht="20.25" customHeight="1" x14ac:dyDescent="0.3">
      <c r="A144" s="256">
        <v>1</v>
      </c>
      <c r="B144" s="257" t="s">
        <v>441</v>
      </c>
      <c r="C144" s="258">
        <v>0</v>
      </c>
      <c r="D144" s="258">
        <v>0</v>
      </c>
      <c r="E144" s="258">
        <f t="shared" ref="E144:E154" si="20">D144-C144</f>
        <v>0</v>
      </c>
      <c r="F144" s="259">
        <f t="shared" ref="F144:F154" si="21">IF(C144=0,0,E144/C144)</f>
        <v>0</v>
      </c>
    </row>
    <row r="145" spans="1:6" ht="20.25" customHeight="1" x14ac:dyDescent="0.3">
      <c r="A145" s="256">
        <v>2</v>
      </c>
      <c r="B145" s="257" t="s">
        <v>442</v>
      </c>
      <c r="C145" s="258">
        <v>0</v>
      </c>
      <c r="D145" s="258">
        <v>0</v>
      </c>
      <c r="E145" s="258">
        <f t="shared" si="20"/>
        <v>0</v>
      </c>
      <c r="F145" s="259">
        <f t="shared" si="21"/>
        <v>0</v>
      </c>
    </row>
    <row r="146" spans="1:6" ht="20.25" customHeight="1" x14ac:dyDescent="0.3">
      <c r="A146" s="256">
        <v>3</v>
      </c>
      <c r="B146" s="257" t="s">
        <v>443</v>
      </c>
      <c r="C146" s="258">
        <v>0</v>
      </c>
      <c r="D146" s="258">
        <v>0</v>
      </c>
      <c r="E146" s="258">
        <f t="shared" si="20"/>
        <v>0</v>
      </c>
      <c r="F146" s="259">
        <f t="shared" si="21"/>
        <v>0</v>
      </c>
    </row>
    <row r="147" spans="1:6" ht="20.25" customHeight="1" x14ac:dyDescent="0.3">
      <c r="A147" s="256">
        <v>4</v>
      </c>
      <c r="B147" s="257" t="s">
        <v>444</v>
      </c>
      <c r="C147" s="258">
        <v>0</v>
      </c>
      <c r="D147" s="258">
        <v>0</v>
      </c>
      <c r="E147" s="258">
        <f t="shared" si="20"/>
        <v>0</v>
      </c>
      <c r="F147" s="259">
        <f t="shared" si="21"/>
        <v>0</v>
      </c>
    </row>
    <row r="148" spans="1:6" ht="20.25" customHeight="1" x14ac:dyDescent="0.3">
      <c r="A148" s="256">
        <v>5</v>
      </c>
      <c r="B148" s="257" t="s">
        <v>381</v>
      </c>
      <c r="C148" s="260">
        <v>0</v>
      </c>
      <c r="D148" s="260">
        <v>0</v>
      </c>
      <c r="E148" s="260">
        <f t="shared" si="20"/>
        <v>0</v>
      </c>
      <c r="F148" s="259">
        <f t="shared" si="21"/>
        <v>0</v>
      </c>
    </row>
    <row r="149" spans="1:6" ht="20.25" customHeight="1" x14ac:dyDescent="0.3">
      <c r="A149" s="256">
        <v>6</v>
      </c>
      <c r="B149" s="257" t="s">
        <v>380</v>
      </c>
      <c r="C149" s="260">
        <v>0</v>
      </c>
      <c r="D149" s="260">
        <v>0</v>
      </c>
      <c r="E149" s="260">
        <f t="shared" si="20"/>
        <v>0</v>
      </c>
      <c r="F149" s="259">
        <f t="shared" si="21"/>
        <v>0</v>
      </c>
    </row>
    <row r="150" spans="1:6" ht="20.25" customHeight="1" x14ac:dyDescent="0.3">
      <c r="A150" s="256">
        <v>7</v>
      </c>
      <c r="B150" s="257" t="s">
        <v>445</v>
      </c>
      <c r="C150" s="260">
        <v>0</v>
      </c>
      <c r="D150" s="260">
        <v>0</v>
      </c>
      <c r="E150" s="260">
        <f t="shared" si="20"/>
        <v>0</v>
      </c>
      <c r="F150" s="259">
        <f t="shared" si="21"/>
        <v>0</v>
      </c>
    </row>
    <row r="151" spans="1:6" ht="20.25" customHeight="1" x14ac:dyDescent="0.3">
      <c r="A151" s="256">
        <v>8</v>
      </c>
      <c r="B151" s="257" t="s">
        <v>446</v>
      </c>
      <c r="C151" s="260">
        <v>0</v>
      </c>
      <c r="D151" s="260">
        <v>0</v>
      </c>
      <c r="E151" s="260">
        <f t="shared" si="20"/>
        <v>0</v>
      </c>
      <c r="F151" s="259">
        <f t="shared" si="21"/>
        <v>0</v>
      </c>
    </row>
    <row r="152" spans="1:6" ht="20.25" customHeight="1" x14ac:dyDescent="0.3">
      <c r="A152" s="256">
        <v>9</v>
      </c>
      <c r="B152" s="257" t="s">
        <v>447</v>
      </c>
      <c r="C152" s="260">
        <v>0</v>
      </c>
      <c r="D152" s="260">
        <v>0</v>
      </c>
      <c r="E152" s="260">
        <f t="shared" si="20"/>
        <v>0</v>
      </c>
      <c r="F152" s="259">
        <f t="shared" si="21"/>
        <v>0</v>
      </c>
    </row>
    <row r="153" spans="1:6" s="265" customFormat="1" ht="20.25" customHeight="1" x14ac:dyDescent="0.3">
      <c r="A153" s="261"/>
      <c r="B153" s="262" t="s">
        <v>448</v>
      </c>
      <c r="C153" s="263">
        <f>+C144+C146</f>
        <v>0</v>
      </c>
      <c r="D153" s="263">
        <f>+D144+D146</f>
        <v>0</v>
      </c>
      <c r="E153" s="263">
        <f t="shared" si="20"/>
        <v>0</v>
      </c>
      <c r="F153" s="264">
        <f t="shared" si="21"/>
        <v>0</v>
      </c>
    </row>
    <row r="154" spans="1:6" s="265" customFormat="1" ht="20.25" customHeight="1" x14ac:dyDescent="0.3">
      <c r="A154" s="261"/>
      <c r="B154" s="262" t="s">
        <v>449</v>
      </c>
      <c r="C154" s="263">
        <f>+C145+C147</f>
        <v>0</v>
      </c>
      <c r="D154" s="263">
        <f>+D145+D147</f>
        <v>0</v>
      </c>
      <c r="E154" s="263">
        <f t="shared" si="20"/>
        <v>0</v>
      </c>
      <c r="F154" s="264">
        <f t="shared" si="21"/>
        <v>0</v>
      </c>
    </row>
    <row r="155" spans="1:6" s="265" customFormat="1" ht="20.25" customHeight="1" x14ac:dyDescent="0.3">
      <c r="A155" s="266"/>
      <c r="B155" s="262"/>
      <c r="C155" s="263"/>
      <c r="D155" s="263"/>
      <c r="E155" s="263"/>
      <c r="F155" s="264"/>
    </row>
    <row r="156" spans="1:6" ht="18.75" customHeight="1" x14ac:dyDescent="0.3">
      <c r="A156" s="251" t="s">
        <v>427</v>
      </c>
      <c r="B156" s="252" t="s">
        <v>460</v>
      </c>
      <c r="C156" s="253"/>
      <c r="D156" s="254"/>
      <c r="E156" s="251"/>
      <c r="F156" s="255"/>
    </row>
    <row r="157" spans="1:6" ht="20.25" customHeight="1" x14ac:dyDescent="0.3">
      <c r="A157" s="256">
        <v>1</v>
      </c>
      <c r="B157" s="257" t="s">
        <v>441</v>
      </c>
      <c r="C157" s="258">
        <v>0</v>
      </c>
      <c r="D157" s="258">
        <v>0</v>
      </c>
      <c r="E157" s="258">
        <f t="shared" ref="E157:E167" si="22">D157-C157</f>
        <v>0</v>
      </c>
      <c r="F157" s="259">
        <f t="shared" ref="F157:F167" si="23">IF(C157=0,0,E157/C157)</f>
        <v>0</v>
      </c>
    </row>
    <row r="158" spans="1:6" ht="20.25" customHeight="1" x14ac:dyDescent="0.3">
      <c r="A158" s="256">
        <v>2</v>
      </c>
      <c r="B158" s="257" t="s">
        <v>442</v>
      </c>
      <c r="C158" s="258">
        <v>0</v>
      </c>
      <c r="D158" s="258">
        <v>0</v>
      </c>
      <c r="E158" s="258">
        <f t="shared" si="22"/>
        <v>0</v>
      </c>
      <c r="F158" s="259">
        <f t="shared" si="23"/>
        <v>0</v>
      </c>
    </row>
    <row r="159" spans="1:6" ht="20.25" customHeight="1" x14ac:dyDescent="0.3">
      <c r="A159" s="256">
        <v>3</v>
      </c>
      <c r="B159" s="257" t="s">
        <v>443</v>
      </c>
      <c r="C159" s="258">
        <v>0</v>
      </c>
      <c r="D159" s="258">
        <v>0</v>
      </c>
      <c r="E159" s="258">
        <f t="shared" si="22"/>
        <v>0</v>
      </c>
      <c r="F159" s="259">
        <f t="shared" si="23"/>
        <v>0</v>
      </c>
    </row>
    <row r="160" spans="1:6" ht="20.25" customHeight="1" x14ac:dyDescent="0.3">
      <c r="A160" s="256">
        <v>4</v>
      </c>
      <c r="B160" s="257" t="s">
        <v>444</v>
      </c>
      <c r="C160" s="258">
        <v>0</v>
      </c>
      <c r="D160" s="258">
        <v>0</v>
      </c>
      <c r="E160" s="258">
        <f t="shared" si="22"/>
        <v>0</v>
      </c>
      <c r="F160" s="259">
        <f t="shared" si="23"/>
        <v>0</v>
      </c>
    </row>
    <row r="161" spans="1:6" ht="20.25" customHeight="1" x14ac:dyDescent="0.3">
      <c r="A161" s="256">
        <v>5</v>
      </c>
      <c r="B161" s="257" t="s">
        <v>381</v>
      </c>
      <c r="C161" s="260">
        <v>0</v>
      </c>
      <c r="D161" s="260">
        <v>0</v>
      </c>
      <c r="E161" s="260">
        <f t="shared" si="22"/>
        <v>0</v>
      </c>
      <c r="F161" s="259">
        <f t="shared" si="23"/>
        <v>0</v>
      </c>
    </row>
    <row r="162" spans="1:6" ht="20.25" customHeight="1" x14ac:dyDescent="0.3">
      <c r="A162" s="256">
        <v>6</v>
      </c>
      <c r="B162" s="257" t="s">
        <v>380</v>
      </c>
      <c r="C162" s="260">
        <v>0</v>
      </c>
      <c r="D162" s="260">
        <v>0</v>
      </c>
      <c r="E162" s="260">
        <f t="shared" si="22"/>
        <v>0</v>
      </c>
      <c r="F162" s="259">
        <f t="shared" si="23"/>
        <v>0</v>
      </c>
    </row>
    <row r="163" spans="1:6" ht="20.25" customHeight="1" x14ac:dyDescent="0.3">
      <c r="A163" s="256">
        <v>7</v>
      </c>
      <c r="B163" s="257" t="s">
        <v>445</v>
      </c>
      <c r="C163" s="260">
        <v>0</v>
      </c>
      <c r="D163" s="260">
        <v>0</v>
      </c>
      <c r="E163" s="260">
        <f t="shared" si="22"/>
        <v>0</v>
      </c>
      <c r="F163" s="259">
        <f t="shared" si="23"/>
        <v>0</v>
      </c>
    </row>
    <row r="164" spans="1:6" ht="20.25" customHeight="1" x14ac:dyDescent="0.3">
      <c r="A164" s="256">
        <v>8</v>
      </c>
      <c r="B164" s="257" t="s">
        <v>446</v>
      </c>
      <c r="C164" s="260">
        <v>0</v>
      </c>
      <c r="D164" s="260">
        <v>0</v>
      </c>
      <c r="E164" s="260">
        <f t="shared" si="22"/>
        <v>0</v>
      </c>
      <c r="F164" s="259">
        <f t="shared" si="23"/>
        <v>0</v>
      </c>
    </row>
    <row r="165" spans="1:6" ht="20.25" customHeight="1" x14ac:dyDescent="0.3">
      <c r="A165" s="256">
        <v>9</v>
      </c>
      <c r="B165" s="257" t="s">
        <v>447</v>
      </c>
      <c r="C165" s="260">
        <v>0</v>
      </c>
      <c r="D165" s="260">
        <v>0</v>
      </c>
      <c r="E165" s="260">
        <f t="shared" si="22"/>
        <v>0</v>
      </c>
      <c r="F165" s="259">
        <f t="shared" si="23"/>
        <v>0</v>
      </c>
    </row>
    <row r="166" spans="1:6" s="265" customFormat="1" ht="20.25" customHeight="1" x14ac:dyDescent="0.3">
      <c r="A166" s="261"/>
      <c r="B166" s="262" t="s">
        <v>448</v>
      </c>
      <c r="C166" s="263">
        <f>+C157+C159</f>
        <v>0</v>
      </c>
      <c r="D166" s="263">
        <f>+D157+D159</f>
        <v>0</v>
      </c>
      <c r="E166" s="263">
        <f t="shared" si="22"/>
        <v>0</v>
      </c>
      <c r="F166" s="264">
        <f t="shared" si="23"/>
        <v>0</v>
      </c>
    </row>
    <row r="167" spans="1:6" s="265" customFormat="1" ht="20.25" customHeight="1" x14ac:dyDescent="0.3">
      <c r="A167" s="261"/>
      <c r="B167" s="262" t="s">
        <v>449</v>
      </c>
      <c r="C167" s="263">
        <f>+C158+C160</f>
        <v>0</v>
      </c>
      <c r="D167" s="263">
        <f>+D158+D160</f>
        <v>0</v>
      </c>
      <c r="E167" s="263">
        <f t="shared" si="22"/>
        <v>0</v>
      </c>
      <c r="F167" s="264">
        <f t="shared" si="23"/>
        <v>0</v>
      </c>
    </row>
    <row r="168" spans="1:6" s="265" customFormat="1" ht="20.25" customHeight="1" x14ac:dyDescent="0.3">
      <c r="A168" s="266"/>
      <c r="B168" s="262"/>
      <c r="C168" s="263"/>
      <c r="D168" s="263"/>
      <c r="E168" s="263"/>
      <c r="F168" s="264"/>
    </row>
    <row r="169" spans="1:6" ht="18.75" customHeight="1" x14ac:dyDescent="0.3">
      <c r="A169" s="251" t="s">
        <v>430</v>
      </c>
      <c r="B169" s="252" t="s">
        <v>461</v>
      </c>
      <c r="C169" s="253"/>
      <c r="D169" s="254"/>
      <c r="E169" s="251"/>
      <c r="F169" s="255"/>
    </row>
    <row r="170" spans="1:6" ht="20.25" customHeight="1" x14ac:dyDescent="0.3">
      <c r="A170" s="256">
        <v>1</v>
      </c>
      <c r="B170" s="257" t="s">
        <v>441</v>
      </c>
      <c r="C170" s="258">
        <v>0</v>
      </c>
      <c r="D170" s="258">
        <v>0</v>
      </c>
      <c r="E170" s="258">
        <f t="shared" ref="E170:E180" si="24">D170-C170</f>
        <v>0</v>
      </c>
      <c r="F170" s="259">
        <f t="shared" ref="F170:F180" si="25">IF(C170=0,0,E170/C170)</f>
        <v>0</v>
      </c>
    </row>
    <row r="171" spans="1:6" ht="20.25" customHeight="1" x14ac:dyDescent="0.3">
      <c r="A171" s="256">
        <v>2</v>
      </c>
      <c r="B171" s="257" t="s">
        <v>442</v>
      </c>
      <c r="C171" s="258">
        <v>0</v>
      </c>
      <c r="D171" s="258">
        <v>0</v>
      </c>
      <c r="E171" s="258">
        <f t="shared" si="24"/>
        <v>0</v>
      </c>
      <c r="F171" s="259">
        <f t="shared" si="25"/>
        <v>0</v>
      </c>
    </row>
    <row r="172" spans="1:6" ht="20.25" customHeight="1" x14ac:dyDescent="0.3">
      <c r="A172" s="256">
        <v>3</v>
      </c>
      <c r="B172" s="257" t="s">
        <v>443</v>
      </c>
      <c r="C172" s="258">
        <v>0</v>
      </c>
      <c r="D172" s="258">
        <v>0</v>
      </c>
      <c r="E172" s="258">
        <f t="shared" si="24"/>
        <v>0</v>
      </c>
      <c r="F172" s="259">
        <f t="shared" si="25"/>
        <v>0</v>
      </c>
    </row>
    <row r="173" spans="1:6" ht="20.25" customHeight="1" x14ac:dyDescent="0.3">
      <c r="A173" s="256">
        <v>4</v>
      </c>
      <c r="B173" s="257" t="s">
        <v>444</v>
      </c>
      <c r="C173" s="258">
        <v>0</v>
      </c>
      <c r="D173" s="258">
        <v>0</v>
      </c>
      <c r="E173" s="258">
        <f t="shared" si="24"/>
        <v>0</v>
      </c>
      <c r="F173" s="259">
        <f t="shared" si="25"/>
        <v>0</v>
      </c>
    </row>
    <row r="174" spans="1:6" ht="20.25" customHeight="1" x14ac:dyDescent="0.3">
      <c r="A174" s="256">
        <v>5</v>
      </c>
      <c r="B174" s="257" t="s">
        <v>381</v>
      </c>
      <c r="C174" s="260">
        <v>0</v>
      </c>
      <c r="D174" s="260">
        <v>0</v>
      </c>
      <c r="E174" s="260">
        <f t="shared" si="24"/>
        <v>0</v>
      </c>
      <c r="F174" s="259">
        <f t="shared" si="25"/>
        <v>0</v>
      </c>
    </row>
    <row r="175" spans="1:6" ht="20.25" customHeight="1" x14ac:dyDescent="0.3">
      <c r="A175" s="256">
        <v>6</v>
      </c>
      <c r="B175" s="257" t="s">
        <v>380</v>
      </c>
      <c r="C175" s="260">
        <v>0</v>
      </c>
      <c r="D175" s="260">
        <v>0</v>
      </c>
      <c r="E175" s="260">
        <f t="shared" si="24"/>
        <v>0</v>
      </c>
      <c r="F175" s="259">
        <f t="shared" si="25"/>
        <v>0</v>
      </c>
    </row>
    <row r="176" spans="1:6" ht="20.25" customHeight="1" x14ac:dyDescent="0.3">
      <c r="A176" s="256">
        <v>7</v>
      </c>
      <c r="B176" s="257" t="s">
        <v>445</v>
      </c>
      <c r="C176" s="260">
        <v>0</v>
      </c>
      <c r="D176" s="260">
        <v>0</v>
      </c>
      <c r="E176" s="260">
        <f t="shared" si="24"/>
        <v>0</v>
      </c>
      <c r="F176" s="259">
        <f t="shared" si="25"/>
        <v>0</v>
      </c>
    </row>
    <row r="177" spans="1:6" ht="20.25" customHeight="1" x14ac:dyDescent="0.3">
      <c r="A177" s="256">
        <v>8</v>
      </c>
      <c r="B177" s="257" t="s">
        <v>446</v>
      </c>
      <c r="C177" s="260">
        <v>0</v>
      </c>
      <c r="D177" s="260">
        <v>0</v>
      </c>
      <c r="E177" s="260">
        <f t="shared" si="24"/>
        <v>0</v>
      </c>
      <c r="F177" s="259">
        <f t="shared" si="25"/>
        <v>0</v>
      </c>
    </row>
    <row r="178" spans="1:6" ht="20.25" customHeight="1" x14ac:dyDescent="0.3">
      <c r="A178" s="256">
        <v>9</v>
      </c>
      <c r="B178" s="257" t="s">
        <v>447</v>
      </c>
      <c r="C178" s="260">
        <v>0</v>
      </c>
      <c r="D178" s="260">
        <v>0</v>
      </c>
      <c r="E178" s="260">
        <f t="shared" si="24"/>
        <v>0</v>
      </c>
      <c r="F178" s="259">
        <f t="shared" si="25"/>
        <v>0</v>
      </c>
    </row>
    <row r="179" spans="1:6" s="265" customFormat="1" ht="20.25" customHeight="1" x14ac:dyDescent="0.3">
      <c r="A179" s="261"/>
      <c r="B179" s="262" t="s">
        <v>448</v>
      </c>
      <c r="C179" s="263">
        <f>+C170+C172</f>
        <v>0</v>
      </c>
      <c r="D179" s="263">
        <f>+D170+D172</f>
        <v>0</v>
      </c>
      <c r="E179" s="263">
        <f t="shared" si="24"/>
        <v>0</v>
      </c>
      <c r="F179" s="264">
        <f t="shared" si="25"/>
        <v>0</v>
      </c>
    </row>
    <row r="180" spans="1:6" s="265" customFormat="1" ht="20.25" customHeight="1" x14ac:dyDescent="0.3">
      <c r="A180" s="261"/>
      <c r="B180" s="262" t="s">
        <v>449</v>
      </c>
      <c r="C180" s="263">
        <f>+C171+C173</f>
        <v>0</v>
      </c>
      <c r="D180" s="263">
        <f>+D171+D173</f>
        <v>0</v>
      </c>
      <c r="E180" s="263">
        <f t="shared" si="24"/>
        <v>0</v>
      </c>
      <c r="F180" s="264">
        <f t="shared" si="25"/>
        <v>0</v>
      </c>
    </row>
    <row r="181" spans="1:6" s="265" customFormat="1" ht="20.25" customHeight="1" x14ac:dyDescent="0.3">
      <c r="A181" s="266"/>
      <c r="B181" s="262"/>
      <c r="C181" s="263"/>
      <c r="D181" s="263"/>
      <c r="E181" s="263"/>
      <c r="F181" s="264"/>
    </row>
    <row r="182" spans="1:6" ht="18.75" customHeight="1" x14ac:dyDescent="0.3">
      <c r="A182" s="251" t="s">
        <v>462</v>
      </c>
      <c r="B182" s="252" t="s">
        <v>463</v>
      </c>
      <c r="C182" s="253"/>
      <c r="D182" s="254"/>
      <c r="E182" s="251"/>
      <c r="F182" s="255"/>
    </row>
    <row r="183" spans="1:6" ht="20.25" customHeight="1" x14ac:dyDescent="0.3">
      <c r="A183" s="256">
        <v>1</v>
      </c>
      <c r="B183" s="257" t="s">
        <v>441</v>
      </c>
      <c r="C183" s="258">
        <v>1167359</v>
      </c>
      <c r="D183" s="258">
        <v>1420293</v>
      </c>
      <c r="E183" s="258">
        <f t="shared" ref="E183:E193" si="26">D183-C183</f>
        <v>252934</v>
      </c>
      <c r="F183" s="259">
        <f t="shared" ref="F183:F193" si="27">IF(C183=0,0,E183/C183)</f>
        <v>0.2166719920778441</v>
      </c>
    </row>
    <row r="184" spans="1:6" ht="20.25" customHeight="1" x14ac:dyDescent="0.3">
      <c r="A184" s="256">
        <v>2</v>
      </c>
      <c r="B184" s="257" t="s">
        <v>442</v>
      </c>
      <c r="C184" s="258">
        <v>454876</v>
      </c>
      <c r="D184" s="258">
        <v>521443</v>
      </c>
      <c r="E184" s="258">
        <f t="shared" si="26"/>
        <v>66567</v>
      </c>
      <c r="F184" s="259">
        <f t="shared" si="27"/>
        <v>0.14634098083873406</v>
      </c>
    </row>
    <row r="185" spans="1:6" ht="20.25" customHeight="1" x14ac:dyDescent="0.3">
      <c r="A185" s="256">
        <v>3</v>
      </c>
      <c r="B185" s="257" t="s">
        <v>443</v>
      </c>
      <c r="C185" s="258">
        <v>858808</v>
      </c>
      <c r="D185" s="258">
        <v>904156</v>
      </c>
      <c r="E185" s="258">
        <f t="shared" si="26"/>
        <v>45348</v>
      </c>
      <c r="F185" s="259">
        <f t="shared" si="27"/>
        <v>5.2803420555001819E-2</v>
      </c>
    </row>
    <row r="186" spans="1:6" ht="20.25" customHeight="1" x14ac:dyDescent="0.3">
      <c r="A186" s="256">
        <v>4</v>
      </c>
      <c r="B186" s="257" t="s">
        <v>444</v>
      </c>
      <c r="C186" s="258">
        <v>209925</v>
      </c>
      <c r="D186" s="258">
        <v>215012</v>
      </c>
      <c r="E186" s="258">
        <f t="shared" si="26"/>
        <v>5087</v>
      </c>
      <c r="F186" s="259">
        <f t="shared" si="27"/>
        <v>2.4232463975229247E-2</v>
      </c>
    </row>
    <row r="187" spans="1:6" ht="20.25" customHeight="1" x14ac:dyDescent="0.3">
      <c r="A187" s="256">
        <v>5</v>
      </c>
      <c r="B187" s="257" t="s">
        <v>381</v>
      </c>
      <c r="C187" s="260">
        <v>44</v>
      </c>
      <c r="D187" s="260">
        <v>53</v>
      </c>
      <c r="E187" s="260">
        <f t="shared" si="26"/>
        <v>9</v>
      </c>
      <c r="F187" s="259">
        <f t="shared" si="27"/>
        <v>0.20454545454545456</v>
      </c>
    </row>
    <row r="188" spans="1:6" ht="20.25" customHeight="1" x14ac:dyDescent="0.3">
      <c r="A188" s="256">
        <v>6</v>
      </c>
      <c r="B188" s="257" t="s">
        <v>380</v>
      </c>
      <c r="C188" s="260">
        <v>317</v>
      </c>
      <c r="D188" s="260">
        <v>345</v>
      </c>
      <c r="E188" s="260">
        <f t="shared" si="26"/>
        <v>28</v>
      </c>
      <c r="F188" s="259">
        <f t="shared" si="27"/>
        <v>8.8328075709779186E-2</v>
      </c>
    </row>
    <row r="189" spans="1:6" ht="20.25" customHeight="1" x14ac:dyDescent="0.3">
      <c r="A189" s="256">
        <v>7</v>
      </c>
      <c r="B189" s="257" t="s">
        <v>445</v>
      </c>
      <c r="C189" s="260">
        <v>780</v>
      </c>
      <c r="D189" s="260">
        <v>574</v>
      </c>
      <c r="E189" s="260">
        <f t="shared" si="26"/>
        <v>-206</v>
      </c>
      <c r="F189" s="259">
        <f t="shared" si="27"/>
        <v>-0.26410256410256411</v>
      </c>
    </row>
    <row r="190" spans="1:6" ht="20.25" customHeight="1" x14ac:dyDescent="0.3">
      <c r="A190" s="256">
        <v>8</v>
      </c>
      <c r="B190" s="257" t="s">
        <v>446</v>
      </c>
      <c r="C190" s="260">
        <v>96</v>
      </c>
      <c r="D190" s="260">
        <v>243</v>
      </c>
      <c r="E190" s="260">
        <f t="shared" si="26"/>
        <v>147</v>
      </c>
      <c r="F190" s="259">
        <f t="shared" si="27"/>
        <v>1.53125</v>
      </c>
    </row>
    <row r="191" spans="1:6" ht="20.25" customHeight="1" x14ac:dyDescent="0.3">
      <c r="A191" s="256">
        <v>9</v>
      </c>
      <c r="B191" s="257" t="s">
        <v>447</v>
      </c>
      <c r="C191" s="260">
        <v>0</v>
      </c>
      <c r="D191" s="260">
        <v>0</v>
      </c>
      <c r="E191" s="260">
        <f t="shared" si="26"/>
        <v>0</v>
      </c>
      <c r="F191" s="259">
        <f t="shared" si="27"/>
        <v>0</v>
      </c>
    </row>
    <row r="192" spans="1:6" s="265" customFormat="1" ht="20.25" customHeight="1" x14ac:dyDescent="0.3">
      <c r="A192" s="261"/>
      <c r="B192" s="262" t="s">
        <v>448</v>
      </c>
      <c r="C192" s="263">
        <f>+C183+C185</f>
        <v>2026167</v>
      </c>
      <c r="D192" s="263">
        <f>+D183+D185</f>
        <v>2324449</v>
      </c>
      <c r="E192" s="263">
        <f t="shared" si="26"/>
        <v>298282</v>
      </c>
      <c r="F192" s="264">
        <f t="shared" si="27"/>
        <v>0.14721491367690817</v>
      </c>
    </row>
    <row r="193" spans="1:9" s="265" customFormat="1" ht="20.25" customHeight="1" x14ac:dyDescent="0.3">
      <c r="A193" s="261"/>
      <c r="B193" s="262" t="s">
        <v>449</v>
      </c>
      <c r="C193" s="263">
        <f>+C184+C186</f>
        <v>664801</v>
      </c>
      <c r="D193" s="263">
        <f>+D184+D186</f>
        <v>736455</v>
      </c>
      <c r="E193" s="263">
        <f t="shared" si="26"/>
        <v>71654</v>
      </c>
      <c r="F193" s="264">
        <f t="shared" si="27"/>
        <v>0.10778262968918519</v>
      </c>
    </row>
    <row r="194" spans="1:9" s="265" customFormat="1" ht="20.25" customHeight="1" x14ac:dyDescent="0.3">
      <c r="A194" s="266"/>
      <c r="B194" s="262"/>
      <c r="C194" s="263"/>
      <c r="D194" s="263"/>
      <c r="E194" s="263"/>
      <c r="F194" s="264"/>
    </row>
    <row r="195" spans="1:9" ht="20.25" customHeight="1" x14ac:dyDescent="0.3">
      <c r="A195" s="786" t="s">
        <v>44</v>
      </c>
      <c r="B195" s="788" t="s">
        <v>464</v>
      </c>
      <c r="C195" s="790"/>
      <c r="D195" s="791"/>
      <c r="E195" s="791"/>
      <c r="F195" s="792"/>
      <c r="G195" s="796"/>
      <c r="H195" s="796"/>
      <c r="I195" s="796"/>
    </row>
    <row r="196" spans="1:9" ht="20.25" customHeight="1" x14ac:dyDescent="0.3">
      <c r="A196" s="787"/>
      <c r="B196" s="789"/>
      <c r="C196" s="793"/>
      <c r="D196" s="794"/>
      <c r="E196" s="794"/>
      <c r="F196" s="795"/>
      <c r="G196" s="796"/>
      <c r="H196" s="796"/>
      <c r="I196" s="796"/>
    </row>
    <row r="197" spans="1:9" ht="20.25" customHeight="1" x14ac:dyDescent="0.3">
      <c r="A197" s="268"/>
      <c r="B197" s="269"/>
      <c r="C197" s="270"/>
      <c r="D197" s="270"/>
      <c r="E197" s="270"/>
      <c r="F197" s="270"/>
      <c r="G197" s="267"/>
      <c r="H197" s="267"/>
      <c r="I197" s="267"/>
    </row>
    <row r="198" spans="1:9" ht="20.25" customHeight="1" x14ac:dyDescent="0.3">
      <c r="A198" s="271"/>
      <c r="B198" s="272" t="s">
        <v>465</v>
      </c>
      <c r="C198" s="263">
        <f t="shared" ref="C198:D206" si="28">+C183+C170+C157+C144+C131+C118+C105+C92+C79+C66+C53+C40+C27+C14</f>
        <v>2429623</v>
      </c>
      <c r="D198" s="263">
        <f t="shared" si="28"/>
        <v>3605276</v>
      </c>
      <c r="E198" s="263">
        <f t="shared" ref="E198:E208" si="29">D198-C198</f>
        <v>1175653</v>
      </c>
      <c r="F198" s="273">
        <f t="shared" ref="F198:F208" si="30">IF(C198=0,0,E198/C198)</f>
        <v>0.48388289047313104</v>
      </c>
    </row>
    <row r="199" spans="1:9" ht="20.25" customHeight="1" x14ac:dyDescent="0.3">
      <c r="A199" s="271"/>
      <c r="B199" s="272" t="s">
        <v>466</v>
      </c>
      <c r="C199" s="263">
        <f t="shared" si="28"/>
        <v>986423</v>
      </c>
      <c r="D199" s="263">
        <f t="shared" si="28"/>
        <v>1352239</v>
      </c>
      <c r="E199" s="263">
        <f t="shared" si="29"/>
        <v>365816</v>
      </c>
      <c r="F199" s="273">
        <f t="shared" si="30"/>
        <v>0.37085104463298202</v>
      </c>
    </row>
    <row r="200" spans="1:9" ht="20.25" customHeight="1" x14ac:dyDescent="0.3">
      <c r="A200" s="271"/>
      <c r="B200" s="272" t="s">
        <v>467</v>
      </c>
      <c r="C200" s="263">
        <f t="shared" si="28"/>
        <v>2344986</v>
      </c>
      <c r="D200" s="263">
        <f t="shared" si="28"/>
        <v>2653310</v>
      </c>
      <c r="E200" s="263">
        <f t="shared" si="29"/>
        <v>308324</v>
      </c>
      <c r="F200" s="273">
        <f t="shared" si="30"/>
        <v>0.13148223486195654</v>
      </c>
    </row>
    <row r="201" spans="1:9" ht="20.25" customHeight="1" x14ac:dyDescent="0.3">
      <c r="A201" s="271"/>
      <c r="B201" s="272" t="s">
        <v>468</v>
      </c>
      <c r="C201" s="263">
        <f t="shared" si="28"/>
        <v>519504</v>
      </c>
      <c r="D201" s="263">
        <f t="shared" si="28"/>
        <v>565080</v>
      </c>
      <c r="E201" s="263">
        <f t="shared" si="29"/>
        <v>45576</v>
      </c>
      <c r="F201" s="273">
        <f t="shared" si="30"/>
        <v>8.7729834611475557E-2</v>
      </c>
    </row>
    <row r="202" spans="1:9" ht="20.25" customHeight="1" x14ac:dyDescent="0.3">
      <c r="A202" s="271"/>
      <c r="B202" s="272" t="s">
        <v>138</v>
      </c>
      <c r="C202" s="274">
        <f t="shared" si="28"/>
        <v>99</v>
      </c>
      <c r="D202" s="274">
        <f t="shared" si="28"/>
        <v>133</v>
      </c>
      <c r="E202" s="274">
        <f t="shared" si="29"/>
        <v>34</v>
      </c>
      <c r="F202" s="273">
        <f t="shared" si="30"/>
        <v>0.34343434343434343</v>
      </c>
    </row>
    <row r="203" spans="1:9" ht="20.25" customHeight="1" x14ac:dyDescent="0.3">
      <c r="A203" s="271"/>
      <c r="B203" s="272" t="s">
        <v>140</v>
      </c>
      <c r="C203" s="274">
        <f t="shared" si="28"/>
        <v>620</v>
      </c>
      <c r="D203" s="274">
        <f t="shared" si="28"/>
        <v>836</v>
      </c>
      <c r="E203" s="274">
        <f t="shared" si="29"/>
        <v>216</v>
      </c>
      <c r="F203" s="273">
        <f t="shared" si="30"/>
        <v>0.34838709677419355</v>
      </c>
    </row>
    <row r="204" spans="1:9" ht="39.950000000000003" customHeight="1" x14ac:dyDescent="0.3">
      <c r="A204" s="271"/>
      <c r="B204" s="272" t="s">
        <v>469</v>
      </c>
      <c r="C204" s="274">
        <f t="shared" si="28"/>
        <v>2066</v>
      </c>
      <c r="D204" s="274">
        <f t="shared" si="28"/>
        <v>2258</v>
      </c>
      <c r="E204" s="274">
        <f t="shared" si="29"/>
        <v>192</v>
      </c>
      <c r="F204" s="273">
        <f t="shared" si="30"/>
        <v>9.2933204259438532E-2</v>
      </c>
    </row>
    <row r="205" spans="1:9" ht="39.950000000000003" customHeight="1" x14ac:dyDescent="0.3">
      <c r="A205" s="271"/>
      <c r="B205" s="272" t="s">
        <v>150</v>
      </c>
      <c r="C205" s="274">
        <f t="shared" si="28"/>
        <v>228</v>
      </c>
      <c r="D205" s="274">
        <f t="shared" si="28"/>
        <v>272</v>
      </c>
      <c r="E205" s="274">
        <f t="shared" si="29"/>
        <v>44</v>
      </c>
      <c r="F205" s="273">
        <f t="shared" si="30"/>
        <v>0.19298245614035087</v>
      </c>
    </row>
    <row r="206" spans="1:9" ht="39.950000000000003" customHeight="1" x14ac:dyDescent="0.3">
      <c r="A206" s="271"/>
      <c r="B206" s="272" t="s">
        <v>470</v>
      </c>
      <c r="C206" s="274">
        <f t="shared" si="28"/>
        <v>0</v>
      </c>
      <c r="D206" s="274">
        <f t="shared" si="28"/>
        <v>0</v>
      </c>
      <c r="E206" s="274">
        <f t="shared" si="29"/>
        <v>0</v>
      </c>
      <c r="F206" s="273">
        <f t="shared" si="30"/>
        <v>0</v>
      </c>
    </row>
    <row r="207" spans="1:9" ht="20.25" customHeight="1" x14ac:dyDescent="0.3">
      <c r="A207" s="271"/>
      <c r="B207" s="262" t="s">
        <v>471</v>
      </c>
      <c r="C207" s="263">
        <f>+C198+C200</f>
        <v>4774609</v>
      </c>
      <c r="D207" s="263">
        <f>+D198+D200</f>
        <v>6258586</v>
      </c>
      <c r="E207" s="263">
        <f t="shared" si="29"/>
        <v>1483977</v>
      </c>
      <c r="F207" s="273">
        <f t="shared" si="30"/>
        <v>0.31080597385042419</v>
      </c>
    </row>
    <row r="208" spans="1:9" ht="20.25" customHeight="1" x14ac:dyDescent="0.3">
      <c r="A208" s="271"/>
      <c r="B208" s="262" t="s">
        <v>472</v>
      </c>
      <c r="C208" s="263">
        <f>+C199+C201</f>
        <v>1505927</v>
      </c>
      <c r="D208" s="263">
        <f>+D199+D201</f>
        <v>1917319</v>
      </c>
      <c r="E208" s="263">
        <f t="shared" si="29"/>
        <v>411392</v>
      </c>
      <c r="F208" s="273">
        <f t="shared" si="30"/>
        <v>0.2731819005834944</v>
      </c>
    </row>
  </sheetData>
  <mergeCells count="12">
    <mergeCell ref="B10:B11"/>
    <mergeCell ref="C10:F11"/>
    <mergeCell ref="A195:A196"/>
    <mergeCell ref="B195:B196"/>
    <mergeCell ref="C195:F196"/>
    <mergeCell ref="G195:I196"/>
    <mergeCell ref="A2:F2"/>
    <mergeCell ref="A3:F3"/>
    <mergeCell ref="A4:F4"/>
    <mergeCell ref="A5:F5"/>
    <mergeCell ref="C9:F9"/>
    <mergeCell ref="A10:A11"/>
  </mergeCells>
  <pageMargins left="0.25" right="0.25" top="0.5" bottom="0.5" header="0.25" footer="0.25"/>
  <pageSetup paperSize="9" scale="55" fitToHeight="0" orientation="portrait" horizontalDpi="1200" verticalDpi="1200" r:id="rId1"/>
  <headerFooter>
    <oddHeader>&amp;LOFFICE OF HEALTH CARE ACCESS&amp;CTWELVE MONTHS ACTUAL FILING&amp;RESSENT-SHARON HOSPITAL</oddHeader>
    <oddFooter>&amp;LREPORT 200&amp;C&amp;P of &amp;N&amp;R&amp;D,&amp;T</oddFooter>
  </headerFooter>
  <rowBreaks count="4" manualBreakCount="4">
    <brk id="51" max="3" man="1"/>
    <brk id="90" max="3" man="1"/>
    <brk id="129" max="3" man="1"/>
    <brk id="168" max="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2"/>
  <sheetViews>
    <sheetView zoomScale="70" workbookViewId="0">
      <selection activeCell="B15" sqref="B15"/>
    </sheetView>
  </sheetViews>
  <sheetFormatPr defaultRowHeight="20.25" customHeight="1" x14ac:dyDescent="0.3"/>
  <cols>
    <col min="1" max="1" width="8.42578125" style="235" customWidth="1"/>
    <col min="2" max="2" width="72" style="235" customWidth="1"/>
    <col min="3" max="3" width="24.140625" style="245" customWidth="1"/>
    <col min="4" max="6" width="24.140625" style="235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797" t="s">
        <v>0</v>
      </c>
      <c r="B2" s="797"/>
      <c r="C2" s="797"/>
      <c r="D2" s="797"/>
      <c r="E2" s="797"/>
      <c r="F2" s="797"/>
    </row>
    <row r="3" spans="1:7" ht="20.25" customHeight="1" x14ac:dyDescent="0.3">
      <c r="A3" s="797" t="s">
        <v>1</v>
      </c>
      <c r="B3" s="797"/>
      <c r="C3" s="797"/>
      <c r="D3" s="797"/>
      <c r="E3" s="797"/>
      <c r="F3" s="797"/>
    </row>
    <row r="4" spans="1:7" ht="20.25" customHeight="1" x14ac:dyDescent="0.3">
      <c r="A4" s="797" t="s">
        <v>314</v>
      </c>
      <c r="B4" s="797"/>
      <c r="C4" s="797"/>
      <c r="D4" s="797"/>
      <c r="E4" s="797"/>
      <c r="F4" s="797"/>
    </row>
    <row r="5" spans="1:7" ht="20.25" customHeight="1" x14ac:dyDescent="0.3">
      <c r="A5" s="797" t="s">
        <v>473</v>
      </c>
      <c r="B5" s="797"/>
      <c r="C5" s="797"/>
      <c r="D5" s="797"/>
      <c r="E5" s="797"/>
      <c r="F5" s="797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75"/>
      <c r="B8" s="276"/>
      <c r="C8" s="243" t="s">
        <v>474</v>
      </c>
      <c r="D8" s="243" t="s">
        <v>475</v>
      </c>
      <c r="E8" s="243" t="s">
        <v>438</v>
      </c>
      <c r="F8" s="244" t="s">
        <v>439</v>
      </c>
      <c r="G8" s="245"/>
    </row>
    <row r="9" spans="1:7" ht="20.25" customHeight="1" x14ac:dyDescent="0.3">
      <c r="A9" s="277"/>
      <c r="B9" s="278"/>
      <c r="C9" s="279"/>
      <c r="D9" s="280"/>
      <c r="E9" s="280"/>
      <c r="F9" s="281"/>
      <c r="G9" s="245"/>
    </row>
    <row r="10" spans="1:7" ht="20.25" customHeight="1" x14ac:dyDescent="0.3">
      <c r="A10" s="786" t="s">
        <v>12</v>
      </c>
      <c r="B10" s="788" t="s">
        <v>116</v>
      </c>
      <c r="C10" s="790"/>
      <c r="D10" s="791"/>
      <c r="E10" s="791"/>
      <c r="F10" s="792"/>
    </row>
    <row r="11" spans="1:7" ht="20.25" customHeight="1" x14ac:dyDescent="0.3">
      <c r="A11" s="787"/>
      <c r="B11" s="789"/>
      <c r="C11" s="793"/>
      <c r="D11" s="794"/>
      <c r="E11" s="794"/>
      <c r="F11" s="795"/>
    </row>
    <row r="12" spans="1:7" ht="20.25" customHeight="1" x14ac:dyDescent="0.3">
      <c r="A12" s="257"/>
      <c r="B12" s="282"/>
      <c r="C12" s="250"/>
      <c r="D12" s="250"/>
      <c r="E12" s="250"/>
      <c r="F12" s="250"/>
    </row>
    <row r="13" spans="1:7" ht="42" customHeight="1" x14ac:dyDescent="0.3">
      <c r="A13" s="251" t="s">
        <v>476</v>
      </c>
      <c r="B13" s="283" t="s">
        <v>477</v>
      </c>
      <c r="C13" s="260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0</v>
      </c>
      <c r="D14" s="258">
        <v>0</v>
      </c>
      <c r="E14" s="258">
        <f t="shared" ref="E14:E24" si="0">D14-C14</f>
        <v>0</v>
      </c>
      <c r="F14" s="259">
        <f t="shared" ref="F14:F24" si="1">IF(C14=0,0,E14/C14)</f>
        <v>0</v>
      </c>
    </row>
    <row r="15" spans="1:7" ht="20.25" customHeight="1" x14ac:dyDescent="0.3">
      <c r="A15" s="256">
        <v>2</v>
      </c>
      <c r="B15" s="257" t="s">
        <v>442</v>
      </c>
      <c r="C15" s="258">
        <v>0</v>
      </c>
      <c r="D15" s="258">
        <v>0</v>
      </c>
      <c r="E15" s="258">
        <f t="shared" si="0"/>
        <v>0</v>
      </c>
      <c r="F15" s="259">
        <f t="shared" si="1"/>
        <v>0</v>
      </c>
    </row>
    <row r="16" spans="1:7" ht="20.25" customHeight="1" x14ac:dyDescent="0.3">
      <c r="A16" s="256">
        <v>3</v>
      </c>
      <c r="B16" s="257" t="s">
        <v>443</v>
      </c>
      <c r="C16" s="258">
        <v>0</v>
      </c>
      <c r="D16" s="258">
        <v>0</v>
      </c>
      <c r="E16" s="258">
        <f t="shared" si="0"/>
        <v>0</v>
      </c>
      <c r="F16" s="259">
        <f t="shared" si="1"/>
        <v>0</v>
      </c>
    </row>
    <row r="17" spans="1:6" ht="20.25" customHeight="1" x14ac:dyDescent="0.3">
      <c r="A17" s="256">
        <v>4</v>
      </c>
      <c r="B17" s="257" t="s">
        <v>444</v>
      </c>
      <c r="C17" s="258">
        <v>0</v>
      </c>
      <c r="D17" s="258">
        <v>0</v>
      </c>
      <c r="E17" s="258">
        <f t="shared" si="0"/>
        <v>0</v>
      </c>
      <c r="F17" s="259">
        <f t="shared" si="1"/>
        <v>0</v>
      </c>
    </row>
    <row r="18" spans="1:6" ht="20.25" customHeight="1" x14ac:dyDescent="0.3">
      <c r="A18" s="256">
        <v>5</v>
      </c>
      <c r="B18" s="257" t="s">
        <v>381</v>
      </c>
      <c r="C18" s="260">
        <v>0</v>
      </c>
      <c r="D18" s="260">
        <v>0</v>
      </c>
      <c r="E18" s="260">
        <f t="shared" si="0"/>
        <v>0</v>
      </c>
      <c r="F18" s="259">
        <f t="shared" si="1"/>
        <v>0</v>
      </c>
    </row>
    <row r="19" spans="1:6" ht="20.25" customHeight="1" x14ac:dyDescent="0.3">
      <c r="A19" s="256">
        <v>6</v>
      </c>
      <c r="B19" s="257" t="s">
        <v>380</v>
      </c>
      <c r="C19" s="260">
        <v>0</v>
      </c>
      <c r="D19" s="260">
        <v>0</v>
      </c>
      <c r="E19" s="260">
        <f t="shared" si="0"/>
        <v>0</v>
      </c>
      <c r="F19" s="259">
        <f t="shared" si="1"/>
        <v>0</v>
      </c>
    </row>
    <row r="20" spans="1:6" ht="20.25" customHeight="1" x14ac:dyDescent="0.3">
      <c r="A20" s="256">
        <v>7</v>
      </c>
      <c r="B20" s="257" t="s">
        <v>445</v>
      </c>
      <c r="C20" s="260">
        <v>0</v>
      </c>
      <c r="D20" s="260">
        <v>0</v>
      </c>
      <c r="E20" s="260">
        <f t="shared" si="0"/>
        <v>0</v>
      </c>
      <c r="F20" s="259">
        <f t="shared" si="1"/>
        <v>0</v>
      </c>
    </row>
    <row r="21" spans="1:6" ht="20.25" customHeight="1" x14ac:dyDescent="0.3">
      <c r="A21" s="256">
        <v>8</v>
      </c>
      <c r="B21" s="257" t="s">
        <v>446</v>
      </c>
      <c r="C21" s="260">
        <v>0</v>
      </c>
      <c r="D21" s="260">
        <v>0</v>
      </c>
      <c r="E21" s="260">
        <f t="shared" si="0"/>
        <v>0</v>
      </c>
      <c r="F21" s="259">
        <f t="shared" si="1"/>
        <v>0</v>
      </c>
    </row>
    <row r="22" spans="1:6" ht="20.25" customHeight="1" x14ac:dyDescent="0.3">
      <c r="A22" s="256">
        <v>9</v>
      </c>
      <c r="B22" s="257" t="s">
        <v>447</v>
      </c>
      <c r="C22" s="260">
        <v>0</v>
      </c>
      <c r="D22" s="260">
        <v>0</v>
      </c>
      <c r="E22" s="260">
        <f t="shared" si="0"/>
        <v>0</v>
      </c>
      <c r="F22" s="259">
        <f t="shared" si="1"/>
        <v>0</v>
      </c>
    </row>
    <row r="23" spans="1:6" s="265" customFormat="1" ht="20.25" customHeight="1" x14ac:dyDescent="0.3">
      <c r="A23" s="266"/>
      <c r="B23" s="284" t="s">
        <v>448</v>
      </c>
      <c r="C23" s="263">
        <f>+C14+C16</f>
        <v>0</v>
      </c>
      <c r="D23" s="263">
        <f>+D14+D16</f>
        <v>0</v>
      </c>
      <c r="E23" s="263">
        <f t="shared" si="0"/>
        <v>0</v>
      </c>
      <c r="F23" s="264">
        <f t="shared" si="1"/>
        <v>0</v>
      </c>
    </row>
    <row r="24" spans="1:6" s="265" customFormat="1" ht="20.25" customHeight="1" x14ac:dyDescent="0.3">
      <c r="A24" s="266"/>
      <c r="B24" s="284" t="s">
        <v>472</v>
      </c>
      <c r="C24" s="263">
        <f>+C15+C17</f>
        <v>0</v>
      </c>
      <c r="D24" s="263">
        <f>+D15+D17</f>
        <v>0</v>
      </c>
      <c r="E24" s="263">
        <f t="shared" si="0"/>
        <v>0</v>
      </c>
      <c r="F24" s="264">
        <f t="shared" si="1"/>
        <v>0</v>
      </c>
    </row>
    <row r="25" spans="1:6" ht="42" customHeight="1" x14ac:dyDescent="0.3">
      <c r="A25" s="251" t="s">
        <v>478</v>
      </c>
      <c r="B25" s="283" t="s">
        <v>479</v>
      </c>
      <c r="C25" s="260"/>
      <c r="D25" s="254"/>
      <c r="E25" s="251"/>
      <c r="F25" s="255"/>
    </row>
    <row r="26" spans="1:6" ht="20.25" customHeight="1" x14ac:dyDescent="0.3">
      <c r="A26" s="256">
        <v>1</v>
      </c>
      <c r="B26" s="257" t="s">
        <v>441</v>
      </c>
      <c r="C26" s="258">
        <v>0</v>
      </c>
      <c r="D26" s="258">
        <v>0</v>
      </c>
      <c r="E26" s="258">
        <f t="shared" ref="E26:E36" si="2">D26-C26</f>
        <v>0</v>
      </c>
      <c r="F26" s="259">
        <f t="shared" ref="F26:F36" si="3">IF(C26=0,0,E26/C26)</f>
        <v>0</v>
      </c>
    </row>
    <row r="27" spans="1:6" ht="20.25" customHeight="1" x14ac:dyDescent="0.3">
      <c r="A27" s="256">
        <v>2</v>
      </c>
      <c r="B27" s="257" t="s">
        <v>442</v>
      </c>
      <c r="C27" s="258">
        <v>0</v>
      </c>
      <c r="D27" s="258">
        <v>0</v>
      </c>
      <c r="E27" s="258">
        <f t="shared" si="2"/>
        <v>0</v>
      </c>
      <c r="F27" s="259">
        <f t="shared" si="3"/>
        <v>0</v>
      </c>
    </row>
    <row r="28" spans="1:6" ht="20.25" customHeight="1" x14ac:dyDescent="0.3">
      <c r="A28" s="256">
        <v>3</v>
      </c>
      <c r="B28" s="257" t="s">
        <v>443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4</v>
      </c>
      <c r="B29" s="257" t="s">
        <v>444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5</v>
      </c>
      <c r="B30" s="257" t="s">
        <v>381</v>
      </c>
      <c r="C30" s="260">
        <v>0</v>
      </c>
      <c r="D30" s="260">
        <v>0</v>
      </c>
      <c r="E30" s="260">
        <f t="shared" si="2"/>
        <v>0</v>
      </c>
      <c r="F30" s="259">
        <f t="shared" si="3"/>
        <v>0</v>
      </c>
    </row>
    <row r="31" spans="1:6" ht="20.25" customHeight="1" x14ac:dyDescent="0.3">
      <c r="A31" s="256">
        <v>6</v>
      </c>
      <c r="B31" s="257" t="s">
        <v>380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7</v>
      </c>
      <c r="B32" s="257" t="s">
        <v>445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8</v>
      </c>
      <c r="B33" s="257" t="s">
        <v>446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9</v>
      </c>
      <c r="B34" s="257" t="s">
        <v>447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s="265" customFormat="1" ht="20.25" customHeight="1" x14ac:dyDescent="0.3">
      <c r="A35" s="266"/>
      <c r="B35" s="284" t="s">
        <v>448</v>
      </c>
      <c r="C35" s="263">
        <f>+C26+C28</f>
        <v>0</v>
      </c>
      <c r="D35" s="263">
        <f>+D26+D28</f>
        <v>0</v>
      </c>
      <c r="E35" s="263">
        <f t="shared" si="2"/>
        <v>0</v>
      </c>
      <c r="F35" s="264">
        <f t="shared" si="3"/>
        <v>0</v>
      </c>
    </row>
    <row r="36" spans="1:6" s="265" customFormat="1" ht="20.25" customHeight="1" x14ac:dyDescent="0.3">
      <c r="A36" s="266"/>
      <c r="B36" s="284" t="s">
        <v>472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ht="42" customHeight="1" x14ac:dyDescent="0.3">
      <c r="A37" s="251" t="s">
        <v>480</v>
      </c>
      <c r="B37" s="283" t="s">
        <v>481</v>
      </c>
      <c r="C37" s="260"/>
      <c r="D37" s="254"/>
      <c r="E37" s="251"/>
      <c r="F37" s="255"/>
    </row>
    <row r="38" spans="1:6" ht="20.25" customHeight="1" x14ac:dyDescent="0.3">
      <c r="A38" s="256">
        <v>1</v>
      </c>
      <c r="B38" s="257" t="s">
        <v>441</v>
      </c>
      <c r="C38" s="258">
        <v>0</v>
      </c>
      <c r="D38" s="258">
        <v>0</v>
      </c>
      <c r="E38" s="258">
        <f t="shared" ref="E38:E48" si="4">D38-C38</f>
        <v>0</v>
      </c>
      <c r="F38" s="259">
        <f t="shared" ref="F38:F48" si="5">IF(C38=0,0,E38/C38)</f>
        <v>0</v>
      </c>
    </row>
    <row r="39" spans="1:6" ht="20.25" customHeight="1" x14ac:dyDescent="0.3">
      <c r="A39" s="256">
        <v>2</v>
      </c>
      <c r="B39" s="257" t="s">
        <v>442</v>
      </c>
      <c r="C39" s="258">
        <v>0</v>
      </c>
      <c r="D39" s="258">
        <v>0</v>
      </c>
      <c r="E39" s="258">
        <f t="shared" si="4"/>
        <v>0</v>
      </c>
      <c r="F39" s="259">
        <f t="shared" si="5"/>
        <v>0</v>
      </c>
    </row>
    <row r="40" spans="1:6" ht="20.25" customHeight="1" x14ac:dyDescent="0.3">
      <c r="A40" s="256">
        <v>3</v>
      </c>
      <c r="B40" s="257" t="s">
        <v>443</v>
      </c>
      <c r="C40" s="258">
        <v>0</v>
      </c>
      <c r="D40" s="258">
        <v>0</v>
      </c>
      <c r="E40" s="258">
        <f t="shared" si="4"/>
        <v>0</v>
      </c>
      <c r="F40" s="259">
        <f t="shared" si="5"/>
        <v>0</v>
      </c>
    </row>
    <row r="41" spans="1:6" ht="20.25" customHeight="1" x14ac:dyDescent="0.3">
      <c r="A41" s="256">
        <v>4</v>
      </c>
      <c r="B41" s="257" t="s">
        <v>444</v>
      </c>
      <c r="C41" s="258">
        <v>0</v>
      </c>
      <c r="D41" s="258">
        <v>0</v>
      </c>
      <c r="E41" s="258">
        <f t="shared" si="4"/>
        <v>0</v>
      </c>
      <c r="F41" s="259">
        <f t="shared" si="5"/>
        <v>0</v>
      </c>
    </row>
    <row r="42" spans="1:6" ht="20.25" customHeight="1" x14ac:dyDescent="0.3">
      <c r="A42" s="256">
        <v>5</v>
      </c>
      <c r="B42" s="257" t="s">
        <v>381</v>
      </c>
      <c r="C42" s="260">
        <v>0</v>
      </c>
      <c r="D42" s="260">
        <v>0</v>
      </c>
      <c r="E42" s="260">
        <f t="shared" si="4"/>
        <v>0</v>
      </c>
      <c r="F42" s="259">
        <f t="shared" si="5"/>
        <v>0</v>
      </c>
    </row>
    <row r="43" spans="1:6" ht="20.25" customHeight="1" x14ac:dyDescent="0.3">
      <c r="A43" s="256">
        <v>6</v>
      </c>
      <c r="B43" s="257" t="s">
        <v>380</v>
      </c>
      <c r="C43" s="260">
        <v>0</v>
      </c>
      <c r="D43" s="260">
        <v>0</v>
      </c>
      <c r="E43" s="260">
        <f t="shared" si="4"/>
        <v>0</v>
      </c>
      <c r="F43" s="259">
        <f t="shared" si="5"/>
        <v>0</v>
      </c>
    </row>
    <row r="44" spans="1:6" ht="20.25" customHeight="1" x14ac:dyDescent="0.3">
      <c r="A44" s="256">
        <v>7</v>
      </c>
      <c r="B44" s="257" t="s">
        <v>445</v>
      </c>
      <c r="C44" s="260">
        <v>0</v>
      </c>
      <c r="D44" s="260">
        <v>0</v>
      </c>
      <c r="E44" s="260">
        <f t="shared" si="4"/>
        <v>0</v>
      </c>
      <c r="F44" s="259">
        <f t="shared" si="5"/>
        <v>0</v>
      </c>
    </row>
    <row r="45" spans="1:6" ht="20.25" customHeight="1" x14ac:dyDescent="0.3">
      <c r="A45" s="256">
        <v>8</v>
      </c>
      <c r="B45" s="257" t="s">
        <v>446</v>
      </c>
      <c r="C45" s="260">
        <v>0</v>
      </c>
      <c r="D45" s="260">
        <v>0</v>
      </c>
      <c r="E45" s="260">
        <f t="shared" si="4"/>
        <v>0</v>
      </c>
      <c r="F45" s="259">
        <f t="shared" si="5"/>
        <v>0</v>
      </c>
    </row>
    <row r="46" spans="1:6" ht="20.25" customHeight="1" x14ac:dyDescent="0.3">
      <c r="A46" s="256">
        <v>9</v>
      </c>
      <c r="B46" s="257" t="s">
        <v>447</v>
      </c>
      <c r="C46" s="260">
        <v>0</v>
      </c>
      <c r="D46" s="260">
        <v>0</v>
      </c>
      <c r="E46" s="260">
        <f t="shared" si="4"/>
        <v>0</v>
      </c>
      <c r="F46" s="259">
        <f t="shared" si="5"/>
        <v>0</v>
      </c>
    </row>
    <row r="47" spans="1:6" s="265" customFormat="1" ht="20.25" customHeight="1" x14ac:dyDescent="0.3">
      <c r="A47" s="266"/>
      <c r="B47" s="284" t="s">
        <v>448</v>
      </c>
      <c r="C47" s="263">
        <f>+C38+C40</f>
        <v>0</v>
      </c>
      <c r="D47" s="263">
        <f>+D38+D40</f>
        <v>0</v>
      </c>
      <c r="E47" s="263">
        <f t="shared" si="4"/>
        <v>0</v>
      </c>
      <c r="F47" s="264">
        <f t="shared" si="5"/>
        <v>0</v>
      </c>
    </row>
    <row r="48" spans="1:6" s="265" customFormat="1" ht="20.25" customHeight="1" x14ac:dyDescent="0.3">
      <c r="A48" s="266"/>
      <c r="B48" s="284" t="s">
        <v>472</v>
      </c>
      <c r="C48" s="263">
        <f>+C39+C41</f>
        <v>0</v>
      </c>
      <c r="D48" s="263">
        <f>+D39+D41</f>
        <v>0</v>
      </c>
      <c r="E48" s="263">
        <f t="shared" si="4"/>
        <v>0</v>
      </c>
      <c r="F48" s="264">
        <f t="shared" si="5"/>
        <v>0</v>
      </c>
    </row>
    <row r="49" spans="1:6" ht="42" customHeight="1" x14ac:dyDescent="0.3">
      <c r="A49" s="251" t="s">
        <v>482</v>
      </c>
      <c r="B49" s="283" t="s">
        <v>483</v>
      </c>
      <c r="C49" s="260"/>
      <c r="D49" s="254"/>
      <c r="E49" s="251"/>
      <c r="F49" s="255"/>
    </row>
    <row r="50" spans="1:6" ht="20.25" customHeight="1" x14ac:dyDescent="0.3">
      <c r="A50" s="256">
        <v>1</v>
      </c>
      <c r="B50" s="257" t="s">
        <v>441</v>
      </c>
      <c r="C50" s="258">
        <v>0</v>
      </c>
      <c r="D50" s="258">
        <v>0</v>
      </c>
      <c r="E50" s="258">
        <f t="shared" ref="E50:E60" si="6">D50-C50</f>
        <v>0</v>
      </c>
      <c r="F50" s="259">
        <f t="shared" ref="F50:F60" si="7">IF(C50=0,0,E50/C50)</f>
        <v>0</v>
      </c>
    </row>
    <row r="51" spans="1:6" ht="20.25" customHeight="1" x14ac:dyDescent="0.3">
      <c r="A51" s="256">
        <v>2</v>
      </c>
      <c r="B51" s="257" t="s">
        <v>442</v>
      </c>
      <c r="C51" s="258">
        <v>0</v>
      </c>
      <c r="D51" s="258">
        <v>0</v>
      </c>
      <c r="E51" s="258">
        <f t="shared" si="6"/>
        <v>0</v>
      </c>
      <c r="F51" s="259">
        <f t="shared" si="7"/>
        <v>0</v>
      </c>
    </row>
    <row r="52" spans="1:6" ht="20.25" customHeight="1" x14ac:dyDescent="0.3">
      <c r="A52" s="256">
        <v>3</v>
      </c>
      <c r="B52" s="257" t="s">
        <v>443</v>
      </c>
      <c r="C52" s="258">
        <v>0</v>
      </c>
      <c r="D52" s="258">
        <v>0</v>
      </c>
      <c r="E52" s="258">
        <f t="shared" si="6"/>
        <v>0</v>
      </c>
      <c r="F52" s="259">
        <f t="shared" si="7"/>
        <v>0</v>
      </c>
    </row>
    <row r="53" spans="1:6" ht="20.25" customHeight="1" x14ac:dyDescent="0.3">
      <c r="A53" s="256">
        <v>4</v>
      </c>
      <c r="B53" s="257" t="s">
        <v>444</v>
      </c>
      <c r="C53" s="258">
        <v>0</v>
      </c>
      <c r="D53" s="258">
        <v>0</v>
      </c>
      <c r="E53" s="258">
        <f t="shared" si="6"/>
        <v>0</v>
      </c>
      <c r="F53" s="259">
        <f t="shared" si="7"/>
        <v>0</v>
      </c>
    </row>
    <row r="54" spans="1:6" ht="20.25" customHeight="1" x14ac:dyDescent="0.3">
      <c r="A54" s="256">
        <v>5</v>
      </c>
      <c r="B54" s="257" t="s">
        <v>381</v>
      </c>
      <c r="C54" s="260">
        <v>0</v>
      </c>
      <c r="D54" s="260">
        <v>0</v>
      </c>
      <c r="E54" s="260">
        <f t="shared" si="6"/>
        <v>0</v>
      </c>
      <c r="F54" s="259">
        <f t="shared" si="7"/>
        <v>0</v>
      </c>
    </row>
    <row r="55" spans="1:6" ht="20.25" customHeight="1" x14ac:dyDescent="0.3">
      <c r="A55" s="256">
        <v>6</v>
      </c>
      <c r="B55" s="257" t="s">
        <v>380</v>
      </c>
      <c r="C55" s="260">
        <v>0</v>
      </c>
      <c r="D55" s="260">
        <v>0</v>
      </c>
      <c r="E55" s="260">
        <f t="shared" si="6"/>
        <v>0</v>
      </c>
      <c r="F55" s="259">
        <f t="shared" si="7"/>
        <v>0</v>
      </c>
    </row>
    <row r="56" spans="1:6" ht="20.25" customHeight="1" x14ac:dyDescent="0.3">
      <c r="A56" s="256">
        <v>7</v>
      </c>
      <c r="B56" s="257" t="s">
        <v>445</v>
      </c>
      <c r="C56" s="260">
        <v>0</v>
      </c>
      <c r="D56" s="260">
        <v>0</v>
      </c>
      <c r="E56" s="260">
        <f t="shared" si="6"/>
        <v>0</v>
      </c>
      <c r="F56" s="259">
        <f t="shared" si="7"/>
        <v>0</v>
      </c>
    </row>
    <row r="57" spans="1:6" ht="20.25" customHeight="1" x14ac:dyDescent="0.3">
      <c r="A57" s="256">
        <v>8</v>
      </c>
      <c r="B57" s="257" t="s">
        <v>446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9</v>
      </c>
      <c r="B58" s="257" t="s">
        <v>447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s="265" customFormat="1" ht="20.25" customHeight="1" x14ac:dyDescent="0.3">
      <c r="A59" s="266"/>
      <c r="B59" s="284" t="s">
        <v>448</v>
      </c>
      <c r="C59" s="263">
        <f>+C50+C52</f>
        <v>0</v>
      </c>
      <c r="D59" s="263">
        <f>+D50+D52</f>
        <v>0</v>
      </c>
      <c r="E59" s="263">
        <f t="shared" si="6"/>
        <v>0</v>
      </c>
      <c r="F59" s="264">
        <f t="shared" si="7"/>
        <v>0</v>
      </c>
    </row>
    <row r="60" spans="1:6" s="265" customFormat="1" ht="20.25" customHeight="1" x14ac:dyDescent="0.3">
      <c r="A60" s="266"/>
      <c r="B60" s="284" t="s">
        <v>472</v>
      </c>
      <c r="C60" s="263">
        <f>+C51+C53</f>
        <v>0</v>
      </c>
      <c r="D60" s="263">
        <f>+D51+D53</f>
        <v>0</v>
      </c>
      <c r="E60" s="263">
        <f t="shared" si="6"/>
        <v>0</v>
      </c>
      <c r="F60" s="264">
        <f t="shared" si="7"/>
        <v>0</v>
      </c>
    </row>
    <row r="61" spans="1:6" ht="42" customHeight="1" x14ac:dyDescent="0.3">
      <c r="A61" s="251" t="s">
        <v>484</v>
      </c>
      <c r="B61" s="283" t="s">
        <v>456</v>
      </c>
      <c r="C61" s="260"/>
      <c r="D61" s="254"/>
      <c r="E61" s="251"/>
      <c r="F61" s="255"/>
    </row>
    <row r="62" spans="1:6" ht="20.25" customHeight="1" x14ac:dyDescent="0.3">
      <c r="A62" s="256">
        <v>1</v>
      </c>
      <c r="B62" s="257" t="s">
        <v>441</v>
      </c>
      <c r="C62" s="258">
        <v>0</v>
      </c>
      <c r="D62" s="258">
        <v>0</v>
      </c>
      <c r="E62" s="258">
        <f t="shared" ref="E62:E72" si="8">D62-C62</f>
        <v>0</v>
      </c>
      <c r="F62" s="259">
        <f t="shared" ref="F62:F72" si="9">IF(C62=0,0,E62/C62)</f>
        <v>0</v>
      </c>
    </row>
    <row r="63" spans="1:6" ht="20.25" customHeight="1" x14ac:dyDescent="0.3">
      <c r="A63" s="256">
        <v>2</v>
      </c>
      <c r="B63" s="257" t="s">
        <v>442</v>
      </c>
      <c r="C63" s="258">
        <v>0</v>
      </c>
      <c r="D63" s="258">
        <v>0</v>
      </c>
      <c r="E63" s="258">
        <f t="shared" si="8"/>
        <v>0</v>
      </c>
      <c r="F63" s="259">
        <f t="shared" si="9"/>
        <v>0</v>
      </c>
    </row>
    <row r="64" spans="1:6" ht="20.25" customHeight="1" x14ac:dyDescent="0.3">
      <c r="A64" s="256">
        <v>3</v>
      </c>
      <c r="B64" s="257" t="s">
        <v>443</v>
      </c>
      <c r="C64" s="258">
        <v>0</v>
      </c>
      <c r="D64" s="258">
        <v>0</v>
      </c>
      <c r="E64" s="258">
        <f t="shared" si="8"/>
        <v>0</v>
      </c>
      <c r="F64" s="259">
        <f t="shared" si="9"/>
        <v>0</v>
      </c>
    </row>
    <row r="65" spans="1:6" ht="20.25" customHeight="1" x14ac:dyDescent="0.3">
      <c r="A65" s="256">
        <v>4</v>
      </c>
      <c r="B65" s="257" t="s">
        <v>444</v>
      </c>
      <c r="C65" s="258">
        <v>0</v>
      </c>
      <c r="D65" s="258">
        <v>0</v>
      </c>
      <c r="E65" s="258">
        <f t="shared" si="8"/>
        <v>0</v>
      </c>
      <c r="F65" s="259">
        <f t="shared" si="9"/>
        <v>0</v>
      </c>
    </row>
    <row r="66" spans="1:6" ht="20.25" customHeight="1" x14ac:dyDescent="0.3">
      <c r="A66" s="256">
        <v>5</v>
      </c>
      <c r="B66" s="257" t="s">
        <v>381</v>
      </c>
      <c r="C66" s="260">
        <v>0</v>
      </c>
      <c r="D66" s="260">
        <v>0</v>
      </c>
      <c r="E66" s="260">
        <f t="shared" si="8"/>
        <v>0</v>
      </c>
      <c r="F66" s="259">
        <f t="shared" si="9"/>
        <v>0</v>
      </c>
    </row>
    <row r="67" spans="1:6" ht="20.25" customHeight="1" x14ac:dyDescent="0.3">
      <c r="A67" s="256">
        <v>6</v>
      </c>
      <c r="B67" s="257" t="s">
        <v>380</v>
      </c>
      <c r="C67" s="260">
        <v>0</v>
      </c>
      <c r="D67" s="260">
        <v>0</v>
      </c>
      <c r="E67" s="260">
        <f t="shared" si="8"/>
        <v>0</v>
      </c>
      <c r="F67" s="259">
        <f t="shared" si="9"/>
        <v>0</v>
      </c>
    </row>
    <row r="68" spans="1:6" ht="20.25" customHeight="1" x14ac:dyDescent="0.3">
      <c r="A68" s="256">
        <v>7</v>
      </c>
      <c r="B68" s="257" t="s">
        <v>445</v>
      </c>
      <c r="C68" s="260">
        <v>0</v>
      </c>
      <c r="D68" s="260">
        <v>0</v>
      </c>
      <c r="E68" s="260">
        <f t="shared" si="8"/>
        <v>0</v>
      </c>
      <c r="F68" s="259">
        <f t="shared" si="9"/>
        <v>0</v>
      </c>
    </row>
    <row r="69" spans="1:6" ht="20.25" customHeight="1" x14ac:dyDescent="0.3">
      <c r="A69" s="256">
        <v>8</v>
      </c>
      <c r="B69" s="257" t="s">
        <v>446</v>
      </c>
      <c r="C69" s="260">
        <v>0</v>
      </c>
      <c r="D69" s="260">
        <v>0</v>
      </c>
      <c r="E69" s="260">
        <f t="shared" si="8"/>
        <v>0</v>
      </c>
      <c r="F69" s="259">
        <f t="shared" si="9"/>
        <v>0</v>
      </c>
    </row>
    <row r="70" spans="1:6" ht="20.25" customHeight="1" x14ac:dyDescent="0.3">
      <c r="A70" s="256">
        <v>9</v>
      </c>
      <c r="B70" s="257" t="s">
        <v>447</v>
      </c>
      <c r="C70" s="260">
        <v>0</v>
      </c>
      <c r="D70" s="260">
        <v>0</v>
      </c>
      <c r="E70" s="260">
        <f t="shared" si="8"/>
        <v>0</v>
      </c>
      <c r="F70" s="259">
        <f t="shared" si="9"/>
        <v>0</v>
      </c>
    </row>
    <row r="71" spans="1:6" s="265" customFormat="1" ht="20.25" customHeight="1" x14ac:dyDescent="0.3">
      <c r="A71" s="266"/>
      <c r="B71" s="284" t="s">
        <v>448</v>
      </c>
      <c r="C71" s="263">
        <f>+C62+C64</f>
        <v>0</v>
      </c>
      <c r="D71" s="263">
        <f>+D62+D64</f>
        <v>0</v>
      </c>
      <c r="E71" s="263">
        <f t="shared" si="8"/>
        <v>0</v>
      </c>
      <c r="F71" s="264">
        <f t="shared" si="9"/>
        <v>0</v>
      </c>
    </row>
    <row r="72" spans="1:6" s="265" customFormat="1" ht="20.25" customHeight="1" x14ac:dyDescent="0.3">
      <c r="A72" s="266"/>
      <c r="B72" s="284" t="s">
        <v>472</v>
      </c>
      <c r="C72" s="263">
        <f>+C63+C65</f>
        <v>0</v>
      </c>
      <c r="D72" s="263">
        <f>+D63+D65</f>
        <v>0</v>
      </c>
      <c r="E72" s="263">
        <f t="shared" si="8"/>
        <v>0</v>
      </c>
      <c r="F72" s="264">
        <f t="shared" si="9"/>
        <v>0</v>
      </c>
    </row>
    <row r="73" spans="1:6" ht="42" customHeight="1" x14ac:dyDescent="0.3">
      <c r="A73" s="251" t="s">
        <v>485</v>
      </c>
      <c r="B73" s="283" t="s">
        <v>486</v>
      </c>
      <c r="C73" s="260"/>
      <c r="D73" s="254"/>
      <c r="E73" s="251"/>
      <c r="F73" s="255"/>
    </row>
    <row r="74" spans="1:6" ht="20.25" customHeight="1" x14ac:dyDescent="0.3">
      <c r="A74" s="256">
        <v>1</v>
      </c>
      <c r="B74" s="257" t="s">
        <v>441</v>
      </c>
      <c r="C74" s="258">
        <v>0</v>
      </c>
      <c r="D74" s="258">
        <v>0</v>
      </c>
      <c r="E74" s="258">
        <f t="shared" ref="E74:E84" si="10">D74-C74</f>
        <v>0</v>
      </c>
      <c r="F74" s="259">
        <f t="shared" ref="F74:F84" si="11">IF(C74=0,0,E74/C74)</f>
        <v>0</v>
      </c>
    </row>
    <row r="75" spans="1:6" ht="20.25" customHeight="1" x14ac:dyDescent="0.3">
      <c r="A75" s="256">
        <v>2</v>
      </c>
      <c r="B75" s="257" t="s">
        <v>442</v>
      </c>
      <c r="C75" s="258">
        <v>0</v>
      </c>
      <c r="D75" s="258">
        <v>0</v>
      </c>
      <c r="E75" s="258">
        <f t="shared" si="10"/>
        <v>0</v>
      </c>
      <c r="F75" s="259">
        <f t="shared" si="11"/>
        <v>0</v>
      </c>
    </row>
    <row r="76" spans="1:6" ht="20.25" customHeight="1" x14ac:dyDescent="0.3">
      <c r="A76" s="256">
        <v>3</v>
      </c>
      <c r="B76" s="257" t="s">
        <v>443</v>
      </c>
      <c r="C76" s="258">
        <v>0</v>
      </c>
      <c r="D76" s="258">
        <v>0</v>
      </c>
      <c r="E76" s="258">
        <f t="shared" si="10"/>
        <v>0</v>
      </c>
      <c r="F76" s="259">
        <f t="shared" si="11"/>
        <v>0</v>
      </c>
    </row>
    <row r="77" spans="1:6" ht="20.25" customHeight="1" x14ac:dyDescent="0.3">
      <c r="A77" s="256">
        <v>4</v>
      </c>
      <c r="B77" s="257" t="s">
        <v>444</v>
      </c>
      <c r="C77" s="258">
        <v>0</v>
      </c>
      <c r="D77" s="258">
        <v>0</v>
      </c>
      <c r="E77" s="258">
        <f t="shared" si="10"/>
        <v>0</v>
      </c>
      <c r="F77" s="259">
        <f t="shared" si="11"/>
        <v>0</v>
      </c>
    </row>
    <row r="78" spans="1:6" ht="20.25" customHeight="1" x14ac:dyDescent="0.3">
      <c r="A78" s="256">
        <v>5</v>
      </c>
      <c r="B78" s="257" t="s">
        <v>381</v>
      </c>
      <c r="C78" s="260">
        <v>0</v>
      </c>
      <c r="D78" s="260">
        <v>0</v>
      </c>
      <c r="E78" s="260">
        <f t="shared" si="10"/>
        <v>0</v>
      </c>
      <c r="F78" s="259">
        <f t="shared" si="11"/>
        <v>0</v>
      </c>
    </row>
    <row r="79" spans="1:6" ht="20.25" customHeight="1" x14ac:dyDescent="0.3">
      <c r="A79" s="256">
        <v>6</v>
      </c>
      <c r="B79" s="257" t="s">
        <v>380</v>
      </c>
      <c r="C79" s="260">
        <v>0</v>
      </c>
      <c r="D79" s="260">
        <v>0</v>
      </c>
      <c r="E79" s="260">
        <f t="shared" si="10"/>
        <v>0</v>
      </c>
      <c r="F79" s="259">
        <f t="shared" si="11"/>
        <v>0</v>
      </c>
    </row>
    <row r="80" spans="1:6" ht="20.25" customHeight="1" x14ac:dyDescent="0.3">
      <c r="A80" s="256">
        <v>7</v>
      </c>
      <c r="B80" s="257" t="s">
        <v>445</v>
      </c>
      <c r="C80" s="260">
        <v>0</v>
      </c>
      <c r="D80" s="260">
        <v>0</v>
      </c>
      <c r="E80" s="260">
        <f t="shared" si="10"/>
        <v>0</v>
      </c>
      <c r="F80" s="259">
        <f t="shared" si="11"/>
        <v>0</v>
      </c>
    </row>
    <row r="81" spans="1:6" ht="20.25" customHeight="1" x14ac:dyDescent="0.3">
      <c r="A81" s="256">
        <v>8</v>
      </c>
      <c r="B81" s="257" t="s">
        <v>446</v>
      </c>
      <c r="C81" s="260">
        <v>0</v>
      </c>
      <c r="D81" s="260">
        <v>0</v>
      </c>
      <c r="E81" s="260">
        <f t="shared" si="10"/>
        <v>0</v>
      </c>
      <c r="F81" s="259">
        <f t="shared" si="11"/>
        <v>0</v>
      </c>
    </row>
    <row r="82" spans="1:6" ht="20.25" customHeight="1" x14ac:dyDescent="0.3">
      <c r="A82" s="256">
        <v>9</v>
      </c>
      <c r="B82" s="257" t="s">
        <v>447</v>
      </c>
      <c r="C82" s="260">
        <v>0</v>
      </c>
      <c r="D82" s="260">
        <v>0</v>
      </c>
      <c r="E82" s="260">
        <f t="shared" si="10"/>
        <v>0</v>
      </c>
      <c r="F82" s="259">
        <f t="shared" si="11"/>
        <v>0</v>
      </c>
    </row>
    <row r="83" spans="1:6" s="265" customFormat="1" ht="20.25" customHeight="1" x14ac:dyDescent="0.3">
      <c r="A83" s="266"/>
      <c r="B83" s="284" t="s">
        <v>448</v>
      </c>
      <c r="C83" s="263">
        <f>+C74+C76</f>
        <v>0</v>
      </c>
      <c r="D83" s="263">
        <f>+D74+D76</f>
        <v>0</v>
      </c>
      <c r="E83" s="263">
        <f t="shared" si="10"/>
        <v>0</v>
      </c>
      <c r="F83" s="264">
        <f t="shared" si="11"/>
        <v>0</v>
      </c>
    </row>
    <row r="84" spans="1:6" s="265" customFormat="1" ht="20.25" customHeight="1" x14ac:dyDescent="0.3">
      <c r="A84" s="266"/>
      <c r="B84" s="284" t="s">
        <v>472</v>
      </c>
      <c r="C84" s="263">
        <f>+C75+C77</f>
        <v>0</v>
      </c>
      <c r="D84" s="263">
        <f>+D75+D77</f>
        <v>0</v>
      </c>
      <c r="E84" s="263">
        <f t="shared" si="10"/>
        <v>0</v>
      </c>
      <c r="F84" s="264">
        <f t="shared" si="11"/>
        <v>0</v>
      </c>
    </row>
    <row r="85" spans="1:6" ht="42" customHeight="1" x14ac:dyDescent="0.3">
      <c r="A85" s="251" t="s">
        <v>487</v>
      </c>
      <c r="B85" s="283" t="s">
        <v>488</v>
      </c>
      <c r="C85" s="260"/>
      <c r="D85" s="254"/>
      <c r="E85" s="251"/>
      <c r="F85" s="255"/>
    </row>
    <row r="86" spans="1:6" ht="20.25" customHeight="1" x14ac:dyDescent="0.3">
      <c r="A86" s="256">
        <v>1</v>
      </c>
      <c r="B86" s="257" t="s">
        <v>441</v>
      </c>
      <c r="C86" s="258">
        <v>0</v>
      </c>
      <c r="D86" s="258">
        <v>0</v>
      </c>
      <c r="E86" s="258">
        <f t="shared" ref="E86:E96" si="12">D86-C86</f>
        <v>0</v>
      </c>
      <c r="F86" s="259">
        <f t="shared" ref="F86:F96" si="13">IF(C86=0,0,E86/C86)</f>
        <v>0</v>
      </c>
    </row>
    <row r="87" spans="1:6" ht="20.25" customHeight="1" x14ac:dyDescent="0.3">
      <c r="A87" s="256">
        <v>2</v>
      </c>
      <c r="B87" s="257" t="s">
        <v>442</v>
      </c>
      <c r="C87" s="258">
        <v>0</v>
      </c>
      <c r="D87" s="258">
        <v>0</v>
      </c>
      <c r="E87" s="258">
        <f t="shared" si="12"/>
        <v>0</v>
      </c>
      <c r="F87" s="259">
        <f t="shared" si="13"/>
        <v>0</v>
      </c>
    </row>
    <row r="88" spans="1:6" ht="20.25" customHeight="1" x14ac:dyDescent="0.3">
      <c r="A88" s="256">
        <v>3</v>
      </c>
      <c r="B88" s="257" t="s">
        <v>443</v>
      </c>
      <c r="C88" s="258">
        <v>0</v>
      </c>
      <c r="D88" s="258">
        <v>0</v>
      </c>
      <c r="E88" s="258">
        <f t="shared" si="12"/>
        <v>0</v>
      </c>
      <c r="F88" s="259">
        <f t="shared" si="13"/>
        <v>0</v>
      </c>
    </row>
    <row r="89" spans="1:6" ht="20.25" customHeight="1" x14ac:dyDescent="0.3">
      <c r="A89" s="256">
        <v>4</v>
      </c>
      <c r="B89" s="257" t="s">
        <v>444</v>
      </c>
      <c r="C89" s="258">
        <v>0</v>
      </c>
      <c r="D89" s="258">
        <v>0</v>
      </c>
      <c r="E89" s="258">
        <f t="shared" si="12"/>
        <v>0</v>
      </c>
      <c r="F89" s="259">
        <f t="shared" si="13"/>
        <v>0</v>
      </c>
    </row>
    <row r="90" spans="1:6" ht="20.25" customHeight="1" x14ac:dyDescent="0.3">
      <c r="A90" s="256">
        <v>5</v>
      </c>
      <c r="B90" s="257" t="s">
        <v>381</v>
      </c>
      <c r="C90" s="260">
        <v>0</v>
      </c>
      <c r="D90" s="260">
        <v>0</v>
      </c>
      <c r="E90" s="260">
        <f t="shared" si="12"/>
        <v>0</v>
      </c>
      <c r="F90" s="259">
        <f t="shared" si="13"/>
        <v>0</v>
      </c>
    </row>
    <row r="91" spans="1:6" ht="20.25" customHeight="1" x14ac:dyDescent="0.3">
      <c r="A91" s="256">
        <v>6</v>
      </c>
      <c r="B91" s="257" t="s">
        <v>380</v>
      </c>
      <c r="C91" s="260">
        <v>0</v>
      </c>
      <c r="D91" s="260">
        <v>0</v>
      </c>
      <c r="E91" s="260">
        <f t="shared" si="12"/>
        <v>0</v>
      </c>
      <c r="F91" s="259">
        <f t="shared" si="13"/>
        <v>0</v>
      </c>
    </row>
    <row r="92" spans="1:6" ht="20.25" customHeight="1" x14ac:dyDescent="0.3">
      <c r="A92" s="256">
        <v>7</v>
      </c>
      <c r="B92" s="257" t="s">
        <v>445</v>
      </c>
      <c r="C92" s="260">
        <v>0</v>
      </c>
      <c r="D92" s="260">
        <v>0</v>
      </c>
      <c r="E92" s="260">
        <f t="shared" si="12"/>
        <v>0</v>
      </c>
      <c r="F92" s="259">
        <f t="shared" si="13"/>
        <v>0</v>
      </c>
    </row>
    <row r="93" spans="1:6" ht="20.25" customHeight="1" x14ac:dyDescent="0.3">
      <c r="A93" s="256">
        <v>8</v>
      </c>
      <c r="B93" s="257" t="s">
        <v>446</v>
      </c>
      <c r="C93" s="260">
        <v>0</v>
      </c>
      <c r="D93" s="260">
        <v>0</v>
      </c>
      <c r="E93" s="260">
        <f t="shared" si="12"/>
        <v>0</v>
      </c>
      <c r="F93" s="259">
        <f t="shared" si="13"/>
        <v>0</v>
      </c>
    </row>
    <row r="94" spans="1:6" ht="20.25" customHeight="1" x14ac:dyDescent="0.3">
      <c r="A94" s="256">
        <v>9</v>
      </c>
      <c r="B94" s="257" t="s">
        <v>447</v>
      </c>
      <c r="C94" s="260">
        <v>0</v>
      </c>
      <c r="D94" s="260">
        <v>0</v>
      </c>
      <c r="E94" s="260">
        <f t="shared" si="12"/>
        <v>0</v>
      </c>
      <c r="F94" s="259">
        <f t="shared" si="13"/>
        <v>0</v>
      </c>
    </row>
    <row r="95" spans="1:6" s="265" customFormat="1" ht="20.25" customHeight="1" x14ac:dyDescent="0.3">
      <c r="A95" s="266"/>
      <c r="B95" s="284" t="s">
        <v>448</v>
      </c>
      <c r="C95" s="263">
        <f>+C86+C88</f>
        <v>0</v>
      </c>
      <c r="D95" s="263">
        <f>+D86+D88</f>
        <v>0</v>
      </c>
      <c r="E95" s="263">
        <f t="shared" si="12"/>
        <v>0</v>
      </c>
      <c r="F95" s="264">
        <f t="shared" si="13"/>
        <v>0</v>
      </c>
    </row>
    <row r="96" spans="1:6" s="265" customFormat="1" ht="20.25" customHeight="1" x14ac:dyDescent="0.3">
      <c r="A96" s="266"/>
      <c r="B96" s="284" t="s">
        <v>472</v>
      </c>
      <c r="C96" s="263">
        <f>+C87+C89</f>
        <v>0</v>
      </c>
      <c r="D96" s="263">
        <f>+D87+D89</f>
        <v>0</v>
      </c>
      <c r="E96" s="263">
        <f t="shared" si="12"/>
        <v>0</v>
      </c>
      <c r="F96" s="264">
        <f t="shared" si="13"/>
        <v>0</v>
      </c>
    </row>
    <row r="97" spans="1:7" ht="42" customHeight="1" x14ac:dyDescent="0.3">
      <c r="A97" s="251" t="s">
        <v>489</v>
      </c>
      <c r="B97" s="283" t="s">
        <v>457</v>
      </c>
      <c r="C97" s="260"/>
      <c r="D97" s="254"/>
      <c r="E97" s="251"/>
      <c r="F97" s="255"/>
    </row>
    <row r="98" spans="1:7" ht="20.25" customHeight="1" x14ac:dyDescent="0.3">
      <c r="A98" s="256">
        <v>1</v>
      </c>
      <c r="B98" s="257" t="s">
        <v>441</v>
      </c>
      <c r="C98" s="258">
        <v>0</v>
      </c>
      <c r="D98" s="258">
        <v>0</v>
      </c>
      <c r="E98" s="258">
        <f t="shared" ref="E98:E108" si="14">D98-C98</f>
        <v>0</v>
      </c>
      <c r="F98" s="259">
        <f t="shared" ref="F98:F108" si="15">IF(C98=0,0,E98/C98)</f>
        <v>0</v>
      </c>
    </row>
    <row r="99" spans="1:7" ht="20.25" customHeight="1" x14ac:dyDescent="0.3">
      <c r="A99" s="256">
        <v>2</v>
      </c>
      <c r="B99" s="257" t="s">
        <v>442</v>
      </c>
      <c r="C99" s="258">
        <v>0</v>
      </c>
      <c r="D99" s="258">
        <v>0</v>
      </c>
      <c r="E99" s="258">
        <f t="shared" si="14"/>
        <v>0</v>
      </c>
      <c r="F99" s="259">
        <f t="shared" si="15"/>
        <v>0</v>
      </c>
    </row>
    <row r="100" spans="1:7" ht="20.25" customHeight="1" x14ac:dyDescent="0.3">
      <c r="A100" s="256">
        <v>3</v>
      </c>
      <c r="B100" s="257" t="s">
        <v>443</v>
      </c>
      <c r="C100" s="258">
        <v>0</v>
      </c>
      <c r="D100" s="258">
        <v>0</v>
      </c>
      <c r="E100" s="258">
        <f t="shared" si="14"/>
        <v>0</v>
      </c>
      <c r="F100" s="259">
        <f t="shared" si="15"/>
        <v>0</v>
      </c>
    </row>
    <row r="101" spans="1:7" ht="20.25" customHeight="1" x14ac:dyDescent="0.3">
      <c r="A101" s="256">
        <v>4</v>
      </c>
      <c r="B101" s="257" t="s">
        <v>444</v>
      </c>
      <c r="C101" s="258">
        <v>0</v>
      </c>
      <c r="D101" s="258">
        <v>0</v>
      </c>
      <c r="E101" s="258">
        <f t="shared" si="14"/>
        <v>0</v>
      </c>
      <c r="F101" s="259">
        <f t="shared" si="15"/>
        <v>0</v>
      </c>
    </row>
    <row r="102" spans="1:7" ht="20.25" customHeight="1" x14ac:dyDescent="0.3">
      <c r="A102" s="256">
        <v>5</v>
      </c>
      <c r="B102" s="257" t="s">
        <v>381</v>
      </c>
      <c r="C102" s="260">
        <v>0</v>
      </c>
      <c r="D102" s="260">
        <v>0</v>
      </c>
      <c r="E102" s="260">
        <f t="shared" si="14"/>
        <v>0</v>
      </c>
      <c r="F102" s="259">
        <f t="shared" si="15"/>
        <v>0</v>
      </c>
    </row>
    <row r="103" spans="1:7" ht="20.25" customHeight="1" x14ac:dyDescent="0.3">
      <c r="A103" s="256">
        <v>6</v>
      </c>
      <c r="B103" s="257" t="s">
        <v>380</v>
      </c>
      <c r="C103" s="260">
        <v>0</v>
      </c>
      <c r="D103" s="260">
        <v>0</v>
      </c>
      <c r="E103" s="260">
        <f t="shared" si="14"/>
        <v>0</v>
      </c>
      <c r="F103" s="259">
        <f t="shared" si="15"/>
        <v>0</v>
      </c>
    </row>
    <row r="104" spans="1:7" ht="20.25" customHeight="1" x14ac:dyDescent="0.3">
      <c r="A104" s="256">
        <v>7</v>
      </c>
      <c r="B104" s="257" t="s">
        <v>445</v>
      </c>
      <c r="C104" s="260">
        <v>0</v>
      </c>
      <c r="D104" s="260">
        <v>0</v>
      </c>
      <c r="E104" s="260">
        <f t="shared" si="14"/>
        <v>0</v>
      </c>
      <c r="F104" s="259">
        <f t="shared" si="15"/>
        <v>0</v>
      </c>
    </row>
    <row r="105" spans="1:7" ht="20.25" customHeight="1" x14ac:dyDescent="0.3">
      <c r="A105" s="256">
        <v>8</v>
      </c>
      <c r="B105" s="257" t="s">
        <v>446</v>
      </c>
      <c r="C105" s="260">
        <v>0</v>
      </c>
      <c r="D105" s="260">
        <v>0</v>
      </c>
      <c r="E105" s="260">
        <f t="shared" si="14"/>
        <v>0</v>
      </c>
      <c r="F105" s="259">
        <f t="shared" si="15"/>
        <v>0</v>
      </c>
    </row>
    <row r="106" spans="1:7" ht="20.25" customHeight="1" x14ac:dyDescent="0.3">
      <c r="A106" s="256">
        <v>9</v>
      </c>
      <c r="B106" s="257" t="s">
        <v>447</v>
      </c>
      <c r="C106" s="260">
        <v>0</v>
      </c>
      <c r="D106" s="260">
        <v>0</v>
      </c>
      <c r="E106" s="260">
        <f t="shared" si="14"/>
        <v>0</v>
      </c>
      <c r="F106" s="259">
        <f t="shared" si="15"/>
        <v>0</v>
      </c>
    </row>
    <row r="107" spans="1:7" s="265" customFormat="1" ht="20.25" customHeight="1" x14ac:dyDescent="0.3">
      <c r="A107" s="266"/>
      <c r="B107" s="284" t="s">
        <v>448</v>
      </c>
      <c r="C107" s="263">
        <f>+C98+C100</f>
        <v>0</v>
      </c>
      <c r="D107" s="263">
        <f>+D98+D100</f>
        <v>0</v>
      </c>
      <c r="E107" s="263">
        <f t="shared" si="14"/>
        <v>0</v>
      </c>
      <c r="F107" s="264">
        <f t="shared" si="15"/>
        <v>0</v>
      </c>
    </row>
    <row r="108" spans="1:7" s="265" customFormat="1" ht="20.25" customHeight="1" x14ac:dyDescent="0.3">
      <c r="A108" s="266"/>
      <c r="B108" s="284" t="s">
        <v>472</v>
      </c>
      <c r="C108" s="263">
        <f>+C99+C101</f>
        <v>0</v>
      </c>
      <c r="D108" s="263">
        <f>+D99+D101</f>
        <v>0</v>
      </c>
      <c r="E108" s="263">
        <f t="shared" si="14"/>
        <v>0</v>
      </c>
      <c r="F108" s="264">
        <f t="shared" si="15"/>
        <v>0</v>
      </c>
    </row>
    <row r="109" spans="1:7" s="265" customFormat="1" ht="20.25" customHeight="1" x14ac:dyDescent="0.3">
      <c r="A109" s="786" t="s">
        <v>44</v>
      </c>
      <c r="B109" s="788" t="s">
        <v>490</v>
      </c>
      <c r="C109" s="790"/>
      <c r="D109" s="791"/>
      <c r="E109" s="791"/>
      <c r="F109" s="792"/>
      <c r="G109" s="245"/>
    </row>
    <row r="110" spans="1:7" ht="20.25" customHeight="1" x14ac:dyDescent="0.3">
      <c r="A110" s="787"/>
      <c r="B110" s="789"/>
      <c r="C110" s="793"/>
      <c r="D110" s="794"/>
      <c r="E110" s="794"/>
      <c r="F110" s="795"/>
    </row>
    <row r="111" spans="1:7" ht="20.25" customHeight="1" x14ac:dyDescent="0.3">
      <c r="A111" s="285"/>
      <c r="B111" s="282"/>
      <c r="C111" s="250"/>
      <c r="D111" s="250"/>
      <c r="E111" s="250"/>
      <c r="F111" s="250"/>
    </row>
    <row r="112" spans="1:7" ht="20.25" customHeight="1" x14ac:dyDescent="0.3">
      <c r="A112" s="271"/>
      <c r="B112" s="286" t="s">
        <v>491</v>
      </c>
      <c r="C112" s="263">
        <f t="shared" ref="C112:D120" si="16">+C98+C86+C74+C62+C50+C38+C26+C14</f>
        <v>0</v>
      </c>
      <c r="D112" s="263">
        <f t="shared" si="16"/>
        <v>0</v>
      </c>
      <c r="E112" s="263">
        <f t="shared" ref="E112:E122" si="17">D112-C112</f>
        <v>0</v>
      </c>
      <c r="F112" s="264">
        <f t="shared" ref="F112:F122" si="18">IF(C112=0,0,E112/C112)</f>
        <v>0</v>
      </c>
    </row>
    <row r="113" spans="1:6" ht="20.25" customHeight="1" x14ac:dyDescent="0.3">
      <c r="A113" s="271"/>
      <c r="B113" s="286" t="s">
        <v>492</v>
      </c>
      <c r="C113" s="263">
        <f t="shared" si="16"/>
        <v>0</v>
      </c>
      <c r="D113" s="263">
        <f t="shared" si="16"/>
        <v>0</v>
      </c>
      <c r="E113" s="263">
        <f t="shared" si="17"/>
        <v>0</v>
      </c>
      <c r="F113" s="264">
        <f t="shared" si="18"/>
        <v>0</v>
      </c>
    </row>
    <row r="114" spans="1:6" ht="20.25" customHeight="1" x14ac:dyDescent="0.3">
      <c r="A114" s="271"/>
      <c r="B114" s="286" t="s">
        <v>493</v>
      </c>
      <c r="C114" s="263">
        <f t="shared" si="16"/>
        <v>0</v>
      </c>
      <c r="D114" s="263">
        <f t="shared" si="16"/>
        <v>0</v>
      </c>
      <c r="E114" s="263">
        <f t="shared" si="17"/>
        <v>0</v>
      </c>
      <c r="F114" s="264">
        <f t="shared" si="18"/>
        <v>0</v>
      </c>
    </row>
    <row r="115" spans="1:6" ht="20.25" customHeight="1" x14ac:dyDescent="0.3">
      <c r="A115" s="271"/>
      <c r="B115" s="286" t="s">
        <v>494</v>
      </c>
      <c r="C115" s="263">
        <f t="shared" si="16"/>
        <v>0</v>
      </c>
      <c r="D115" s="263">
        <f t="shared" si="16"/>
        <v>0</v>
      </c>
      <c r="E115" s="263">
        <f t="shared" si="17"/>
        <v>0</v>
      </c>
      <c r="F115" s="264">
        <f t="shared" si="18"/>
        <v>0</v>
      </c>
    </row>
    <row r="116" spans="1:6" ht="20.25" customHeight="1" x14ac:dyDescent="0.3">
      <c r="A116" s="271"/>
      <c r="B116" s="286" t="s">
        <v>495</v>
      </c>
      <c r="C116" s="287">
        <f t="shared" si="16"/>
        <v>0</v>
      </c>
      <c r="D116" s="287">
        <f t="shared" si="16"/>
        <v>0</v>
      </c>
      <c r="E116" s="287">
        <f t="shared" si="17"/>
        <v>0</v>
      </c>
      <c r="F116" s="264">
        <f t="shared" si="18"/>
        <v>0</v>
      </c>
    </row>
    <row r="117" spans="1:6" ht="20.25" customHeight="1" x14ac:dyDescent="0.3">
      <c r="A117" s="271"/>
      <c r="B117" s="286" t="s">
        <v>496</v>
      </c>
      <c r="C117" s="287">
        <f t="shared" si="16"/>
        <v>0</v>
      </c>
      <c r="D117" s="287">
        <f t="shared" si="16"/>
        <v>0</v>
      </c>
      <c r="E117" s="287">
        <f t="shared" si="17"/>
        <v>0</v>
      </c>
      <c r="F117" s="264">
        <f t="shared" si="18"/>
        <v>0</v>
      </c>
    </row>
    <row r="118" spans="1:6" ht="39.950000000000003" customHeight="1" x14ac:dyDescent="0.3">
      <c r="A118" s="271"/>
      <c r="B118" s="286" t="s">
        <v>497</v>
      </c>
      <c r="C118" s="287">
        <f t="shared" si="16"/>
        <v>0</v>
      </c>
      <c r="D118" s="287">
        <f t="shared" si="16"/>
        <v>0</v>
      </c>
      <c r="E118" s="287">
        <f t="shared" si="17"/>
        <v>0</v>
      </c>
      <c r="F118" s="264">
        <f t="shared" si="18"/>
        <v>0</v>
      </c>
    </row>
    <row r="119" spans="1:6" ht="39.950000000000003" customHeight="1" x14ac:dyDescent="0.3">
      <c r="A119" s="271"/>
      <c r="B119" s="286" t="s">
        <v>498</v>
      </c>
      <c r="C119" s="287">
        <f t="shared" si="16"/>
        <v>0</v>
      </c>
      <c r="D119" s="287">
        <f t="shared" si="16"/>
        <v>0</v>
      </c>
      <c r="E119" s="287">
        <f t="shared" si="17"/>
        <v>0</v>
      </c>
      <c r="F119" s="264">
        <f t="shared" si="18"/>
        <v>0</v>
      </c>
    </row>
    <row r="120" spans="1:6" ht="39.950000000000003" customHeight="1" x14ac:dyDescent="0.3">
      <c r="A120" s="271"/>
      <c r="B120" s="286" t="s">
        <v>499</v>
      </c>
      <c r="C120" s="287">
        <f t="shared" si="16"/>
        <v>0</v>
      </c>
      <c r="D120" s="287">
        <f t="shared" si="16"/>
        <v>0</v>
      </c>
      <c r="E120" s="287">
        <f t="shared" si="17"/>
        <v>0</v>
      </c>
      <c r="F120" s="264">
        <f t="shared" si="18"/>
        <v>0</v>
      </c>
    </row>
    <row r="121" spans="1:6" ht="20.25" customHeight="1" x14ac:dyDescent="0.3">
      <c r="A121" s="271"/>
      <c r="B121" s="284" t="s">
        <v>448</v>
      </c>
      <c r="C121" s="263">
        <f>+C112+C114</f>
        <v>0</v>
      </c>
      <c r="D121" s="263">
        <f>+D112+D114</f>
        <v>0</v>
      </c>
      <c r="E121" s="263">
        <f t="shared" si="17"/>
        <v>0</v>
      </c>
      <c r="F121" s="264">
        <f t="shared" si="18"/>
        <v>0</v>
      </c>
    </row>
    <row r="122" spans="1:6" ht="20.25" customHeight="1" x14ac:dyDescent="0.3">
      <c r="A122" s="271"/>
      <c r="B122" s="284" t="s">
        <v>472</v>
      </c>
      <c r="C122" s="263">
        <f>+C113+C115</f>
        <v>0</v>
      </c>
      <c r="D122" s="263">
        <f>+D113+D115</f>
        <v>0</v>
      </c>
      <c r="E122" s="263">
        <f t="shared" si="17"/>
        <v>0</v>
      </c>
      <c r="F122" s="264">
        <f t="shared" si="18"/>
        <v>0</v>
      </c>
    </row>
  </sheetData>
  <mergeCells count="10">
    <mergeCell ref="A109:A110"/>
    <mergeCell ref="B109:B110"/>
    <mergeCell ref="C109:F110"/>
    <mergeCell ref="A2:F2"/>
    <mergeCell ref="A3:F3"/>
    <mergeCell ref="A4:F4"/>
    <mergeCell ref="A5:F5"/>
    <mergeCell ref="A10:A11"/>
    <mergeCell ref="B10:B11"/>
    <mergeCell ref="C10:F11"/>
  </mergeCells>
  <pageMargins left="0.25" right="0.25" top="0.5" bottom="0.5" header="0.25" footer="0.25"/>
  <pageSetup paperSize="9" scale="55" fitToHeight="0" orientation="portrait" horizontalDpi="1200" verticalDpi="1200" r:id="rId1"/>
  <headerFooter>
    <oddHeader>&amp;LOFFICE OF HEALTH CARE ACCESS&amp;CTWELVE MONTHS ACTUAL FILING&amp;RESSENT-SHARON HOSPITAL</oddHeader>
    <oddFooter>&amp;LREPORT 250&amp;C&amp;P of &amp;N&amp;R&amp;D,&amp;T</oddFooter>
  </headerFooter>
  <rowBreaks count="2" manualBreakCount="2">
    <brk id="48" max="3" man="1"/>
    <brk id="81" max="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zoomScale="75" zoomScaleSheetLayoutView="75" workbookViewId="0">
      <selection sqref="A1:F1"/>
    </sheetView>
  </sheetViews>
  <sheetFormatPr defaultRowHeight="24" customHeight="1" x14ac:dyDescent="0.2"/>
  <cols>
    <col min="1" max="1" width="6.7109375" style="288" customWidth="1"/>
    <col min="2" max="2" width="47.5703125" style="288" customWidth="1"/>
    <col min="3" max="4" width="22.140625" style="288" bestFit="1" customWidth="1"/>
    <col min="5" max="5" width="21.7109375" style="327" customWidth="1"/>
    <col min="6" max="6" width="23.28515625" style="327" customWidth="1"/>
    <col min="7" max="7" width="19.140625" style="288" customWidth="1"/>
    <col min="8" max="16384" width="9.140625" style="288"/>
  </cols>
  <sheetData>
    <row r="1" spans="1:8" ht="24" customHeight="1" x14ac:dyDescent="0.25">
      <c r="A1" s="807" t="s">
        <v>500</v>
      </c>
      <c r="B1" s="808"/>
      <c r="C1" s="808"/>
      <c r="D1" s="808"/>
      <c r="E1" s="808"/>
      <c r="F1" s="809"/>
    </row>
    <row r="2" spans="1:8" ht="24" customHeight="1" x14ac:dyDescent="0.25">
      <c r="A2" s="807" t="s">
        <v>1</v>
      </c>
      <c r="B2" s="808"/>
      <c r="C2" s="808"/>
      <c r="D2" s="808"/>
      <c r="E2" s="808"/>
      <c r="F2" s="809"/>
    </row>
    <row r="3" spans="1:8" ht="24" customHeight="1" x14ac:dyDescent="0.25">
      <c r="A3" s="807" t="s">
        <v>2</v>
      </c>
      <c r="B3" s="808"/>
      <c r="C3" s="808"/>
      <c r="D3" s="808"/>
      <c r="E3" s="808"/>
      <c r="F3" s="809"/>
    </row>
    <row r="4" spans="1:8" ht="24" customHeight="1" x14ac:dyDescent="0.25">
      <c r="A4" s="807" t="s">
        <v>501</v>
      </c>
      <c r="B4" s="808"/>
      <c r="C4" s="808"/>
      <c r="D4" s="808"/>
      <c r="E4" s="808"/>
      <c r="F4" s="809"/>
    </row>
    <row r="5" spans="1:8" ht="15" customHeight="1" x14ac:dyDescent="0.25">
      <c r="A5" s="289"/>
      <c r="B5" s="289"/>
      <c r="C5" s="289"/>
      <c r="D5" s="289"/>
      <c r="E5" s="290"/>
      <c r="F5" s="291"/>
    </row>
    <row r="6" spans="1:8" s="293" customFormat="1" ht="15.75" customHeight="1" x14ac:dyDescent="0.25">
      <c r="A6" s="292">
        <v>-1</v>
      </c>
      <c r="B6" s="292">
        <v>-2</v>
      </c>
      <c r="C6" s="292">
        <v>-3</v>
      </c>
      <c r="D6" s="292">
        <v>-4</v>
      </c>
      <c r="E6" s="292">
        <v>-5</v>
      </c>
      <c r="F6" s="292">
        <v>-6</v>
      </c>
    </row>
    <row r="7" spans="1:8" s="293" customFormat="1" ht="15.75" customHeight="1" x14ac:dyDescent="0.25">
      <c r="A7" s="294"/>
      <c r="B7" s="295"/>
      <c r="C7" s="296" t="s">
        <v>4</v>
      </c>
      <c r="D7" s="296" t="s">
        <v>5</v>
      </c>
      <c r="E7" s="297" t="s">
        <v>6</v>
      </c>
      <c r="F7" s="297" t="s">
        <v>7</v>
      </c>
      <c r="H7" s="298"/>
    </row>
    <row r="8" spans="1:8" s="293" customFormat="1" ht="15.75" customHeight="1" x14ac:dyDescent="0.25">
      <c r="A8" s="299" t="s">
        <v>8</v>
      </c>
      <c r="B8" s="299" t="s">
        <v>9</v>
      </c>
      <c r="C8" s="13" t="s">
        <v>10</v>
      </c>
      <c r="D8" s="13" t="s">
        <v>10</v>
      </c>
      <c r="E8" s="300" t="s">
        <v>11</v>
      </c>
      <c r="F8" s="300" t="s">
        <v>11</v>
      </c>
    </row>
    <row r="9" spans="1:8" s="293" customFormat="1" ht="15.75" customHeight="1" x14ac:dyDescent="0.25">
      <c r="A9" s="299"/>
      <c r="B9" s="301"/>
      <c r="C9" s="299"/>
      <c r="D9" s="299"/>
      <c r="E9" s="297"/>
      <c r="F9" s="297"/>
    </row>
    <row r="10" spans="1:8" s="293" customFormat="1" ht="24" customHeight="1" x14ac:dyDescent="0.25">
      <c r="A10" s="18" t="s">
        <v>12</v>
      </c>
      <c r="B10" s="301" t="s">
        <v>13</v>
      </c>
      <c r="C10" s="302"/>
      <c r="D10" s="302"/>
      <c r="E10" s="18"/>
      <c r="F10" s="18"/>
    </row>
    <row r="11" spans="1:8" s="293" customFormat="1" ht="24" customHeight="1" x14ac:dyDescent="0.25">
      <c r="A11" s="18"/>
      <c r="B11" s="294"/>
      <c r="C11" s="18"/>
      <c r="D11" s="18"/>
      <c r="E11" s="18"/>
      <c r="F11" s="18"/>
    </row>
    <row r="12" spans="1:8" s="293" customFormat="1" ht="15.75" customHeight="1" x14ac:dyDescent="0.25">
      <c r="A12" s="303" t="s">
        <v>14</v>
      </c>
      <c r="B12" s="301" t="s">
        <v>15</v>
      </c>
      <c r="C12" s="18"/>
      <c r="D12" s="18"/>
      <c r="E12" s="18"/>
      <c r="F12" s="18"/>
    </row>
    <row r="13" spans="1:8" ht="24" customHeight="1" x14ac:dyDescent="0.2">
      <c r="A13" s="304">
        <v>1</v>
      </c>
      <c r="B13" s="305" t="s">
        <v>16</v>
      </c>
      <c r="C13" s="22">
        <v>117062</v>
      </c>
      <c r="D13" s="22">
        <v>10465</v>
      </c>
      <c r="E13" s="22">
        <f t="shared" ref="E13:E22" si="0">D13-C13</f>
        <v>-106597</v>
      </c>
      <c r="F13" s="306">
        <f t="shared" ref="F13:F22" si="1">IF(C13=0,0,E13/C13)</f>
        <v>-0.91060292836274792</v>
      </c>
    </row>
    <row r="14" spans="1:8" ht="24" customHeight="1" x14ac:dyDescent="0.2">
      <c r="A14" s="304">
        <v>2</v>
      </c>
      <c r="B14" s="305" t="s">
        <v>17</v>
      </c>
      <c r="C14" s="22">
        <v>0</v>
      </c>
      <c r="D14" s="22">
        <v>0</v>
      </c>
      <c r="E14" s="22">
        <f t="shared" si="0"/>
        <v>0</v>
      </c>
      <c r="F14" s="306">
        <f t="shared" si="1"/>
        <v>0</v>
      </c>
    </row>
    <row r="15" spans="1:8" ht="35.1" customHeight="1" x14ac:dyDescent="0.2">
      <c r="A15" s="304">
        <v>3</v>
      </c>
      <c r="B15" s="305" t="s">
        <v>18</v>
      </c>
      <c r="C15" s="22">
        <v>7934530</v>
      </c>
      <c r="D15" s="22">
        <v>6904941</v>
      </c>
      <c r="E15" s="22">
        <f t="shared" si="0"/>
        <v>-1029589</v>
      </c>
      <c r="F15" s="306">
        <f t="shared" si="1"/>
        <v>-0.12976055292499997</v>
      </c>
    </row>
    <row r="16" spans="1:8" ht="35.1" customHeight="1" x14ac:dyDescent="0.2">
      <c r="A16" s="304">
        <v>4</v>
      </c>
      <c r="B16" s="305" t="s">
        <v>19</v>
      </c>
      <c r="C16" s="22">
        <v>0</v>
      </c>
      <c r="D16" s="22">
        <v>0</v>
      </c>
      <c r="E16" s="22">
        <f t="shared" si="0"/>
        <v>0</v>
      </c>
      <c r="F16" s="306">
        <f t="shared" si="1"/>
        <v>0</v>
      </c>
    </row>
    <row r="17" spans="1:11" ht="24" customHeight="1" x14ac:dyDescent="0.2">
      <c r="A17" s="304">
        <v>5</v>
      </c>
      <c r="B17" s="305" t="s">
        <v>20</v>
      </c>
      <c r="C17" s="22">
        <v>0</v>
      </c>
      <c r="D17" s="22">
        <v>0</v>
      </c>
      <c r="E17" s="22">
        <f t="shared" si="0"/>
        <v>0</v>
      </c>
      <c r="F17" s="306">
        <f t="shared" si="1"/>
        <v>0</v>
      </c>
    </row>
    <row r="18" spans="1:11" ht="24" customHeight="1" x14ac:dyDescent="0.2">
      <c r="A18" s="304">
        <v>6</v>
      </c>
      <c r="B18" s="305" t="s">
        <v>21</v>
      </c>
      <c r="C18" s="22">
        <v>0</v>
      </c>
      <c r="D18" s="22">
        <v>137029</v>
      </c>
      <c r="E18" s="22">
        <f t="shared" si="0"/>
        <v>137029</v>
      </c>
      <c r="F18" s="306">
        <f t="shared" si="1"/>
        <v>0</v>
      </c>
    </row>
    <row r="19" spans="1:11" ht="24" customHeight="1" x14ac:dyDescent="0.2">
      <c r="A19" s="304">
        <v>7</v>
      </c>
      <c r="B19" s="305" t="s">
        <v>22</v>
      </c>
      <c r="C19" s="22">
        <v>1271046</v>
      </c>
      <c r="D19" s="22">
        <v>1192492</v>
      </c>
      <c r="E19" s="22">
        <f t="shared" si="0"/>
        <v>-78554</v>
      </c>
      <c r="F19" s="306">
        <f t="shared" si="1"/>
        <v>-6.1802641289142958E-2</v>
      </c>
    </row>
    <row r="20" spans="1:11" ht="24" customHeight="1" x14ac:dyDescent="0.2">
      <c r="A20" s="304">
        <v>8</v>
      </c>
      <c r="B20" s="305" t="s">
        <v>23</v>
      </c>
      <c r="C20" s="22">
        <v>1848189</v>
      </c>
      <c r="D20" s="22">
        <v>813147</v>
      </c>
      <c r="E20" s="22">
        <f t="shared" si="0"/>
        <v>-1035042</v>
      </c>
      <c r="F20" s="306">
        <f t="shared" si="1"/>
        <v>-0.56003038650267911</v>
      </c>
    </row>
    <row r="21" spans="1:11" ht="24" customHeight="1" x14ac:dyDescent="0.2">
      <c r="A21" s="304">
        <v>9</v>
      </c>
      <c r="B21" s="305" t="s">
        <v>24</v>
      </c>
      <c r="C21" s="22">
        <v>1179591</v>
      </c>
      <c r="D21" s="22">
        <v>1656812</v>
      </c>
      <c r="E21" s="22">
        <f t="shared" si="0"/>
        <v>477221</v>
      </c>
      <c r="F21" s="306">
        <f t="shared" si="1"/>
        <v>0.40456480254596722</v>
      </c>
    </row>
    <row r="22" spans="1:11" ht="24" customHeight="1" x14ac:dyDescent="0.25">
      <c r="A22" s="307"/>
      <c r="B22" s="308" t="s">
        <v>25</v>
      </c>
      <c r="C22" s="309">
        <f>SUM(C13:C21)</f>
        <v>12350418</v>
      </c>
      <c r="D22" s="309">
        <f>SUM(D13:D21)</f>
        <v>10714886</v>
      </c>
      <c r="E22" s="309">
        <f t="shared" si="0"/>
        <v>-1635532</v>
      </c>
      <c r="F22" s="310">
        <f t="shared" si="1"/>
        <v>-0.13242725873731562</v>
      </c>
    </row>
    <row r="23" spans="1:11" ht="15" customHeight="1" x14ac:dyDescent="0.2">
      <c r="A23" s="304"/>
      <c r="B23" s="291"/>
      <c r="C23" s="311"/>
      <c r="D23" s="311"/>
      <c r="E23" s="311"/>
      <c r="F23" s="306"/>
    </row>
    <row r="24" spans="1:11" ht="24" customHeight="1" x14ac:dyDescent="0.25">
      <c r="A24" s="312" t="s">
        <v>26</v>
      </c>
      <c r="B24" s="313" t="s">
        <v>27</v>
      </c>
      <c r="C24" s="31"/>
      <c r="D24" s="31"/>
      <c r="E24" s="31"/>
      <c r="F24" s="291"/>
    </row>
    <row r="25" spans="1:11" ht="24" customHeight="1" x14ac:dyDescent="0.2">
      <c r="A25" s="304">
        <v>1</v>
      </c>
      <c r="B25" s="305" t="s">
        <v>28</v>
      </c>
      <c r="C25" s="22">
        <v>0</v>
      </c>
      <c r="D25" s="22">
        <v>0</v>
      </c>
      <c r="E25" s="22">
        <f>D25-C25</f>
        <v>0</v>
      </c>
      <c r="F25" s="306">
        <f>IF(C25=0,0,E25/C25)</f>
        <v>0</v>
      </c>
      <c r="H25" s="314"/>
      <c r="I25" s="315"/>
      <c r="J25" s="315"/>
      <c r="K25" s="316"/>
    </row>
    <row r="26" spans="1:11" ht="24" customHeight="1" x14ac:dyDescent="0.2">
      <c r="A26" s="304">
        <v>2</v>
      </c>
      <c r="B26" s="305" t="s">
        <v>29</v>
      </c>
      <c r="C26" s="22">
        <v>0</v>
      </c>
      <c r="D26" s="22">
        <v>0</v>
      </c>
      <c r="E26" s="22">
        <f>D26-C26</f>
        <v>0</v>
      </c>
      <c r="F26" s="306">
        <f>IF(C26=0,0,E26/C26)</f>
        <v>0</v>
      </c>
      <c r="H26" s="314"/>
      <c r="I26" s="315"/>
      <c r="J26" s="315"/>
      <c r="K26" s="316"/>
    </row>
    <row r="27" spans="1:11" ht="24" customHeight="1" x14ac:dyDescent="0.2">
      <c r="A27" s="304">
        <v>3</v>
      </c>
      <c r="B27" s="305" t="s">
        <v>30</v>
      </c>
      <c r="C27" s="22">
        <v>0</v>
      </c>
      <c r="D27" s="22">
        <v>0</v>
      </c>
      <c r="E27" s="22">
        <f>D27-C27</f>
        <v>0</v>
      </c>
      <c r="F27" s="306">
        <f>IF(C27=0,0,E27/C27)</f>
        <v>0</v>
      </c>
    </row>
    <row r="28" spans="1:11" ht="35.1" customHeight="1" x14ac:dyDescent="0.2">
      <c r="A28" s="304">
        <v>4</v>
      </c>
      <c r="B28" s="305" t="s">
        <v>31</v>
      </c>
      <c r="C28" s="22">
        <v>0</v>
      </c>
      <c r="D28" s="22">
        <v>0</v>
      </c>
      <c r="E28" s="22">
        <f>D28-C28</f>
        <v>0</v>
      </c>
      <c r="F28" s="306">
        <f>IF(C28=0,0,E28/C28)</f>
        <v>0</v>
      </c>
    </row>
    <row r="29" spans="1:11" ht="35.1" customHeight="1" x14ac:dyDescent="0.25">
      <c r="A29" s="307"/>
      <c r="B29" s="308" t="s">
        <v>32</v>
      </c>
      <c r="C29" s="309">
        <f>SUM(C25:C28)</f>
        <v>0</v>
      </c>
      <c r="D29" s="309">
        <f>SUM(D25:D28)</f>
        <v>0</v>
      </c>
      <c r="E29" s="309">
        <f>D29-C29</f>
        <v>0</v>
      </c>
      <c r="F29" s="310">
        <f>IF(C29=0,0,E29/C29)</f>
        <v>0</v>
      </c>
    </row>
    <row r="30" spans="1:11" ht="15" customHeight="1" x14ac:dyDescent="0.2">
      <c r="A30" s="304"/>
      <c r="B30" s="291"/>
      <c r="C30" s="311"/>
      <c r="D30" s="311"/>
      <c r="E30" s="311"/>
      <c r="F30" s="306"/>
    </row>
    <row r="31" spans="1:11" ht="15" customHeight="1" x14ac:dyDescent="0.2">
      <c r="A31" s="304">
        <v>5</v>
      </c>
      <c r="B31" s="305" t="s">
        <v>33</v>
      </c>
      <c r="C31" s="22">
        <v>0</v>
      </c>
      <c r="D31" s="22">
        <v>0</v>
      </c>
      <c r="E31" s="22">
        <f>D31-C31</f>
        <v>0</v>
      </c>
      <c r="F31" s="306">
        <f>IF(C31=0,0,E31/C31)</f>
        <v>0</v>
      </c>
    </row>
    <row r="32" spans="1:11" ht="24" customHeight="1" x14ac:dyDescent="0.2">
      <c r="A32" s="304">
        <v>6</v>
      </c>
      <c r="B32" s="305" t="s">
        <v>34</v>
      </c>
      <c r="C32" s="22">
        <v>0</v>
      </c>
      <c r="D32" s="22">
        <v>0</v>
      </c>
      <c r="E32" s="22">
        <f>D32-C32</f>
        <v>0</v>
      </c>
      <c r="F32" s="306">
        <f>IF(C32=0,0,E32/C32)</f>
        <v>0</v>
      </c>
    </row>
    <row r="33" spans="1:8" ht="24" customHeight="1" x14ac:dyDescent="0.2">
      <c r="A33" s="304">
        <v>7</v>
      </c>
      <c r="B33" s="305" t="s">
        <v>35</v>
      </c>
      <c r="C33" s="22">
        <v>667672</v>
      </c>
      <c r="D33" s="22">
        <v>706549</v>
      </c>
      <c r="E33" s="22">
        <f>D33-C33</f>
        <v>38877</v>
      </c>
      <c r="F33" s="306">
        <f>IF(C33=0,0,E33/C33)</f>
        <v>5.8227692639499631E-2</v>
      </c>
    </row>
    <row r="34" spans="1:8" ht="15" customHeight="1" x14ac:dyDescent="0.2">
      <c r="A34" s="304"/>
      <c r="B34" s="291"/>
      <c r="C34" s="311"/>
      <c r="D34" s="311"/>
      <c r="E34" s="311"/>
      <c r="F34" s="306"/>
    </row>
    <row r="35" spans="1:8" ht="24" customHeight="1" x14ac:dyDescent="0.25">
      <c r="A35" s="312" t="s">
        <v>36</v>
      </c>
      <c r="B35" s="313" t="s">
        <v>37</v>
      </c>
      <c r="C35" s="311"/>
      <c r="D35" s="311"/>
      <c r="E35" s="311"/>
      <c r="F35" s="306"/>
    </row>
    <row r="36" spans="1:8" ht="24" customHeight="1" x14ac:dyDescent="0.2">
      <c r="A36" s="304">
        <v>1</v>
      </c>
      <c r="B36" s="305" t="s">
        <v>38</v>
      </c>
      <c r="C36" s="22">
        <v>63297105</v>
      </c>
      <c r="D36" s="22">
        <v>64190748</v>
      </c>
      <c r="E36" s="22">
        <f>D36-C36</f>
        <v>893643</v>
      </c>
      <c r="F36" s="306">
        <f>IF(C36=0,0,E36/C36)</f>
        <v>1.4118228629887576E-2</v>
      </c>
    </row>
    <row r="37" spans="1:8" ht="24" customHeight="1" x14ac:dyDescent="0.2">
      <c r="A37" s="304">
        <v>2</v>
      </c>
      <c r="B37" s="305" t="s">
        <v>39</v>
      </c>
      <c r="C37" s="22">
        <v>28688271</v>
      </c>
      <c r="D37" s="22">
        <v>31083584</v>
      </c>
      <c r="E37" s="22">
        <f>D37-C37</f>
        <v>2395313</v>
      </c>
      <c r="F37" s="22">
        <f>IF(C37=0,0,E37/C37)</f>
        <v>8.3494505472288663E-2</v>
      </c>
    </row>
    <row r="38" spans="1:8" ht="24" customHeight="1" x14ac:dyDescent="0.25">
      <c r="A38" s="307"/>
      <c r="B38" s="308" t="s">
        <v>40</v>
      </c>
      <c r="C38" s="309">
        <f>C36-C37</f>
        <v>34608834</v>
      </c>
      <c r="D38" s="309">
        <f>D36-D37</f>
        <v>33107164</v>
      </c>
      <c r="E38" s="309">
        <f>D38-C38</f>
        <v>-1501670</v>
      </c>
      <c r="F38" s="310">
        <f>IF(C38=0,0,E38/C38)</f>
        <v>-4.3389788861421912E-2</v>
      </c>
    </row>
    <row r="39" spans="1:8" ht="15" customHeight="1" x14ac:dyDescent="0.2">
      <c r="A39" s="304"/>
      <c r="B39" s="291"/>
      <c r="C39" s="311"/>
      <c r="D39" s="311"/>
      <c r="E39" s="311"/>
      <c r="F39" s="306"/>
    </row>
    <row r="40" spans="1:8" ht="24" customHeight="1" x14ac:dyDescent="0.2">
      <c r="A40" s="304">
        <v>3</v>
      </c>
      <c r="B40" s="305" t="s">
        <v>41</v>
      </c>
      <c r="C40" s="22">
        <v>0</v>
      </c>
      <c r="D40" s="22">
        <v>0</v>
      </c>
      <c r="E40" s="22">
        <f>D40-C40</f>
        <v>0</v>
      </c>
      <c r="F40" s="306">
        <f>IF(C40=0,0,E40/C40)</f>
        <v>0</v>
      </c>
    </row>
    <row r="41" spans="1:8" ht="24" customHeight="1" x14ac:dyDescent="0.25">
      <c r="A41" s="307"/>
      <c r="B41" s="308" t="s">
        <v>42</v>
      </c>
      <c r="C41" s="309">
        <f>+C38+C40</f>
        <v>34608834</v>
      </c>
      <c r="D41" s="309">
        <f>+D38+D40</f>
        <v>33107164</v>
      </c>
      <c r="E41" s="309">
        <f>D41-C41</f>
        <v>-1501670</v>
      </c>
      <c r="F41" s="310">
        <f>IF(C41=0,0,E41/C41)</f>
        <v>-4.3389788861421912E-2</v>
      </c>
    </row>
    <row r="42" spans="1:8" ht="24" customHeight="1" x14ac:dyDescent="0.2">
      <c r="A42" s="304"/>
      <c r="B42" s="305"/>
      <c r="C42" s="311"/>
      <c r="D42" s="311"/>
      <c r="E42" s="311"/>
      <c r="F42" s="306"/>
    </row>
    <row r="43" spans="1:8" ht="24" customHeight="1" x14ac:dyDescent="0.25">
      <c r="A43" s="307"/>
      <c r="B43" s="308" t="s">
        <v>43</v>
      </c>
      <c r="C43" s="309">
        <f>C22+C29+C31+C32+C33+C41</f>
        <v>47626924</v>
      </c>
      <c r="D43" s="309">
        <f>D22+D29+D31+D32+D33+D41</f>
        <v>44528599</v>
      </c>
      <c r="E43" s="309">
        <f>D43-C43</f>
        <v>-3098325</v>
      </c>
      <c r="F43" s="310">
        <f>IF(C43=0,0,E43/C43)</f>
        <v>-6.5054064797466241E-2</v>
      </c>
    </row>
    <row r="44" spans="1:8" ht="15.75" customHeight="1" x14ac:dyDescent="0.25">
      <c r="A44" s="317"/>
      <c r="B44" s="289"/>
      <c r="C44" s="36"/>
      <c r="D44" s="36"/>
      <c r="E44" s="37"/>
      <c r="F44" s="291"/>
    </row>
    <row r="45" spans="1:8" s="293" customFormat="1" ht="15.75" customHeight="1" x14ac:dyDescent="0.25">
      <c r="A45" s="299"/>
      <c r="B45" s="301"/>
      <c r="C45" s="38"/>
      <c r="D45" s="38"/>
      <c r="E45" s="38"/>
      <c r="F45" s="299"/>
      <c r="H45" s="298"/>
    </row>
    <row r="46" spans="1:8" s="293" customFormat="1" ht="15.75" customHeight="1" x14ac:dyDescent="0.25">
      <c r="A46" s="18" t="s">
        <v>44</v>
      </c>
      <c r="B46" s="301" t="s">
        <v>45</v>
      </c>
      <c r="C46" s="39"/>
      <c r="D46" s="39"/>
      <c r="E46" s="40"/>
      <c r="F46" s="18"/>
    </row>
    <row r="47" spans="1:8" ht="16.5" customHeight="1" x14ac:dyDescent="0.25">
      <c r="A47" s="18"/>
      <c r="B47" s="294"/>
      <c r="C47" s="39"/>
      <c r="D47" s="39"/>
      <c r="E47" s="40"/>
      <c r="F47" s="18"/>
    </row>
    <row r="48" spans="1:8" ht="15.75" customHeight="1" x14ac:dyDescent="0.25">
      <c r="A48" s="312" t="s">
        <v>14</v>
      </c>
      <c r="B48" s="318" t="s">
        <v>46</v>
      </c>
      <c r="C48" s="311"/>
      <c r="D48" s="311"/>
      <c r="E48" s="311"/>
      <c r="F48" s="306"/>
    </row>
    <row r="49" spans="1:6" ht="24" customHeight="1" x14ac:dyDescent="0.2">
      <c r="A49" s="304">
        <v>1</v>
      </c>
      <c r="B49" s="305" t="s">
        <v>47</v>
      </c>
      <c r="C49" s="22">
        <v>1739478</v>
      </c>
      <c r="D49" s="22">
        <v>1941959</v>
      </c>
      <c r="E49" s="22">
        <f t="shared" ref="E49:E56" si="2">D49-C49</f>
        <v>202481</v>
      </c>
      <c r="F49" s="306">
        <f t="shared" ref="F49:F56" si="3">IF(C49=0,0,E49/C49)</f>
        <v>0.11640331179813715</v>
      </c>
    </row>
    <row r="50" spans="1:6" ht="24" customHeight="1" x14ac:dyDescent="0.2">
      <c r="A50" s="304">
        <f t="shared" ref="A50:A55" si="4">1+A49</f>
        <v>2</v>
      </c>
      <c r="B50" s="305" t="s">
        <v>48</v>
      </c>
      <c r="C50" s="22">
        <v>4264163</v>
      </c>
      <c r="D50" s="22">
        <v>3439322</v>
      </c>
      <c r="E50" s="22">
        <f t="shared" si="2"/>
        <v>-824841</v>
      </c>
      <c r="F50" s="306">
        <f t="shared" si="3"/>
        <v>-0.19343561679044632</v>
      </c>
    </row>
    <row r="51" spans="1:6" ht="24" customHeight="1" x14ac:dyDescent="0.2">
      <c r="A51" s="304">
        <f t="shared" si="4"/>
        <v>3</v>
      </c>
      <c r="B51" s="305" t="s">
        <v>49</v>
      </c>
      <c r="C51" s="22">
        <v>345766</v>
      </c>
      <c r="D51" s="22">
        <v>0</v>
      </c>
      <c r="E51" s="22">
        <f t="shared" si="2"/>
        <v>-345766</v>
      </c>
      <c r="F51" s="306">
        <f t="shared" si="3"/>
        <v>-1</v>
      </c>
    </row>
    <row r="52" spans="1:6" ht="24" customHeight="1" x14ac:dyDescent="0.2">
      <c r="A52" s="304">
        <f t="shared" si="4"/>
        <v>4</v>
      </c>
      <c r="B52" s="305" t="s">
        <v>50</v>
      </c>
      <c r="C52" s="22">
        <v>0</v>
      </c>
      <c r="D52" s="22">
        <v>0</v>
      </c>
      <c r="E52" s="22">
        <f t="shared" si="2"/>
        <v>0</v>
      </c>
      <c r="F52" s="306">
        <f t="shared" si="3"/>
        <v>0</v>
      </c>
    </row>
    <row r="53" spans="1:6" ht="24" customHeight="1" x14ac:dyDescent="0.2">
      <c r="A53" s="304">
        <f t="shared" si="4"/>
        <v>5</v>
      </c>
      <c r="B53" s="305" t="s">
        <v>51</v>
      </c>
      <c r="C53" s="22">
        <v>0</v>
      </c>
      <c r="D53" s="22">
        <v>0</v>
      </c>
      <c r="E53" s="22">
        <f t="shared" si="2"/>
        <v>0</v>
      </c>
      <c r="F53" s="306">
        <f t="shared" si="3"/>
        <v>0</v>
      </c>
    </row>
    <row r="54" spans="1:6" ht="24" customHeight="1" x14ac:dyDescent="0.2">
      <c r="A54" s="304">
        <f t="shared" si="4"/>
        <v>6</v>
      </c>
      <c r="B54" s="305" t="s">
        <v>52</v>
      </c>
      <c r="C54" s="22">
        <v>0</v>
      </c>
      <c r="D54" s="22">
        <v>165055</v>
      </c>
      <c r="E54" s="22">
        <f t="shared" si="2"/>
        <v>165055</v>
      </c>
      <c r="F54" s="306">
        <f t="shared" si="3"/>
        <v>0</v>
      </c>
    </row>
    <row r="55" spans="1:6" ht="24" customHeight="1" x14ac:dyDescent="0.2">
      <c r="A55" s="304">
        <f t="shared" si="4"/>
        <v>7</v>
      </c>
      <c r="B55" s="305" t="s">
        <v>53</v>
      </c>
      <c r="C55" s="22">
        <v>0</v>
      </c>
      <c r="D55" s="22">
        <v>0</v>
      </c>
      <c r="E55" s="22">
        <f t="shared" si="2"/>
        <v>0</v>
      </c>
      <c r="F55" s="306">
        <f t="shared" si="3"/>
        <v>0</v>
      </c>
    </row>
    <row r="56" spans="1:6" ht="24" customHeight="1" x14ac:dyDescent="0.25">
      <c r="A56" s="307"/>
      <c r="B56" s="308" t="s">
        <v>54</v>
      </c>
      <c r="C56" s="309">
        <f>SUM(C49:C55)</f>
        <v>6349407</v>
      </c>
      <c r="D56" s="309">
        <f>SUM(D49:D55)</f>
        <v>5546336</v>
      </c>
      <c r="E56" s="309">
        <f t="shared" si="2"/>
        <v>-803071</v>
      </c>
      <c r="F56" s="310">
        <f t="shared" si="3"/>
        <v>-0.12647968542574134</v>
      </c>
    </row>
    <row r="57" spans="1:6" ht="24" customHeight="1" x14ac:dyDescent="0.25">
      <c r="A57" s="304"/>
      <c r="B57" s="308"/>
      <c r="C57" s="42"/>
      <c r="D57" s="42"/>
      <c r="E57" s="42"/>
      <c r="F57" s="310"/>
    </row>
    <row r="58" spans="1:6" ht="15.75" customHeight="1" x14ac:dyDescent="0.25">
      <c r="A58" s="312" t="s">
        <v>26</v>
      </c>
      <c r="B58" s="318" t="s">
        <v>55</v>
      </c>
      <c r="C58" s="311"/>
      <c r="D58" s="311"/>
      <c r="E58" s="311"/>
      <c r="F58" s="306"/>
    </row>
    <row r="59" spans="1:6" ht="24" customHeight="1" x14ac:dyDescent="0.2">
      <c r="A59" s="304">
        <v>1</v>
      </c>
      <c r="B59" s="305" t="s">
        <v>56</v>
      </c>
      <c r="C59" s="22">
        <v>0</v>
      </c>
      <c r="D59" s="22">
        <v>0</v>
      </c>
      <c r="E59" s="22">
        <f>D59-C59</f>
        <v>0</v>
      </c>
      <c r="F59" s="306">
        <f>IF(C59=0,0,E59/C59)</f>
        <v>0</v>
      </c>
    </row>
    <row r="60" spans="1:6" ht="24" customHeight="1" x14ac:dyDescent="0.2">
      <c r="A60" s="304">
        <v>2</v>
      </c>
      <c r="B60" s="305" t="s">
        <v>57</v>
      </c>
      <c r="C60" s="22">
        <v>21600220</v>
      </c>
      <c r="D60" s="22">
        <v>20704808</v>
      </c>
      <c r="E60" s="22">
        <f>D60-C60</f>
        <v>-895412</v>
      </c>
      <c r="F60" s="306">
        <f>IF(C60=0,0,E60/C60)</f>
        <v>-4.1453837044252324E-2</v>
      </c>
    </row>
    <row r="61" spans="1:6" ht="24" customHeight="1" x14ac:dyDescent="0.25">
      <c r="A61" s="307"/>
      <c r="B61" s="308" t="s">
        <v>58</v>
      </c>
      <c r="C61" s="309">
        <f>SUM(C59:C60)</f>
        <v>21600220</v>
      </c>
      <c r="D61" s="309">
        <f>SUM(D59:D60)</f>
        <v>20704808</v>
      </c>
      <c r="E61" s="309">
        <f>D61-C61</f>
        <v>-895412</v>
      </c>
      <c r="F61" s="310">
        <f>IF(C61=0,0,E61/C61)</f>
        <v>-4.1453837044252324E-2</v>
      </c>
    </row>
    <row r="62" spans="1:6" ht="15" customHeight="1" x14ac:dyDescent="0.2">
      <c r="A62" s="304"/>
      <c r="B62" s="291"/>
      <c r="C62" s="311"/>
      <c r="D62" s="311"/>
      <c r="E62" s="311"/>
      <c r="F62" s="306"/>
    </row>
    <row r="63" spans="1:6" ht="24" customHeight="1" x14ac:dyDescent="0.2">
      <c r="A63" s="304">
        <v>3</v>
      </c>
      <c r="B63" s="305" t="s">
        <v>59</v>
      </c>
      <c r="C63" s="22">
        <v>1268000</v>
      </c>
      <c r="D63" s="22">
        <v>1450000</v>
      </c>
      <c r="E63" s="22">
        <f>D63-C63</f>
        <v>182000</v>
      </c>
      <c r="F63" s="306">
        <f>IF(C63=0,0,E63/C63)</f>
        <v>0.14353312302839116</v>
      </c>
    </row>
    <row r="64" spans="1:6" ht="24" customHeight="1" x14ac:dyDescent="0.2">
      <c r="A64" s="304">
        <v>4</v>
      </c>
      <c r="B64" s="305" t="s">
        <v>60</v>
      </c>
      <c r="C64" s="22">
        <v>554304</v>
      </c>
      <c r="D64" s="22">
        <v>508824</v>
      </c>
      <c r="E64" s="22">
        <f>D64-C64</f>
        <v>-45480</v>
      </c>
      <c r="F64" s="306">
        <f>IF(C64=0,0,E64/C64)</f>
        <v>-8.2048839625909253E-2</v>
      </c>
    </row>
    <row r="65" spans="1:6" ht="24" customHeight="1" x14ac:dyDescent="0.25">
      <c r="A65" s="307"/>
      <c r="B65" s="308" t="s">
        <v>61</v>
      </c>
      <c r="C65" s="309">
        <f>SUM(C61:C64)</f>
        <v>23422524</v>
      </c>
      <c r="D65" s="309">
        <f>SUM(D61:D64)</f>
        <v>22663632</v>
      </c>
      <c r="E65" s="309">
        <f>D65-C65</f>
        <v>-758892</v>
      </c>
      <c r="F65" s="310">
        <f>IF(C65=0,0,E65/C65)</f>
        <v>-3.2400094883027974E-2</v>
      </c>
    </row>
    <row r="66" spans="1:6" ht="24" customHeight="1" x14ac:dyDescent="0.2">
      <c r="B66" s="291"/>
      <c r="C66" s="311"/>
      <c r="D66" s="311"/>
      <c r="E66" s="311"/>
      <c r="F66" s="306"/>
    </row>
    <row r="67" spans="1:6" s="322" customFormat="1" ht="35.1" customHeight="1" x14ac:dyDescent="0.2">
      <c r="A67" s="319">
        <v>5</v>
      </c>
      <c r="B67" s="320" t="s">
        <v>62</v>
      </c>
      <c r="C67" s="22">
        <v>250000</v>
      </c>
      <c r="D67" s="22">
        <v>250000</v>
      </c>
      <c r="E67" s="22">
        <f>D67-C67</f>
        <v>0</v>
      </c>
      <c r="F67" s="321">
        <f>IF(C67=0,0,E67/C67)</f>
        <v>0</v>
      </c>
    </row>
    <row r="68" spans="1:6" ht="15" customHeight="1" x14ac:dyDescent="0.2">
      <c r="B68" s="291"/>
      <c r="C68" s="311"/>
      <c r="D68" s="311"/>
      <c r="E68" s="311"/>
      <c r="F68" s="306"/>
    </row>
    <row r="69" spans="1:6" ht="15.75" customHeight="1" x14ac:dyDescent="0.25">
      <c r="A69" s="312" t="s">
        <v>36</v>
      </c>
      <c r="B69" s="318" t="s">
        <v>63</v>
      </c>
      <c r="C69" s="311"/>
      <c r="D69" s="311"/>
      <c r="E69" s="311"/>
      <c r="F69" s="306"/>
    </row>
    <row r="70" spans="1:6" ht="24" customHeight="1" x14ac:dyDescent="0.2">
      <c r="A70" s="304">
        <v>1</v>
      </c>
      <c r="B70" s="305" t="s">
        <v>64</v>
      </c>
      <c r="C70" s="22">
        <v>17604993</v>
      </c>
      <c r="D70" s="22">
        <v>16068631</v>
      </c>
      <c r="E70" s="22">
        <f>D70-C70</f>
        <v>-1536362</v>
      </c>
      <c r="F70" s="306">
        <f>IF(C70=0,0,E70/C70)</f>
        <v>-8.7268537965337442E-2</v>
      </c>
    </row>
    <row r="71" spans="1:6" ht="24" customHeight="1" x14ac:dyDescent="0.2">
      <c r="A71" s="304">
        <v>2</v>
      </c>
      <c r="B71" s="305" t="s">
        <v>65</v>
      </c>
      <c r="C71" s="22">
        <v>0</v>
      </c>
      <c r="D71" s="22">
        <v>0</v>
      </c>
      <c r="E71" s="22">
        <f>D71-C71</f>
        <v>0</v>
      </c>
      <c r="F71" s="306">
        <f>IF(C71=0,0,E71/C71)</f>
        <v>0</v>
      </c>
    </row>
    <row r="72" spans="1:6" ht="24" customHeight="1" x14ac:dyDescent="0.2">
      <c r="A72" s="304">
        <v>3</v>
      </c>
      <c r="B72" s="305" t="s">
        <v>66</v>
      </c>
      <c r="C72" s="22">
        <v>0</v>
      </c>
      <c r="D72" s="22">
        <v>0</v>
      </c>
      <c r="E72" s="22">
        <f>D72-C72</f>
        <v>0</v>
      </c>
      <c r="F72" s="306">
        <f>IF(C72=0,0,E72/C72)</f>
        <v>0</v>
      </c>
    </row>
    <row r="73" spans="1:6" ht="24" customHeight="1" x14ac:dyDescent="0.25">
      <c r="A73" s="304"/>
      <c r="B73" s="308" t="s">
        <v>67</v>
      </c>
      <c r="C73" s="309">
        <f>SUM(C70:C72)</f>
        <v>17604993</v>
      </c>
      <c r="D73" s="309">
        <f>SUM(D70:D72)</f>
        <v>16068631</v>
      </c>
      <c r="E73" s="309">
        <f>D73-C73</f>
        <v>-1536362</v>
      </c>
      <c r="F73" s="310">
        <f>IF(C73=0,0,E73/C73)</f>
        <v>-8.7268537965337442E-2</v>
      </c>
    </row>
    <row r="74" spans="1:6" ht="24" customHeight="1" x14ac:dyDescent="0.25">
      <c r="B74" s="308"/>
      <c r="C74" s="311"/>
      <c r="D74" s="311"/>
      <c r="E74" s="311"/>
      <c r="F74" s="306"/>
    </row>
    <row r="75" spans="1:6" ht="15.75" customHeight="1" x14ac:dyDescent="0.25">
      <c r="A75" s="304"/>
      <c r="B75" s="308" t="s">
        <v>68</v>
      </c>
      <c r="C75" s="309">
        <f>C56+C65+C67+C73</f>
        <v>47626924</v>
      </c>
      <c r="D75" s="309">
        <f>D56+D65+D67+D73</f>
        <v>44528599</v>
      </c>
      <c r="E75" s="309">
        <f>D75-C75</f>
        <v>-3098325</v>
      </c>
      <c r="F75" s="310">
        <f>IF(C75=0,0,E75/C75)</f>
        <v>-6.5054064797466241E-2</v>
      </c>
    </row>
    <row r="76" spans="1:6" ht="24" customHeight="1" x14ac:dyDescent="0.25">
      <c r="B76" s="308"/>
      <c r="C76" s="42"/>
      <c r="D76" s="42"/>
      <c r="E76" s="42"/>
      <c r="F76" s="310"/>
    </row>
    <row r="77" spans="1:6" ht="24" customHeight="1" x14ac:dyDescent="0.25">
      <c r="A77" s="312"/>
      <c r="B77" s="47"/>
      <c r="C77" s="309"/>
      <c r="D77" s="309"/>
      <c r="E77" s="309"/>
      <c r="F77" s="310"/>
    </row>
    <row r="78" spans="1:6" ht="24" customHeight="1" x14ac:dyDescent="0.25">
      <c r="A78" s="304"/>
      <c r="B78" s="50"/>
      <c r="C78" s="49"/>
      <c r="D78" s="49"/>
      <c r="E78" s="49"/>
      <c r="F78" s="310"/>
    </row>
    <row r="79" spans="1:6" ht="47.25" customHeight="1" x14ac:dyDescent="0.25">
      <c r="A79" s="304"/>
      <c r="B79" s="50"/>
      <c r="C79" s="323"/>
      <c r="D79" s="323"/>
      <c r="E79" s="324"/>
      <c r="F79" s="310"/>
    </row>
    <row r="80" spans="1:6" ht="24" customHeight="1" x14ac:dyDescent="0.25">
      <c r="A80" s="304"/>
      <c r="B80" s="308"/>
      <c r="C80" s="309"/>
      <c r="D80" s="309"/>
      <c r="E80" s="325"/>
      <c r="F80" s="310"/>
    </row>
    <row r="81" spans="1:6" ht="24" customHeight="1" x14ac:dyDescent="0.25">
      <c r="A81" s="304"/>
      <c r="B81" s="308"/>
      <c r="C81" s="309"/>
      <c r="D81" s="309"/>
      <c r="E81" s="325"/>
      <c r="F81" s="310"/>
    </row>
    <row r="82" spans="1:6" ht="24" customHeight="1" x14ac:dyDescent="0.2">
      <c r="A82" s="304"/>
      <c r="B82" s="304"/>
      <c r="C82" s="326"/>
      <c r="D82" s="291"/>
      <c r="E82" s="291"/>
      <c r="F82" s="291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293"/>
      <c r="H100" s="298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293"/>
      <c r="H118" s="298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293"/>
      <c r="H128" s="298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68" fitToHeight="0" orientation="portrait" horizontalDpi="1200" verticalDpi="1200" r:id="rId1"/>
  <headerFooter>
    <oddHeader>&amp;LOFFICE OF HEALTH CARE ACCESS&amp;CTWELVE MONTHS ACTUAL FILING&amp;RSHARON HOSPITAL HOLDING CO, INC.</oddHeader>
    <oddFooter>&amp;LREPORT 300&amp;CPAGE &amp;P of &amp;N&amp;R&amp;D, &amp;T</oddFooter>
  </headerFooter>
  <rowBreaks count="1" manualBreakCount="1">
    <brk id="44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zoomScale="75" zoomScaleSheetLayoutView="75" workbookViewId="0">
      <selection activeCell="C37" sqref="C37"/>
    </sheetView>
  </sheetViews>
  <sheetFormatPr defaultRowHeight="23.1" customHeight="1" x14ac:dyDescent="0.2"/>
  <cols>
    <col min="1" max="1" width="6.7109375" style="56" customWidth="1"/>
    <col min="2" max="2" width="53.42578125" style="56" customWidth="1"/>
    <col min="3" max="4" width="18.85546875" style="56" customWidth="1"/>
    <col min="5" max="6" width="18.85546875" style="225" customWidth="1"/>
    <col min="7" max="7" width="12.7109375" style="56" customWidth="1"/>
    <col min="8" max="16384" width="9.140625" style="56"/>
  </cols>
  <sheetData>
    <row r="1" spans="1:7" ht="23.1" customHeight="1" x14ac:dyDescent="0.25">
      <c r="A1" s="766" t="s">
        <v>500</v>
      </c>
      <c r="B1" s="767"/>
      <c r="C1" s="767"/>
      <c r="D1" s="767"/>
      <c r="E1" s="767"/>
      <c r="F1" s="768"/>
    </row>
    <row r="2" spans="1:7" ht="23.1" customHeight="1" x14ac:dyDescent="0.25">
      <c r="A2" s="766" t="s">
        <v>1</v>
      </c>
      <c r="B2" s="767"/>
      <c r="C2" s="767"/>
      <c r="D2" s="767"/>
      <c r="E2" s="767"/>
      <c r="F2" s="768"/>
    </row>
    <row r="3" spans="1:7" ht="23.1" customHeight="1" x14ac:dyDescent="0.25">
      <c r="A3" s="766" t="s">
        <v>314</v>
      </c>
      <c r="B3" s="767"/>
      <c r="C3" s="767"/>
      <c r="D3" s="767"/>
      <c r="E3" s="767"/>
      <c r="F3" s="768"/>
    </row>
    <row r="4" spans="1:7" ht="23.1" customHeight="1" x14ac:dyDescent="0.25">
      <c r="A4" s="766" t="s">
        <v>502</v>
      </c>
      <c r="B4" s="767"/>
      <c r="C4" s="767"/>
      <c r="D4" s="767"/>
      <c r="E4" s="767"/>
      <c r="F4" s="768"/>
    </row>
    <row r="5" spans="1:7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7" ht="15.75" customHeight="1" x14ac:dyDescent="0.25">
      <c r="A6" s="58"/>
      <c r="B6" s="59"/>
      <c r="C6" s="60" t="s">
        <v>317</v>
      </c>
      <c r="D6" s="60" t="s">
        <v>318</v>
      </c>
      <c r="E6" s="57" t="s">
        <v>6</v>
      </c>
      <c r="F6" s="57" t="s">
        <v>7</v>
      </c>
    </row>
    <row r="7" spans="1:7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</row>
    <row r="8" spans="1:7" ht="12.75" customHeight="1" x14ac:dyDescent="0.2">
      <c r="A8" s="70"/>
      <c r="B8" s="70"/>
      <c r="C8" s="70"/>
      <c r="D8" s="70"/>
      <c r="E8" s="222"/>
      <c r="F8" s="222"/>
    </row>
    <row r="9" spans="1:7" ht="15.75" customHeight="1" x14ac:dyDescent="0.25">
      <c r="A9" s="71"/>
      <c r="B9" s="72"/>
      <c r="C9" s="68"/>
      <c r="D9" s="68"/>
      <c r="E9" s="73"/>
      <c r="F9" s="73"/>
    </row>
    <row r="10" spans="1:7" ht="15.75" customHeight="1" x14ac:dyDescent="0.25">
      <c r="A10" s="71" t="s">
        <v>14</v>
      </c>
      <c r="B10" s="72" t="s">
        <v>70</v>
      </c>
      <c r="C10" s="68"/>
      <c r="D10" s="68"/>
      <c r="E10" s="73"/>
      <c r="F10" s="73"/>
    </row>
    <row r="11" spans="1:7" ht="23.1" customHeight="1" x14ac:dyDescent="0.2">
      <c r="A11" s="74">
        <v>1</v>
      </c>
      <c r="B11" s="75" t="s">
        <v>71</v>
      </c>
      <c r="C11" s="76">
        <v>161643985</v>
      </c>
      <c r="D11" s="76">
        <v>159429171</v>
      </c>
      <c r="E11" s="76">
        <f t="shared" ref="E11:E20" si="0">D11-C11</f>
        <v>-2214814</v>
      </c>
      <c r="F11" s="77">
        <f t="shared" ref="F11:F20" si="1">IF(C11=0,0,E11/C11)</f>
        <v>-1.3701802761172957E-2</v>
      </c>
    </row>
    <row r="12" spans="1:7" ht="23.1" customHeight="1" x14ac:dyDescent="0.2">
      <c r="A12" s="74">
        <v>2</v>
      </c>
      <c r="B12" s="75" t="s">
        <v>72</v>
      </c>
      <c r="C12" s="76">
        <v>97303651</v>
      </c>
      <c r="D12" s="76">
        <v>99028534</v>
      </c>
      <c r="E12" s="76">
        <f t="shared" si="0"/>
        <v>1724883</v>
      </c>
      <c r="F12" s="77">
        <f t="shared" si="1"/>
        <v>1.7726806571728742E-2</v>
      </c>
    </row>
    <row r="13" spans="1:7" ht="23.1" customHeight="1" x14ac:dyDescent="0.2">
      <c r="A13" s="74">
        <v>3</v>
      </c>
      <c r="B13" s="75" t="s">
        <v>73</v>
      </c>
      <c r="C13" s="76">
        <v>941923</v>
      </c>
      <c r="D13" s="76">
        <v>892961</v>
      </c>
      <c r="E13" s="76">
        <f t="shared" si="0"/>
        <v>-48962</v>
      </c>
      <c r="F13" s="77">
        <f t="shared" si="1"/>
        <v>-5.1980894404319675E-2</v>
      </c>
    </row>
    <row r="14" spans="1:7" ht="23.1" customHeight="1" x14ac:dyDescent="0.2">
      <c r="A14" s="74">
        <v>4</v>
      </c>
      <c r="B14" s="75" t="s">
        <v>74</v>
      </c>
      <c r="C14" s="76">
        <v>682983</v>
      </c>
      <c r="D14" s="76">
        <v>745840</v>
      </c>
      <c r="E14" s="76">
        <f t="shared" si="0"/>
        <v>62857</v>
      </c>
      <c r="F14" s="77">
        <f t="shared" si="1"/>
        <v>9.2033037425528888E-2</v>
      </c>
      <c r="G14" s="65"/>
    </row>
    <row r="15" spans="1:7" ht="23.1" customHeight="1" x14ac:dyDescent="0.25">
      <c r="A15" s="71"/>
      <c r="B15" s="78" t="s">
        <v>75</v>
      </c>
      <c r="C15" s="79">
        <f>C11-C12-C13-C14</f>
        <v>62715428</v>
      </c>
      <c r="D15" s="79">
        <f>D11-D12-D13-D14</f>
        <v>58761836</v>
      </c>
      <c r="E15" s="79">
        <f t="shared" si="0"/>
        <v>-3953592</v>
      </c>
      <c r="F15" s="80">
        <f t="shared" si="1"/>
        <v>-6.3040182074496881E-2</v>
      </c>
    </row>
    <row r="16" spans="1:7" ht="23.1" customHeight="1" x14ac:dyDescent="0.2">
      <c r="A16" s="74">
        <v>5</v>
      </c>
      <c r="B16" s="75" t="s">
        <v>76</v>
      </c>
      <c r="C16" s="76">
        <v>2466684</v>
      </c>
      <c r="D16" s="76">
        <v>2651594</v>
      </c>
      <c r="E16" s="76">
        <f t="shared" si="0"/>
        <v>184910</v>
      </c>
      <c r="F16" s="77">
        <f t="shared" si="1"/>
        <v>7.4962986746579613E-2</v>
      </c>
      <c r="G16" s="65"/>
    </row>
    <row r="17" spans="1:7" ht="31.5" customHeight="1" x14ac:dyDescent="0.25">
      <c r="A17" s="71"/>
      <c r="B17" s="81" t="s">
        <v>77</v>
      </c>
      <c r="C17" s="79">
        <f>C15-C16</f>
        <v>60248744</v>
      </c>
      <c r="D17" s="79">
        <f>D15-D16</f>
        <v>56110242</v>
      </c>
      <c r="E17" s="79">
        <f t="shared" si="0"/>
        <v>-4138502</v>
      </c>
      <c r="F17" s="80">
        <f t="shared" si="1"/>
        <v>-6.8690261825209167E-2</v>
      </c>
    </row>
    <row r="18" spans="1:7" ht="23.1" customHeight="1" x14ac:dyDescent="0.2">
      <c r="A18" s="74">
        <v>6</v>
      </c>
      <c r="B18" s="75" t="s">
        <v>78</v>
      </c>
      <c r="C18" s="76">
        <v>429185</v>
      </c>
      <c r="D18" s="76">
        <v>1205475</v>
      </c>
      <c r="E18" s="76">
        <f t="shared" si="0"/>
        <v>776290</v>
      </c>
      <c r="F18" s="77">
        <f t="shared" si="1"/>
        <v>1.8087538008085091</v>
      </c>
      <c r="G18" s="65"/>
    </row>
    <row r="19" spans="1:7" ht="33" customHeight="1" x14ac:dyDescent="0.2">
      <c r="A19" s="74">
        <v>7</v>
      </c>
      <c r="B19" s="82" t="s">
        <v>79</v>
      </c>
      <c r="C19" s="76">
        <v>0</v>
      </c>
      <c r="D19" s="76">
        <v>0</v>
      </c>
      <c r="E19" s="76">
        <f t="shared" si="0"/>
        <v>0</v>
      </c>
      <c r="F19" s="77">
        <f t="shared" si="1"/>
        <v>0</v>
      </c>
      <c r="G19" s="65"/>
    </row>
    <row r="20" spans="1:7" ht="23.1" customHeight="1" x14ac:dyDescent="0.25">
      <c r="A20" s="71"/>
      <c r="B20" s="78" t="s">
        <v>80</v>
      </c>
      <c r="C20" s="79">
        <f>SUM(C17:C19)</f>
        <v>60677929</v>
      </c>
      <c r="D20" s="79">
        <f>SUM(D17:D19)</f>
        <v>57315717</v>
      </c>
      <c r="E20" s="79">
        <f t="shared" si="0"/>
        <v>-3362212</v>
      </c>
      <c r="F20" s="80">
        <f t="shared" si="1"/>
        <v>-5.5410790305648036E-2</v>
      </c>
    </row>
    <row r="21" spans="1:7" ht="15.75" customHeight="1" x14ac:dyDescent="0.25">
      <c r="A21" s="74"/>
      <c r="B21" s="78"/>
      <c r="C21" s="76"/>
      <c r="D21" s="76"/>
      <c r="E21" s="76"/>
      <c r="F21" s="77"/>
    </row>
    <row r="22" spans="1:7" ht="23.1" customHeight="1" x14ac:dyDescent="0.25">
      <c r="A22" s="71" t="s">
        <v>26</v>
      </c>
      <c r="B22" s="72" t="s">
        <v>81</v>
      </c>
      <c r="C22" s="76"/>
      <c r="D22" s="76"/>
      <c r="E22" s="76"/>
      <c r="F22" s="77"/>
    </row>
    <row r="23" spans="1:7" ht="23.1" customHeight="1" x14ac:dyDescent="0.2">
      <c r="A23" s="74">
        <v>1</v>
      </c>
      <c r="B23" s="75" t="s">
        <v>82</v>
      </c>
      <c r="C23" s="76">
        <v>22702349</v>
      </c>
      <c r="D23" s="76">
        <v>22975001</v>
      </c>
      <c r="E23" s="76">
        <f t="shared" ref="E23:E32" si="2">D23-C23</f>
        <v>272652</v>
      </c>
      <c r="F23" s="77">
        <f t="shared" ref="F23:F32" si="3">IF(C23=0,0,E23/C23)</f>
        <v>1.200985853930798E-2</v>
      </c>
    </row>
    <row r="24" spans="1:7" ht="23.1" customHeight="1" x14ac:dyDescent="0.2">
      <c r="A24" s="74">
        <v>2</v>
      </c>
      <c r="B24" s="75" t="s">
        <v>83</v>
      </c>
      <c r="C24" s="76">
        <v>4568997</v>
      </c>
      <c r="D24" s="76">
        <v>4537331</v>
      </c>
      <c r="E24" s="76">
        <f t="shared" si="2"/>
        <v>-31666</v>
      </c>
      <c r="F24" s="77">
        <f t="shared" si="3"/>
        <v>-6.9306239421912516E-3</v>
      </c>
    </row>
    <row r="25" spans="1:7" ht="23.1" customHeight="1" x14ac:dyDescent="0.2">
      <c r="A25" s="74">
        <v>3</v>
      </c>
      <c r="B25" s="75" t="s">
        <v>84</v>
      </c>
      <c r="C25" s="76">
        <v>2260982</v>
      </c>
      <c r="D25" s="76">
        <v>2741068</v>
      </c>
      <c r="E25" s="76">
        <f t="shared" si="2"/>
        <v>480086</v>
      </c>
      <c r="F25" s="77">
        <f t="shared" si="3"/>
        <v>0.21233517117783335</v>
      </c>
      <c r="G25" s="65"/>
    </row>
    <row r="26" spans="1:7" ht="23.1" customHeight="1" x14ac:dyDescent="0.2">
      <c r="A26" s="74">
        <v>4</v>
      </c>
      <c r="B26" s="75" t="s">
        <v>85</v>
      </c>
      <c r="C26" s="76">
        <v>6890427</v>
      </c>
      <c r="D26" s="76">
        <v>6326695</v>
      </c>
      <c r="E26" s="76">
        <f t="shared" si="2"/>
        <v>-563732</v>
      </c>
      <c r="F26" s="77">
        <f t="shared" si="3"/>
        <v>-8.1813797606447317E-2</v>
      </c>
    </row>
    <row r="27" spans="1:7" ht="23.1" customHeight="1" x14ac:dyDescent="0.2">
      <c r="A27" s="74">
        <v>5</v>
      </c>
      <c r="B27" s="75" t="s">
        <v>86</v>
      </c>
      <c r="C27" s="76">
        <v>2992573</v>
      </c>
      <c r="D27" s="76">
        <v>2576361</v>
      </c>
      <c r="E27" s="76">
        <f t="shared" si="2"/>
        <v>-416212</v>
      </c>
      <c r="F27" s="77">
        <f t="shared" si="3"/>
        <v>-0.13908165314597171</v>
      </c>
    </row>
    <row r="28" spans="1:7" ht="23.1" customHeight="1" x14ac:dyDescent="0.2">
      <c r="A28" s="74">
        <v>6</v>
      </c>
      <c r="B28" s="75" t="s">
        <v>87</v>
      </c>
      <c r="C28" s="76">
        <v>0</v>
      </c>
      <c r="D28" s="76">
        <v>0</v>
      </c>
      <c r="E28" s="76">
        <f t="shared" si="2"/>
        <v>0</v>
      </c>
      <c r="F28" s="77">
        <f t="shared" si="3"/>
        <v>0</v>
      </c>
    </row>
    <row r="29" spans="1:7" ht="23.1" customHeight="1" x14ac:dyDescent="0.2">
      <c r="A29" s="74">
        <v>7</v>
      </c>
      <c r="B29" s="75" t="s">
        <v>88</v>
      </c>
      <c r="C29" s="76">
        <v>-5555</v>
      </c>
      <c r="D29" s="76">
        <v>11263</v>
      </c>
      <c r="E29" s="76">
        <f t="shared" si="2"/>
        <v>16818</v>
      </c>
      <c r="F29" s="77">
        <f t="shared" si="3"/>
        <v>-3.0275427542754274</v>
      </c>
    </row>
    <row r="30" spans="1:7" ht="23.1" customHeight="1" x14ac:dyDescent="0.2">
      <c r="A30" s="74">
        <v>8</v>
      </c>
      <c r="B30" s="75" t="s">
        <v>89</v>
      </c>
      <c r="C30" s="76">
        <v>1146183</v>
      </c>
      <c r="D30" s="76">
        <v>1435297</v>
      </c>
      <c r="E30" s="76">
        <f t="shared" si="2"/>
        <v>289114</v>
      </c>
      <c r="F30" s="77">
        <f t="shared" si="3"/>
        <v>0.25224069803862037</v>
      </c>
    </row>
    <row r="31" spans="1:7" ht="23.1" customHeight="1" x14ac:dyDescent="0.2">
      <c r="A31" s="74">
        <v>9</v>
      </c>
      <c r="B31" s="75" t="s">
        <v>90</v>
      </c>
      <c r="C31" s="76">
        <v>18597746</v>
      </c>
      <c r="D31" s="76">
        <v>18123045</v>
      </c>
      <c r="E31" s="76">
        <f t="shared" si="2"/>
        <v>-474701</v>
      </c>
      <c r="F31" s="77">
        <f t="shared" si="3"/>
        <v>-2.5524652288508511E-2</v>
      </c>
    </row>
    <row r="32" spans="1:7" ht="23.1" customHeight="1" x14ac:dyDescent="0.25">
      <c r="A32" s="71"/>
      <c r="B32" s="78" t="s">
        <v>91</v>
      </c>
      <c r="C32" s="79">
        <f>SUM(C23:C31)</f>
        <v>59153702</v>
      </c>
      <c r="D32" s="79">
        <f>SUM(D23:D31)</f>
        <v>58726061</v>
      </c>
      <c r="E32" s="79">
        <f t="shared" si="2"/>
        <v>-427641</v>
      </c>
      <c r="F32" s="80">
        <f t="shared" si="3"/>
        <v>-7.2293193078600557E-3</v>
      </c>
    </row>
    <row r="33" spans="1:6" ht="15" customHeight="1" x14ac:dyDescent="0.2">
      <c r="A33" s="74"/>
      <c r="B33" s="67"/>
      <c r="C33" s="76"/>
      <c r="D33" s="76"/>
      <c r="E33" s="76"/>
      <c r="F33" s="77"/>
    </row>
    <row r="34" spans="1:6" ht="23.1" customHeight="1" x14ac:dyDescent="0.25">
      <c r="A34" s="83"/>
      <c r="B34" s="78" t="s">
        <v>92</v>
      </c>
      <c r="C34" s="79">
        <f>+C20-C32</f>
        <v>1524227</v>
      </c>
      <c r="D34" s="79">
        <f>+D20-D32</f>
        <v>-1410344</v>
      </c>
      <c r="E34" s="79">
        <f>D34-C34</f>
        <v>-2934571</v>
      </c>
      <c r="F34" s="80">
        <f>IF(C34=0,0,E34/C34)</f>
        <v>-1.9252847508934037</v>
      </c>
    </row>
    <row r="35" spans="1:6" ht="15.75" customHeight="1" x14ac:dyDescent="0.25">
      <c r="A35" s="84"/>
      <c r="B35" s="78"/>
      <c r="C35" s="76"/>
      <c r="D35" s="76"/>
      <c r="E35" s="76"/>
      <c r="F35" s="77"/>
    </row>
    <row r="36" spans="1:6" ht="15.75" customHeight="1" x14ac:dyDescent="0.25">
      <c r="A36" s="71" t="s">
        <v>36</v>
      </c>
      <c r="B36" s="72" t="s">
        <v>93</v>
      </c>
      <c r="C36" s="76"/>
      <c r="D36" s="76"/>
      <c r="E36" s="76"/>
      <c r="F36" s="77"/>
    </row>
    <row r="37" spans="1:6" ht="23.1" customHeight="1" x14ac:dyDescent="0.2">
      <c r="A37" s="85">
        <v>1</v>
      </c>
      <c r="B37" s="75" t="s">
        <v>94</v>
      </c>
      <c r="C37" s="76">
        <v>0</v>
      </c>
      <c r="D37" s="76">
        <v>0</v>
      </c>
      <c r="E37" s="76">
        <f>D37-C37</f>
        <v>0</v>
      </c>
      <c r="F37" s="77">
        <f>IF(C37=0,0,E37/C37)</f>
        <v>0</v>
      </c>
    </row>
    <row r="38" spans="1:6" ht="23.1" customHeight="1" x14ac:dyDescent="0.2">
      <c r="A38" s="85">
        <v>2</v>
      </c>
      <c r="B38" s="75" t="s">
        <v>95</v>
      </c>
      <c r="C38" s="76">
        <v>0</v>
      </c>
      <c r="D38" s="76">
        <v>0</v>
      </c>
      <c r="E38" s="76">
        <f>D38-C38</f>
        <v>0</v>
      </c>
      <c r="F38" s="77">
        <f>IF(C38=0,0,E38/C38)</f>
        <v>0</v>
      </c>
    </row>
    <row r="39" spans="1:6" ht="23.1" customHeight="1" x14ac:dyDescent="0.2">
      <c r="A39" s="85">
        <v>3</v>
      </c>
      <c r="B39" s="75" t="s">
        <v>96</v>
      </c>
      <c r="C39" s="76">
        <v>0</v>
      </c>
      <c r="D39" s="76">
        <v>0</v>
      </c>
      <c r="E39" s="76">
        <f>D39-C39</f>
        <v>0</v>
      </c>
      <c r="F39" s="77">
        <f>IF(C39=0,0,E39/C39)</f>
        <v>0</v>
      </c>
    </row>
    <row r="40" spans="1:6" ht="23.1" customHeight="1" x14ac:dyDescent="0.25">
      <c r="A40" s="83"/>
      <c r="B40" s="78" t="s">
        <v>97</v>
      </c>
      <c r="C40" s="79">
        <f>SUM(C37:C39)</f>
        <v>0</v>
      </c>
      <c r="D40" s="79">
        <f>SUM(D37:D39)</f>
        <v>0</v>
      </c>
      <c r="E40" s="79">
        <f>D40-C40</f>
        <v>0</v>
      </c>
      <c r="F40" s="80">
        <f>IF(C40=0,0,E40/C40)</f>
        <v>0</v>
      </c>
    </row>
    <row r="41" spans="1:6" ht="15.75" customHeight="1" x14ac:dyDescent="0.25">
      <c r="A41" s="85"/>
      <c r="B41" s="78"/>
      <c r="C41" s="86"/>
      <c r="D41" s="86"/>
      <c r="E41" s="86"/>
      <c r="F41" s="80"/>
    </row>
    <row r="42" spans="1:6" ht="33" customHeight="1" x14ac:dyDescent="0.25">
      <c r="A42" s="83"/>
      <c r="B42" s="81" t="s">
        <v>503</v>
      </c>
      <c r="C42" s="79">
        <f>C34+C40</f>
        <v>1524227</v>
      </c>
      <c r="D42" s="79">
        <f>D34+D40</f>
        <v>-1410344</v>
      </c>
      <c r="E42" s="79">
        <f>D42-C42</f>
        <v>-2934571</v>
      </c>
      <c r="F42" s="80">
        <f>IF(C42=0,0,E42/C42)</f>
        <v>-1.9252847508934037</v>
      </c>
    </row>
    <row r="43" spans="1:6" ht="15.75" customHeight="1" x14ac:dyDescent="0.25">
      <c r="A43" s="85"/>
      <c r="B43" s="78"/>
      <c r="C43" s="79"/>
      <c r="D43" s="79"/>
      <c r="E43" s="88"/>
      <c r="F43" s="80"/>
    </row>
    <row r="44" spans="1:6" ht="23.1" customHeight="1" x14ac:dyDescent="0.25">
      <c r="A44" s="83"/>
      <c r="B44" s="81" t="s">
        <v>99</v>
      </c>
      <c r="C44" s="86"/>
      <c r="D44" s="86"/>
      <c r="E44" s="86"/>
      <c r="F44" s="80"/>
    </row>
    <row r="45" spans="1:6" ht="23.1" customHeight="1" x14ac:dyDescent="0.2">
      <c r="A45" s="85"/>
      <c r="B45" s="75" t="s">
        <v>100</v>
      </c>
      <c r="C45" s="76">
        <v>0</v>
      </c>
      <c r="D45" s="76">
        <v>0</v>
      </c>
      <c r="E45" s="76">
        <f>D45-C45</f>
        <v>0</v>
      </c>
      <c r="F45" s="77">
        <f>IF(C45=0,0,E45/C45)</f>
        <v>0</v>
      </c>
    </row>
    <row r="46" spans="1:6" ht="23.1" customHeight="1" x14ac:dyDescent="0.2">
      <c r="A46" s="85"/>
      <c r="B46" s="75" t="s">
        <v>101</v>
      </c>
      <c r="C46" s="76">
        <v>0</v>
      </c>
      <c r="D46" s="76">
        <v>0</v>
      </c>
      <c r="E46" s="76">
        <f>D46-C46</f>
        <v>0</v>
      </c>
      <c r="F46" s="77">
        <f>IF(C46=0,0,E46/C46)</f>
        <v>0</v>
      </c>
    </row>
    <row r="47" spans="1:6" ht="23.1" customHeight="1" x14ac:dyDescent="0.25">
      <c r="A47" s="83"/>
      <c r="B47" s="78" t="s">
        <v>102</v>
      </c>
      <c r="C47" s="79">
        <f>SUM(C45:C46)</f>
        <v>0</v>
      </c>
      <c r="D47" s="79">
        <f>SUM(D45:D46)</f>
        <v>0</v>
      </c>
      <c r="E47" s="79">
        <f>D47-C47</f>
        <v>0</v>
      </c>
      <c r="F47" s="80">
        <f>IF(C47=0,0,E47/C47)</f>
        <v>0</v>
      </c>
    </row>
    <row r="48" spans="1:6" ht="15.75" customHeight="1" x14ac:dyDescent="0.25">
      <c r="A48" s="85"/>
      <c r="B48" s="78"/>
      <c r="C48" s="79"/>
      <c r="D48" s="79"/>
      <c r="E48" s="88"/>
      <c r="F48" s="80"/>
    </row>
    <row r="49" spans="1:6" ht="23.1" customHeight="1" x14ac:dyDescent="0.25">
      <c r="A49" s="83"/>
      <c r="B49" s="81" t="s">
        <v>103</v>
      </c>
      <c r="C49" s="79">
        <f>C42+C47</f>
        <v>1524227</v>
      </c>
      <c r="D49" s="79">
        <f>D42+D47</f>
        <v>-1410344</v>
      </c>
      <c r="E49" s="79">
        <f>D49-C49</f>
        <v>-2934571</v>
      </c>
      <c r="F49" s="80">
        <f>IF(C49=0,0,E49/C49)</f>
        <v>-1.9252847508934037</v>
      </c>
    </row>
  </sheetData>
  <mergeCells count="4">
    <mergeCell ref="A1:F1"/>
    <mergeCell ref="A2:F2"/>
    <mergeCell ref="A3:F3"/>
    <mergeCell ref="A4:F4"/>
  </mergeCells>
  <printOptions gridLines="1"/>
  <pageMargins left="0.15" right="0.15" top="0.5" bottom="0.5" header="0.25" footer="0.25"/>
  <pageSetup paperSize="9" scale="74" orientation="portrait" horizontalDpi="1200" verticalDpi="1200" r:id="rId1"/>
  <headerFooter>
    <oddHeader>&amp;L&amp;8OFFICE OF HEALTH CARE ACCESS&amp;C&amp;8TWELVE MONTHS ACTUAL FILING&amp;R&amp;8SHARON HOSPITAL HOLDING CO, INC.</oddHeader>
    <oddFooter>&amp;L&amp;8REPORT 350&amp;C&amp;8PAGE &amp;P of &amp;N&amp;R&amp;8&amp;D,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263</vt:i4>
      </vt:variant>
    </vt:vector>
  </HeadingPairs>
  <TitlesOfParts>
    <vt:vector size="282" baseType="lpstr">
      <vt:lpstr>Report100</vt:lpstr>
      <vt:lpstr>Report150</vt:lpstr>
      <vt:lpstr>Report165</vt:lpstr>
      <vt:lpstr>Report175</vt:lpstr>
      <vt:lpstr>Report185</vt:lpstr>
      <vt:lpstr>Report200</vt:lpstr>
      <vt:lpstr>Report250</vt:lpstr>
      <vt:lpstr>Report300</vt:lpstr>
      <vt:lpstr>Report350</vt:lpstr>
      <vt:lpstr>Report385</vt:lpstr>
      <vt:lpstr>Report400</vt:lpstr>
      <vt:lpstr>Report450</vt:lpstr>
      <vt:lpstr>Report485</vt:lpstr>
      <vt:lpstr>Report500</vt:lpstr>
      <vt:lpstr>Report550</vt:lpstr>
      <vt:lpstr>Report600</vt:lpstr>
      <vt:lpstr>Report650</vt:lpstr>
      <vt:lpstr>Report685</vt:lpstr>
      <vt:lpstr>Report700</vt:lpstr>
      <vt:lpstr>A</vt:lpstr>
      <vt:lpstr>Report500!ALL</vt:lpstr>
      <vt:lpstr>Report550!ALL</vt:lpstr>
      <vt:lpstr>Report600!ALL</vt:lpstr>
      <vt:lpstr>AS</vt:lpstr>
      <vt:lpstr>Report500!DSS_ANALYSIS_1ST_9_MOS_FY1999_Crosstab</vt:lpstr>
      <vt:lpstr>Report550!DSS_ANALYSIS_1ST_9_MOS_FY1999_Crosstab</vt:lpstr>
      <vt:lpstr>Report600!DSS_ANALYSIS_1ST_9_MOS_FY1999_Crosstab</vt:lpstr>
      <vt:lpstr>Report500!LN_1A4</vt:lpstr>
      <vt:lpstr>LN_1D12</vt:lpstr>
      <vt:lpstr>LN_1D13</vt:lpstr>
      <vt:lpstr>LN_1D2</vt:lpstr>
      <vt:lpstr>LN_IA1</vt:lpstr>
      <vt:lpstr>LN_IA10</vt:lpstr>
      <vt:lpstr>LN_IA11</vt:lpstr>
      <vt:lpstr>LN_IA12</vt:lpstr>
      <vt:lpstr>LN_IA14</vt:lpstr>
      <vt:lpstr>LN_IA15</vt:lpstr>
      <vt:lpstr>LN_IA16</vt:lpstr>
      <vt:lpstr>LN_IA17</vt:lpstr>
      <vt:lpstr>LN_IA18</vt:lpstr>
      <vt:lpstr>LN_IA19</vt:lpstr>
      <vt:lpstr>LN_IA2</vt:lpstr>
      <vt:lpstr>LN_IA4</vt:lpstr>
      <vt:lpstr>LN_IA5</vt:lpstr>
      <vt:lpstr>LN_IA6</vt:lpstr>
      <vt:lpstr>LN_IA7</vt:lpstr>
      <vt:lpstr>LN_IA8</vt:lpstr>
      <vt:lpstr>LN_IB1</vt:lpstr>
      <vt:lpstr>LN_IB10</vt:lpstr>
      <vt:lpstr>LN_IB11</vt:lpstr>
      <vt:lpstr>LN_IB12</vt:lpstr>
      <vt:lpstr>LN_IB13</vt:lpstr>
      <vt:lpstr>LN_IB14</vt:lpstr>
      <vt:lpstr>LN_IB16</vt:lpstr>
      <vt:lpstr>LN_IB17</vt:lpstr>
      <vt:lpstr>LN_IB18</vt:lpstr>
      <vt:lpstr>LN_IB19</vt:lpstr>
      <vt:lpstr>LN_IB2</vt:lpstr>
      <vt:lpstr>LN_IB20</vt:lpstr>
      <vt:lpstr>LN_IB21</vt:lpstr>
      <vt:lpstr>LN_IB22</vt:lpstr>
      <vt:lpstr>LN_IB23</vt:lpstr>
      <vt:lpstr>LN_IB32</vt:lpstr>
      <vt:lpstr>LN_IB33</vt:lpstr>
      <vt:lpstr>LN_IB34</vt:lpstr>
      <vt:lpstr>LN_IB4</vt:lpstr>
      <vt:lpstr>LN_IB5</vt:lpstr>
      <vt:lpstr>LN_IB6</vt:lpstr>
      <vt:lpstr>LN_IB7</vt:lpstr>
      <vt:lpstr>LN_IB8</vt:lpstr>
      <vt:lpstr>LN_IB9</vt:lpstr>
      <vt:lpstr>LN_IC1</vt:lpstr>
      <vt:lpstr>LN_IC10</vt:lpstr>
      <vt:lpstr>LN_IC11</vt:lpstr>
      <vt:lpstr>LN_IC12</vt:lpstr>
      <vt:lpstr>LN_IC13</vt:lpstr>
      <vt:lpstr>LN_IC14</vt:lpstr>
      <vt:lpstr>LN_IC15</vt:lpstr>
      <vt:lpstr>LN_IC16</vt:lpstr>
      <vt:lpstr>LN_IC17</vt:lpstr>
      <vt:lpstr>LN_IC18</vt:lpstr>
      <vt:lpstr>LN_IC19</vt:lpstr>
      <vt:lpstr>LN_IC2</vt:lpstr>
      <vt:lpstr>LN_IC20</vt:lpstr>
      <vt:lpstr>LN_IC21</vt:lpstr>
      <vt:lpstr>LN_IC22</vt:lpstr>
      <vt:lpstr>LN_IC23</vt:lpstr>
      <vt:lpstr>LN_IC24</vt:lpstr>
      <vt:lpstr>LN_IC25</vt:lpstr>
      <vt:lpstr>LN_IC4</vt:lpstr>
      <vt:lpstr>LN_IC5</vt:lpstr>
      <vt:lpstr>LN_IC6</vt:lpstr>
      <vt:lpstr>LN_IC7</vt:lpstr>
      <vt:lpstr>LN_IC8</vt:lpstr>
      <vt:lpstr>LN_IC9</vt:lpstr>
      <vt:lpstr>LN_ID1</vt:lpstr>
      <vt:lpstr>LN_ID10</vt:lpstr>
      <vt:lpstr>LN_ID11</vt:lpstr>
      <vt:lpstr>LN_ID13</vt:lpstr>
      <vt:lpstr>LN_ID14</vt:lpstr>
      <vt:lpstr>LN_ID15</vt:lpstr>
      <vt:lpstr>LN_ID16</vt:lpstr>
      <vt:lpstr>LN_ID17</vt:lpstr>
      <vt:lpstr>LN_ID18</vt:lpstr>
      <vt:lpstr>LN_ID19</vt:lpstr>
      <vt:lpstr>LN_ID2</vt:lpstr>
      <vt:lpstr>LN_ID20</vt:lpstr>
      <vt:lpstr>LN_ID21</vt:lpstr>
      <vt:lpstr>LN_ID22</vt:lpstr>
      <vt:lpstr>LN_ID23</vt:lpstr>
      <vt:lpstr>LN_ID24</vt:lpstr>
      <vt:lpstr>LN_ID25</vt:lpstr>
      <vt:lpstr>LN_ID3</vt:lpstr>
      <vt:lpstr>LN_ID4</vt:lpstr>
      <vt:lpstr>LN_ID5</vt:lpstr>
      <vt:lpstr>LN_ID6</vt:lpstr>
      <vt:lpstr>LN_ID7</vt:lpstr>
      <vt:lpstr>LN_ID8</vt:lpstr>
      <vt:lpstr>LN_ID9</vt:lpstr>
      <vt:lpstr>LN_IE1</vt:lpstr>
      <vt:lpstr>LN_IE10</vt:lpstr>
      <vt:lpstr>LN_IE11</vt:lpstr>
      <vt:lpstr>LN_IE12</vt:lpstr>
      <vt:lpstr>LN_IE13</vt:lpstr>
      <vt:lpstr>LN_IE14</vt:lpstr>
      <vt:lpstr>LN_IE15</vt:lpstr>
      <vt:lpstr>LN_IE16</vt:lpstr>
      <vt:lpstr>LN_IE17</vt:lpstr>
      <vt:lpstr>LN_IE18</vt:lpstr>
      <vt:lpstr>LN_IE19</vt:lpstr>
      <vt:lpstr>LN_IE2</vt:lpstr>
      <vt:lpstr>LN_IE20</vt:lpstr>
      <vt:lpstr>LN_IE21</vt:lpstr>
      <vt:lpstr>LN_IE22</vt:lpstr>
      <vt:lpstr>LN_IE23</vt:lpstr>
      <vt:lpstr>LN_IE24</vt:lpstr>
      <vt:lpstr>LN_IE25</vt:lpstr>
      <vt:lpstr>LN_IE3</vt:lpstr>
      <vt:lpstr>LN_IE4</vt:lpstr>
      <vt:lpstr>LN_IE5</vt:lpstr>
      <vt:lpstr>LN_IE6</vt:lpstr>
      <vt:lpstr>LN_IE7</vt:lpstr>
      <vt:lpstr>LN_IE8</vt:lpstr>
      <vt:lpstr>LN_IE9</vt:lpstr>
      <vt:lpstr>LN_IF1</vt:lpstr>
      <vt:lpstr>LN_IF10</vt:lpstr>
      <vt:lpstr>LN_IF11</vt:lpstr>
      <vt:lpstr>LN_IF12</vt:lpstr>
      <vt:lpstr>LN_IF13</vt:lpstr>
      <vt:lpstr>LN_IF14</vt:lpstr>
      <vt:lpstr>LN_IF15</vt:lpstr>
      <vt:lpstr>LN_IF16</vt:lpstr>
      <vt:lpstr>LN_IF17</vt:lpstr>
      <vt:lpstr>LN_IF18</vt:lpstr>
      <vt:lpstr>LN_IF19</vt:lpstr>
      <vt:lpstr>LN_IF2</vt:lpstr>
      <vt:lpstr>LN_IF20</vt:lpstr>
      <vt:lpstr>LN_IF21</vt:lpstr>
      <vt:lpstr>LN_IF22</vt:lpstr>
      <vt:lpstr>LN_IF23</vt:lpstr>
      <vt:lpstr>LN_IF24</vt:lpstr>
      <vt:lpstr>LN_IF25</vt:lpstr>
      <vt:lpstr>LN_IF3</vt:lpstr>
      <vt:lpstr>LN_IF4</vt:lpstr>
      <vt:lpstr>LN_IF5</vt:lpstr>
      <vt:lpstr>LN_IF6</vt:lpstr>
      <vt:lpstr>LN_IF7</vt:lpstr>
      <vt:lpstr>LN_IF8</vt:lpstr>
      <vt:lpstr>LN_IF9</vt:lpstr>
      <vt:lpstr>LN_IG1</vt:lpstr>
      <vt:lpstr>LN_IG10</vt:lpstr>
      <vt:lpstr>LN_IG11</vt:lpstr>
      <vt:lpstr>LN_IG12</vt:lpstr>
      <vt:lpstr>LN_IG13</vt:lpstr>
      <vt:lpstr>LN_IG14</vt:lpstr>
      <vt:lpstr>LN_IG2</vt:lpstr>
      <vt:lpstr>LN_IG3</vt:lpstr>
      <vt:lpstr>LN_IG4</vt:lpstr>
      <vt:lpstr>LN_IG5</vt:lpstr>
      <vt:lpstr>LN_IG6</vt:lpstr>
      <vt:lpstr>LN_IG9</vt:lpstr>
      <vt:lpstr>LN_IH1</vt:lpstr>
      <vt:lpstr>LN_IH10</vt:lpstr>
      <vt:lpstr>LN_IH11</vt:lpstr>
      <vt:lpstr>LN_IH2</vt:lpstr>
      <vt:lpstr>LN_IH3</vt:lpstr>
      <vt:lpstr>LN_IH4</vt:lpstr>
      <vt:lpstr>LN_IH5</vt:lpstr>
      <vt:lpstr>LN_IH6</vt:lpstr>
      <vt:lpstr>LN_IH7</vt:lpstr>
      <vt:lpstr>LN_IH8</vt:lpstr>
      <vt:lpstr>LN_IH9</vt:lpstr>
      <vt:lpstr>LN_IIA1</vt:lpstr>
      <vt:lpstr>LN_IIA10</vt:lpstr>
      <vt:lpstr>LN_IIA11</vt:lpstr>
      <vt:lpstr>LN_IIA12</vt:lpstr>
      <vt:lpstr>LN_IIA13</vt:lpstr>
      <vt:lpstr>LN_IIA14</vt:lpstr>
      <vt:lpstr>LN_IIA2</vt:lpstr>
      <vt:lpstr>LN_IIA3</vt:lpstr>
      <vt:lpstr>LN_IIA4</vt:lpstr>
      <vt:lpstr>LN_IIA5</vt:lpstr>
      <vt:lpstr>LN_IIA6</vt:lpstr>
      <vt:lpstr>LN_IIA7</vt:lpstr>
      <vt:lpstr>LN_IIA8</vt:lpstr>
      <vt:lpstr>LN_IIA9</vt:lpstr>
      <vt:lpstr>LN_IIB1</vt:lpstr>
      <vt:lpstr>LN_IIB10</vt:lpstr>
      <vt:lpstr>LN_IIB11</vt:lpstr>
      <vt:lpstr>LN_IIB12</vt:lpstr>
      <vt:lpstr>LN_IIB13</vt:lpstr>
      <vt:lpstr>LN_IIB14</vt:lpstr>
      <vt:lpstr>LN_IIB2</vt:lpstr>
      <vt:lpstr>LN_IIB3</vt:lpstr>
      <vt:lpstr>LN_IIB4</vt:lpstr>
      <vt:lpstr>LN_IIB5</vt:lpstr>
      <vt:lpstr>LN_IIB6</vt:lpstr>
      <vt:lpstr>LN_IIB7</vt:lpstr>
      <vt:lpstr>LN_IIB8</vt:lpstr>
      <vt:lpstr>LN_IIB9</vt:lpstr>
      <vt:lpstr>LN_III1</vt:lpstr>
      <vt:lpstr>LN_III10</vt:lpstr>
      <vt:lpstr>LN_III11</vt:lpstr>
      <vt:lpstr>LN_III12</vt:lpstr>
      <vt:lpstr>LN_III13</vt:lpstr>
      <vt:lpstr>LN_III2</vt:lpstr>
      <vt:lpstr>LN_III3</vt:lpstr>
      <vt:lpstr>LN_III4</vt:lpstr>
      <vt:lpstr>LN_III5</vt:lpstr>
      <vt:lpstr>LN_III6</vt:lpstr>
      <vt:lpstr>LN_III7</vt:lpstr>
      <vt:lpstr>LN_III8</vt:lpstr>
      <vt:lpstr>LN_III9</vt:lpstr>
      <vt:lpstr>LN_IV1</vt:lpstr>
      <vt:lpstr>LN_IV2</vt:lpstr>
      <vt:lpstr>LN_IV3</vt:lpstr>
      <vt:lpstr>LN_IV4</vt:lpstr>
      <vt:lpstr>LN_VA1</vt:lpstr>
      <vt:lpstr>LN_VA2</vt:lpstr>
      <vt:lpstr>LN_VA3</vt:lpstr>
      <vt:lpstr>LN_VB1</vt:lpstr>
      <vt:lpstr>LN_VB2</vt:lpstr>
      <vt:lpstr>LN_VB3</vt:lpstr>
      <vt:lpstr>LN_VB4</vt:lpstr>
      <vt:lpstr>LN_VB5</vt:lpstr>
      <vt:lpstr>LN_VB6</vt:lpstr>
      <vt:lpstr>Report100!Print_Area</vt:lpstr>
      <vt:lpstr>Report150!Print_Area</vt:lpstr>
      <vt:lpstr>Report165!Print_Area</vt:lpstr>
      <vt:lpstr>Report175!Print_Area</vt:lpstr>
      <vt:lpstr>Report185!Print_Area</vt:lpstr>
      <vt:lpstr>Report200!Print_Area</vt:lpstr>
      <vt:lpstr>Report250!Print_Area</vt:lpstr>
      <vt:lpstr>Report300!Print_Area</vt:lpstr>
      <vt:lpstr>Report350!Print_Area</vt:lpstr>
      <vt:lpstr>Report385!Print_Area</vt:lpstr>
      <vt:lpstr>Report400!Print_Area</vt:lpstr>
      <vt:lpstr>Report450!Print_Area</vt:lpstr>
      <vt:lpstr>Report485!Print_Area</vt:lpstr>
      <vt:lpstr>Report600!Print_Area</vt:lpstr>
      <vt:lpstr>Report685!Print_Area</vt:lpstr>
      <vt:lpstr>Report700!Print_Area</vt:lpstr>
      <vt:lpstr>Report100!Print_Titles</vt:lpstr>
      <vt:lpstr>Report150!Print_Titles</vt:lpstr>
      <vt:lpstr>Report165!Print_Titles</vt:lpstr>
      <vt:lpstr>Report175!Print_Titles</vt:lpstr>
      <vt:lpstr>Report185!Print_Titles</vt:lpstr>
      <vt:lpstr>Report200!Print_Titles</vt:lpstr>
      <vt:lpstr>Report250!Print_Titles</vt:lpstr>
      <vt:lpstr>Report300!Print_Titles</vt:lpstr>
      <vt:lpstr>Report350!Print_Titles</vt:lpstr>
      <vt:lpstr>Report385!Print_Titles</vt:lpstr>
      <vt:lpstr>Report400!Print_Titles</vt:lpstr>
      <vt:lpstr>Report450!Print_Titles</vt:lpstr>
      <vt:lpstr>Report485!Print_Titles</vt:lpstr>
      <vt:lpstr>Report500!Print_Titles</vt:lpstr>
      <vt:lpstr>Report550!Print_Titles</vt:lpstr>
      <vt:lpstr>Report600!Print_Titles</vt:lpstr>
      <vt:lpstr>Report685!Print_Titles</vt:lpstr>
      <vt:lpstr>Report700!Print_Titles</vt:lpstr>
      <vt:lpstr>Z_1</vt:lpstr>
      <vt:lpstr>Z_2</vt:lpstr>
    </vt:vector>
  </TitlesOfParts>
  <Company>DPH OHCA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hrsadmin</dc:creator>
  <cp:lastModifiedBy>Ciesones, Ron</cp:lastModifiedBy>
  <cp:lastPrinted>2015-07-07T12:13:16Z</cp:lastPrinted>
  <dcterms:created xsi:type="dcterms:W3CDTF">2015-07-07T12:09:07Z</dcterms:created>
  <dcterms:modified xsi:type="dcterms:W3CDTF">2015-07-07T12:13:25Z</dcterms:modified>
</cp:coreProperties>
</file>